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ohen\Desktop\UC Berkeley Docs - 2020\Class Folder-AnalysisProjects\Crowdfunding Analysis\"/>
    </mc:Choice>
  </mc:AlternateContent>
  <xr:revisionPtr revIDLastSave="0" documentId="13_ncr:1_{357CEE07-E83E-4B00-8EC3-F1F07B46E970}" xr6:coauthVersionLast="44" xr6:coauthVersionMax="44" xr10:uidLastSave="{00000000-0000-0000-0000-000000000000}"/>
  <bookViews>
    <workbookView xWindow="-110" yWindow="-110" windowWidth="19420" windowHeight="10420" activeTab="2" xr2:uid="{00000000-000D-0000-FFFF-FFFF00000000}"/>
  </bookViews>
  <sheets>
    <sheet name="Kickstarter" sheetId="1" r:id="rId1"/>
    <sheet name="Outcomes Based on Goals" sheetId="14" r:id="rId2"/>
    <sheet name="Outcomes Based on Launch Date" sheetId="5" r:id="rId3"/>
    <sheet name="GB Theater Chart" sheetId="13" r:id="rId4"/>
    <sheet name="PT - Outcomes Based on Goals" sheetId="17" r:id="rId5"/>
    <sheet name="Successful US Kickstarters" sheetId="8" r:id="rId6"/>
    <sheet name="Failed US Kickstarters" sheetId="9" r:id="rId7"/>
    <sheet name="Descriptive Statistics" sheetId="10" r:id="rId8"/>
    <sheet name="Edinburgh Research" sheetId="6" r:id="rId9"/>
    <sheet name="PT-PCO" sheetId="3" r:id="rId10"/>
    <sheet name="PT-Subcategory Statistics" sheetId="4" r:id="rId11"/>
    <sheet name="PT - Theather" sheetId="18" r:id="rId12"/>
    <sheet name="All Types by Year" sheetId="15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2" r:id="rId14"/>
    <pivotCache cacheId="15" r:id="rId15"/>
    <pivotCache cacheId="2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4" l="1"/>
  <c r="G3" i="14"/>
  <c r="G4" i="14"/>
  <c r="G5" i="14"/>
  <c r="G6" i="14"/>
  <c r="G7" i="14"/>
  <c r="G8" i="14"/>
  <c r="G9" i="14"/>
  <c r="G10" i="14"/>
  <c r="G11" i="14"/>
  <c r="G12" i="14"/>
  <c r="G13" i="14"/>
  <c r="H3" i="14"/>
  <c r="H4" i="14"/>
  <c r="H5" i="14"/>
  <c r="H6" i="14"/>
  <c r="H7" i="14"/>
  <c r="H8" i="14"/>
  <c r="H9" i="14"/>
  <c r="H10" i="14"/>
  <c r="H11" i="14"/>
  <c r="H12" i="14"/>
  <c r="H13" i="14"/>
  <c r="F6" i="14"/>
  <c r="F7" i="14"/>
  <c r="F8" i="14"/>
  <c r="F9" i="14"/>
  <c r="F10" i="14"/>
  <c r="F11" i="14"/>
  <c r="F12" i="14"/>
  <c r="F13" i="14"/>
  <c r="F5" i="14"/>
  <c r="F4" i="14"/>
  <c r="F3" i="14"/>
  <c r="D13" i="14"/>
  <c r="D12" i="14"/>
  <c r="D11" i="14"/>
  <c r="D10" i="14"/>
  <c r="D9" i="14"/>
  <c r="D8" i="14"/>
  <c r="D7" i="14"/>
  <c r="D6" i="14"/>
  <c r="D5" i="14"/>
  <c r="D4" i="14"/>
  <c r="D3" i="14"/>
  <c r="D2" i="14"/>
  <c r="C2" i="14"/>
  <c r="C13" i="14"/>
  <c r="C12" i="14"/>
  <c r="C11" i="14"/>
  <c r="C10" i="14"/>
  <c r="C9" i="14"/>
  <c r="C8" i="14"/>
  <c r="C7" i="14"/>
  <c r="C6" i="14"/>
  <c r="C5" i="14"/>
  <c r="C4" i="14"/>
  <c r="C3" i="14"/>
  <c r="B13" i="14"/>
  <c r="E13" i="14" s="1"/>
  <c r="B12" i="14"/>
  <c r="E12" i="14" s="1"/>
  <c r="B11" i="14"/>
  <c r="E11" i="14" s="1"/>
  <c r="B10" i="14"/>
  <c r="E10" i="14" s="1"/>
  <c r="B9" i="14"/>
  <c r="E9" i="14" s="1"/>
  <c r="B8" i="14"/>
  <c r="E8" i="14" s="1"/>
  <c r="B7" i="14"/>
  <c r="E7" i="14" s="1"/>
  <c r="B6" i="14"/>
  <c r="E6" i="14" s="1"/>
  <c r="B5" i="14"/>
  <c r="E5" i="14" s="1"/>
  <c r="B3" i="14"/>
  <c r="E3" i="14" s="1"/>
  <c r="B4" i="14"/>
  <c r="E4" i="14" s="1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" i="9"/>
  <c r="F2" i="14" l="1"/>
  <c r="E2" i="14"/>
  <c r="C13" i="10"/>
  <c r="C12" i="10"/>
  <c r="C11" i="10"/>
  <c r="B13" i="10"/>
  <c r="B12" i="10"/>
  <c r="B11" i="10"/>
  <c r="C6" i="10"/>
  <c r="C7" i="10" s="1"/>
  <c r="C5" i="10"/>
  <c r="C4" i="10"/>
  <c r="B6" i="10"/>
  <c r="B7" i="10" s="1"/>
  <c r="B5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40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4" l="1"/>
  <c r="H2" i="14"/>
  <c r="C14" i="10"/>
  <c r="B14" i="10"/>
</calcChain>
</file>

<file path=xl/sharedStrings.xml><?xml version="1.0" encoding="utf-8"?>
<sst xmlns="http://schemas.openxmlformats.org/spreadsheetml/2006/main" count="38464" uniqueCount="8427">
  <si>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</si>
  <si>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</si>
  <si>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</si>
  <si>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</si>
  <si>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</si>
  <si>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</si>
  <si>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</si>
  <si>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</si>
  <si>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</si>
  <si>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</si>
  <si>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</si>
  <si>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</si>
  <si>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</si>
  <si>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</si>
  <si>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</si>
  <si>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</si>
  <si>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</si>
  <si>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</si>
  <si>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</si>
  <si>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</si>
  <si>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</si>
  <si>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</si>
  <si>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</si>
  <si>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</si>
  <si>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</si>
  <si>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</si>
  <si>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</si>
  <si>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</si>
  <si>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</si>
  <si>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</si>
  <si>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</si>
  <si>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</si>
  <si>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</si>
  <si>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</si>
  <si>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</si>
  <si>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</si>
  <si>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</si>
  <si>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</si>
  <si>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</si>
  <si>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</si>
  <si>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</si>
  <si>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</si>
  <si>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</si>
  <si>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</si>
  <si>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</si>
  <si>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</si>
  <si>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</si>
  <si>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</si>
  <si>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</si>
  <si>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</si>
  <si>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</si>
  <si>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</si>
  <si>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</si>
  <si>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</si>
  <si>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</si>
  <si>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</si>
  <si>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</si>
  <si>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</si>
  <si>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</si>
  <si>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</si>
  <si>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</si>
  <si>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</si>
  <si>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</si>
  <si>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</si>
  <si>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</si>
  <si>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</si>
  <si>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</si>
  <si>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</si>
  <si>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</si>
  <si>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</si>
  <si>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</si>
  <si>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</si>
  <si>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</si>
  <si>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</si>
  <si>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</si>
  <si>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</si>
  <si>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</si>
  <si>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</si>
  <si>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</si>
  <si>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</si>
  <si>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</si>
  <si>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</si>
  <si>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</si>
  <si>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</si>
  <si>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</si>
  <si>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</si>
  <si>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</si>
  <si>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</si>
  <si>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</si>
  <si>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</si>
  <si>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</si>
  <si>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</si>
  <si>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</si>
  <si>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</si>
  <si>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</si>
  <si>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</si>
  <si>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</si>
  <si>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</si>
  <si>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</si>
  <si>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</si>
  <si>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</si>
  <si>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</si>
  <si>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</si>
  <si>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</si>
  <si>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</si>
  <si>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</si>
  <si>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</si>
  <si>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</si>
  <si>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</si>
  <si>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</si>
  <si>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</si>
  <si>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</si>
  <si>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</si>
  <si>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</si>
  <si>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</si>
  <si>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</si>
  <si>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</si>
  <si>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</si>
  <si>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</si>
  <si>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</si>
  <si>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</si>
  <si>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</si>
  <si>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</si>
  <si>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</si>
  <si>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</si>
  <si>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</si>
  <si>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</si>
  <si>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</si>
  <si>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</si>
  <si>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</si>
  <si>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</si>
  <si>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</si>
  <si>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</si>
  <si>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</si>
  <si>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</si>
  <si>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</si>
  <si>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</si>
  <si>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</si>
  <si>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</si>
  <si>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</si>
  <si>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</si>
  <si>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</si>
  <si>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</si>
  <si>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</si>
  <si>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</si>
  <si>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</si>
  <si>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</si>
  <si>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</si>
  <si>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</si>
  <si>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</si>
  <si>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</si>
  <si>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</si>
  <si>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</si>
  <si>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</si>
  <si>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</si>
  <si>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</si>
  <si>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</si>
  <si>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</si>
  <si>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</si>
  <si>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</si>
  <si>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</si>
  <si>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</si>
  <si>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</si>
  <si>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</si>
  <si>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</si>
  <si>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</si>
  <si>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</si>
  <si>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</si>
  <si>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</si>
  <si>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</si>
  <si>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</si>
  <si>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</si>
  <si>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</si>
  <si>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</si>
  <si>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</si>
  <si>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</si>
  <si>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</si>
  <si>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</si>
  <si>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</si>
  <si>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</si>
  <si>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</si>
  <si>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</si>
  <si>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</si>
  <si>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</si>
  <si>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</si>
  <si>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</si>
  <si>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</si>
  <si>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</si>
  <si>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</si>
  <si>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</si>
  <si>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</si>
  <si>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</si>
  <si>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</si>
  <si>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</si>
  <si>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</si>
  <si>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</si>
  <si>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</si>
  <si>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</si>
  <si>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</si>
  <si>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</si>
  <si>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</si>
  <si>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</si>
  <si>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</si>
  <si>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</si>
  <si>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</si>
  <si>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</si>
  <si>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</si>
  <si>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</si>
  <si>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</si>
  <si>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</si>
  <si>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</si>
  <si>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</si>
  <si>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</si>
  <si>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</si>
  <si>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</si>
  <si>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</si>
  <si>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</si>
  <si>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</si>
  <si>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</si>
  <si>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</si>
  <si>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</si>
  <si>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</si>
  <si>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</si>
  <si>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</si>
  <si>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</si>
  <si>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</si>
  <si>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</si>
  <si>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</si>
  <si>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</si>
  <si>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</si>
  <si>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</si>
  <si>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</si>
  <si>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</si>
  <si>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</si>
  <si>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</si>
  <si>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</si>
  <si>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</si>
  <si>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</si>
  <si>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</si>
  <si>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</si>
  <si>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</si>
  <si>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</si>
  <si>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</si>
  <si>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</si>
  <si>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</si>
  <si>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</si>
  <si>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</si>
  <si>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</si>
  <si>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</si>
  <si>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</si>
  <si>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</si>
  <si>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</si>
  <si>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</si>
  <si>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</si>
  <si>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</si>
  <si>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</si>
  <si>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</si>
  <si>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</si>
  <si>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</si>
  <si>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</si>
  <si>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</si>
  <si>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</si>
  <si>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</si>
  <si>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</si>
  <si>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</si>
  <si>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</si>
  <si>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</si>
  <si>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</si>
  <si>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</si>
  <si>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</si>
  <si>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</si>
  <si>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</si>
  <si>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</si>
  <si>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</si>
  <si>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</si>
  <si>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</si>
  <si>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</si>
  <si>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</si>
  <si>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</si>
  <si>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</si>
  <si>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</si>
  <si>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</si>
  <si>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</si>
  <si>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</si>
  <si>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</si>
  <si>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</si>
  <si>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</si>
  <si>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</si>
  <si>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</si>
  <si>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</si>
  <si>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</si>
  <si>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</si>
  <si>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</si>
  <si>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</si>
  <si>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</si>
  <si>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</si>
  <si>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</si>
  <si>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</si>
  <si>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</si>
  <si>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</si>
  <si>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</si>
  <si>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</si>
  <si>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</si>
  <si>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</si>
  <si>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</si>
  <si>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</si>
  <si>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</si>
  <si>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</si>
  <si>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</si>
  <si>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</si>
  <si>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</si>
  <si>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</si>
  <si>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</si>
  <si>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</si>
  <si>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</si>
  <si>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</si>
  <si>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</si>
  <si>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</si>
  <si>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</si>
  <si>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</si>
  <si>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</si>
  <si>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</si>
  <si>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</si>
  <si>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</si>
  <si>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</si>
  <si>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</si>
  <si>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</si>
  <si>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</si>
  <si>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</si>
  <si>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</si>
  <si>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</si>
  <si>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</si>
  <si>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</si>
  <si>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</si>
  <si>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</si>
  <si>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</si>
  <si>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</si>
  <si>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</si>
  <si>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</si>
  <si>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</si>
  <si>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</si>
  <si>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</si>
  <si>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</si>
  <si>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</si>
  <si>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</si>
  <si>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</si>
  <si>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</si>
  <si>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</si>
  <si>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</si>
  <si>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</si>
  <si>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</si>
  <si>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</si>
  <si>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</si>
  <si>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</si>
  <si>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</si>
  <si>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</si>
  <si>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</si>
  <si>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</si>
  <si>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</si>
  <si>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</si>
  <si>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</si>
  <si>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</si>
  <si>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</si>
  <si>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</si>
  <si>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</si>
  <si>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</si>
  <si>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</si>
  <si>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</si>
  <si>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</si>
  <si>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</si>
  <si>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</si>
  <si>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</si>
  <si>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</si>
  <si>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</si>
  <si>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</si>
  <si>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</si>
  <si>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</si>
  <si>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</si>
  <si>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</si>
  <si>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</si>
  <si>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</si>
  <si>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</si>
  <si>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</si>
  <si>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</si>
  <si>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</si>
  <si>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</si>
  <si>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</si>
  <si>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</si>
  <si>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</si>
  <si>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</si>
  <si>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</si>
  <si>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</si>
  <si>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</si>
  <si>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</si>
  <si>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</si>
  <si>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</si>
  <si>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</si>
  <si>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</si>
  <si>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</si>
  <si>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</si>
  <si>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</si>
  <si>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</si>
  <si>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</si>
  <si>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</si>
  <si>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</si>
  <si>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</si>
  <si>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</si>
  <si>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</si>
  <si>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</si>
  <si>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</si>
  <si>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</si>
  <si>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</si>
  <si>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</si>
  <si>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</si>
  <si>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</si>
  <si>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</si>
  <si>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</si>
  <si>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</si>
  <si>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</si>
  <si>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</si>
  <si>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</si>
  <si>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</si>
  <si>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</si>
  <si>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</si>
  <si>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</si>
  <si>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</si>
  <si>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</si>
  <si>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</si>
  <si>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</si>
  <si>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</si>
  <si>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</si>
  <si>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</si>
  <si>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</si>
  <si>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</si>
  <si>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</si>
  <si>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</si>
  <si>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</si>
  <si>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</si>
  <si>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</si>
  <si>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</si>
  <si>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</si>
  <si>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</si>
  <si>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</si>
  <si>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</si>
  <si>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</si>
  <si>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</si>
  <si>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</si>
  <si>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</si>
  <si>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</si>
  <si>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</si>
  <si>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</si>
  <si>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</si>
  <si>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</si>
  <si>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</si>
  <si>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</si>
  <si>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</si>
  <si>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</si>
  <si>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</si>
  <si>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</si>
  <si>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</si>
  <si>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</si>
  <si>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</si>
  <si>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</si>
  <si>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</si>
  <si>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</si>
  <si>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</si>
  <si>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</si>
  <si>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</si>
  <si>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</si>
  <si>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</si>
  <si>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</si>
  <si>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</si>
  <si>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</si>
  <si>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</si>
  <si>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</si>
  <si>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</si>
  <si>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</si>
  <si>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</si>
  <si>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</si>
  <si>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</si>
  <si>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</si>
  <si>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</si>
  <si>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</si>
  <si>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</si>
  <si>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</si>
  <si>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</si>
  <si>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</si>
  <si>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</si>
  <si>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</si>
  <si>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</si>
  <si>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</si>
  <si>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</si>
  <si>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</si>
  <si>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</si>
  <si>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</si>
  <si>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</si>
  <si>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</si>
  <si>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</si>
  <si>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</si>
  <si>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</si>
  <si>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</si>
  <si>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</si>
  <si>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</si>
  <si>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</si>
  <si>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</si>
  <si>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</si>
  <si>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</si>
  <si>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</si>
  <si>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</si>
  <si>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</si>
  <si>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</si>
  <si>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</si>
  <si>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</si>
  <si>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</si>
  <si>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</si>
  <si>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</si>
  <si>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</si>
  <si>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</si>
  <si>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</si>
  <si>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</si>
  <si>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</si>
  <si>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</si>
  <si>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</si>
  <si>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</si>
  <si>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</si>
  <si>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</si>
  <si>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</si>
  <si>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</si>
  <si>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</si>
  <si>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</si>
  <si>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</si>
  <si>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</si>
  <si>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</si>
  <si>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</si>
  <si>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</si>
  <si>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</si>
  <si>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</si>
  <si>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</si>
  <si>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</si>
  <si>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</si>
  <si>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</si>
  <si>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</si>
  <si>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</si>
  <si>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</si>
  <si>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</si>
  <si>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</si>
  <si>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</si>
  <si>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</si>
  <si>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</si>
  <si>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</si>
  <si>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</si>
  <si>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</si>
  <si>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</si>
  <si>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</si>
  <si>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</si>
  <si>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</si>
  <si>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</si>
  <si>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</si>
  <si>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</si>
  <si>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</si>
  <si>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</si>
  <si>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</si>
  <si>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</si>
  <si>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</si>
  <si>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</si>
  <si>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</si>
  <si>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</si>
  <si>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</si>
  <si>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</si>
  <si>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</si>
  <si>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</si>
  <si>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</si>
  <si>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</si>
  <si>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</si>
  <si>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</si>
  <si>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</si>
  <si>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</si>
  <si>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</si>
  <si>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</si>
  <si>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</si>
  <si>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</si>
  <si>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</si>
  <si>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</si>
  <si>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</si>
  <si>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</si>
  <si>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</si>
  <si>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</si>
  <si>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</si>
  <si>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</si>
  <si>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</si>
  <si>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</si>
  <si>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</si>
  <si>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</si>
  <si>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</si>
  <si>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</si>
  <si>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</si>
  <si>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</si>
  <si>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</si>
  <si>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</si>
  <si>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</si>
  <si>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</si>
  <si>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</si>
  <si>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</si>
  <si>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</si>
  <si>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</si>
  <si>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</si>
  <si>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</si>
  <si>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</si>
  <si>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</si>
  <si>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</si>
  <si>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</si>
  <si>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</si>
  <si>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</si>
  <si>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</si>
  <si>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</si>
  <si>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</si>
  <si>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</si>
  <si>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</si>
  <si>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</si>
  <si>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</si>
  <si>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</si>
  <si>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</si>
  <si>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</si>
  <si>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</si>
  <si>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</si>
  <si>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</si>
  <si>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</si>
  <si>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</si>
  <si>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</si>
  <si>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</si>
  <si>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</si>
  <si>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</si>
  <si>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</si>
  <si>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</si>
  <si>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</si>
  <si>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</si>
  <si>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</si>
  <si>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</si>
  <si>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</si>
  <si>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</si>
  <si>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</si>
  <si>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</si>
  <si>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</si>
  <si>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</si>
  <si>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</si>
  <si>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</si>
  <si>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</si>
  <si>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</si>
  <si>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</si>
  <si>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</si>
  <si>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</si>
  <si>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</si>
  <si>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</si>
  <si>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</si>
  <si>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</si>
  <si>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</si>
  <si>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</si>
  <si>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</si>
  <si>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</si>
  <si>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</si>
  <si>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</si>
  <si>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</si>
  <si>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</si>
  <si>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</si>
  <si>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</si>
  <si>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</si>
  <si>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</si>
  <si>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</si>
  <si>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</si>
  <si>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</si>
  <si>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</si>
  <si>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</si>
  <si>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</si>
  <si>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</si>
  <si>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</si>
  <si>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</si>
  <si>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</si>
  <si>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</si>
  <si>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</si>
  <si>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</si>
  <si>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</si>
  <si>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</si>
  <si>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</si>
  <si>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</si>
  <si>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</si>
  <si>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</si>
  <si>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</si>
  <si>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</si>
  <si>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</si>
  <si>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</si>
  <si>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</si>
  <si>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</si>
  <si>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</si>
  <si>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</si>
  <si>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</si>
  <si>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</si>
  <si>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</si>
  <si>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</si>
  <si>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</si>
  <si>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</si>
  <si>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</si>
  <si>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</si>
  <si>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</si>
  <si>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</si>
  <si>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</si>
  <si>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</si>
  <si>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</si>
  <si>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</si>
  <si>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</si>
  <si>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</si>
  <si>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</si>
  <si>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</si>
  <si>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</si>
  <si>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</si>
  <si>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</si>
  <si>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</si>
  <si>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</si>
  <si>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</si>
  <si>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</si>
  <si>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</si>
  <si>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</si>
  <si>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</si>
  <si>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</si>
  <si>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</si>
  <si>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</si>
  <si>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</si>
  <si>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</si>
  <si>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</si>
  <si>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</si>
  <si>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</si>
  <si>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</si>
  <si>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</si>
  <si>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</si>
  <si>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</si>
  <si>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</si>
  <si>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</si>
  <si>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</si>
  <si>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</si>
  <si>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</si>
  <si>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</si>
  <si>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</si>
  <si>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</si>
  <si>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</si>
  <si>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</si>
  <si>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</si>
  <si>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</si>
  <si>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</si>
  <si>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</si>
  <si>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</si>
  <si>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</si>
  <si>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</si>
  <si>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</si>
  <si>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</si>
  <si>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</si>
  <si>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</si>
  <si>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</si>
  <si>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</si>
  <si>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</si>
  <si>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</si>
  <si>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</si>
  <si>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</si>
  <si>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</si>
  <si>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</si>
  <si>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</si>
  <si>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</si>
  <si>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</si>
  <si>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</si>
  <si>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</si>
  <si>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</si>
  <si>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</si>
  <si>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</si>
  <si>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</si>
  <si>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</si>
  <si>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</si>
  <si>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</si>
  <si>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</si>
  <si>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</si>
  <si>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</si>
  <si>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</si>
  <si>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</si>
  <si>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</si>
  <si>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</si>
  <si>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</si>
  <si>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</si>
  <si>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</si>
  <si>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</si>
  <si>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</si>
  <si>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</si>
  <si>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</si>
  <si>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</si>
  <si>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</si>
  <si>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</si>
  <si>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</si>
  <si>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</si>
  <si>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</si>
  <si>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</si>
  <si>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</si>
  <si>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</si>
  <si>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</si>
  <si>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</si>
  <si>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</si>
  <si>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</si>
  <si>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</si>
  <si>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</si>
  <si>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</si>
  <si>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</si>
  <si>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</si>
  <si>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</si>
  <si>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</si>
  <si>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</si>
  <si>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</si>
  <si>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</si>
  <si>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</si>
  <si>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</si>
  <si>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</si>
  <si>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</si>
  <si>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</si>
  <si>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</si>
  <si>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</si>
  <si>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</si>
  <si>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</si>
  <si>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</si>
  <si>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</si>
  <si>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</si>
  <si>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</si>
  <si>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</si>
  <si>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</si>
  <si>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</si>
  <si>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</si>
  <si>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</si>
  <si>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</si>
  <si>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</si>
  <si>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</si>
  <si>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</si>
  <si>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</si>
  <si>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</si>
  <si>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</si>
  <si>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</si>
  <si>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</si>
  <si>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</si>
  <si>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</si>
  <si>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</si>
  <si>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</si>
  <si>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</si>
  <si>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</si>
  <si>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</si>
  <si>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</si>
  <si>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</si>
  <si>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</si>
  <si>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</si>
  <si>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</si>
  <si>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</si>
  <si>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</si>
  <si>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</si>
  <si>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</si>
  <si>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</si>
  <si>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</si>
  <si>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</si>
  <si>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</si>
  <si>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</si>
  <si>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</si>
  <si>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</si>
  <si>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</si>
  <si>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</si>
  <si>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</si>
  <si>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</si>
  <si>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</si>
  <si>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</si>
  <si>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</si>
  <si>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</si>
  <si>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</si>
  <si>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</si>
  <si>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</si>
  <si>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</si>
  <si>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</si>
  <si>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</si>
  <si>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</si>
  <si>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</si>
  <si>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</si>
  <si>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</si>
  <si>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</si>
  <si>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</si>
  <si>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</si>
  <si>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</si>
  <si>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</si>
  <si>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</si>
  <si>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</si>
  <si>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</si>
  <si>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</si>
  <si>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</si>
  <si>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</si>
  <si>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</si>
  <si>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</si>
  <si>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</si>
  <si>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</si>
  <si>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</si>
  <si>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</si>
  <si>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</si>
  <si>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</si>
  <si>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</si>
  <si>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</si>
  <si>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</si>
  <si>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</si>
  <si>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</si>
  <si>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</si>
  <si>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</si>
  <si>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</si>
  <si>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</si>
  <si>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</si>
  <si>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</si>
  <si>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</si>
  <si>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</si>
  <si>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</si>
  <si>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</si>
  <si>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</si>
  <si>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</si>
  <si>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</si>
  <si>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</si>
  <si>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</si>
  <si>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</si>
  <si>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</si>
  <si>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</si>
  <si>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</si>
  <si>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</si>
  <si>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</si>
  <si>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</si>
  <si>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</si>
  <si>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</si>
  <si>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</si>
  <si>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</si>
  <si>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</si>
  <si>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</si>
  <si>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</si>
  <si>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</si>
  <si>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</si>
  <si>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</si>
  <si>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</si>
  <si>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</si>
  <si>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</si>
  <si>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</si>
  <si>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</si>
  <si>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</si>
  <si>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</si>
  <si>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</si>
  <si>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</si>
  <si>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</si>
  <si>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</si>
  <si>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</si>
  <si>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</si>
  <si>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</si>
  <si>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</si>
  <si>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</si>
  <si>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</si>
  <si>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</si>
  <si>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</si>
  <si>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</si>
  <si>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</si>
  <si>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</si>
  <si>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</si>
  <si>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</si>
  <si>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</si>
  <si>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</si>
  <si>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</si>
  <si>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</si>
  <si>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</si>
  <si>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</si>
  <si>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</si>
  <si>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</si>
  <si>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</si>
  <si>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</si>
  <si>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</si>
  <si>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</si>
  <si>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</si>
  <si>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</si>
  <si>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</si>
  <si>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</si>
  <si>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</si>
  <si>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</si>
  <si>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</si>
  <si>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</si>
  <si>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</si>
  <si>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</si>
  <si>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</si>
  <si>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</si>
  <si>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</si>
  <si>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</si>
  <si>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</si>
  <si>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</si>
  <si>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</si>
  <si>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</si>
  <si>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</si>
  <si>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</si>
  <si>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</si>
  <si>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</si>
  <si>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</si>
  <si>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</si>
  <si>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</si>
  <si>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</si>
  <si>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</si>
  <si>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</si>
  <si>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</si>
  <si>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</si>
  <si>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</si>
  <si>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</si>
  <si>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</si>
  <si>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</si>
  <si>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</si>
  <si>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</si>
  <si>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</si>
  <si>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</si>
  <si>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</si>
  <si>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</si>
  <si>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</si>
  <si>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</si>
  <si>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</si>
  <si>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</si>
  <si>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</si>
  <si>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</si>
  <si>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</si>
  <si>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</si>
  <si>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</si>
  <si>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</si>
  <si>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</si>
  <si>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</si>
  <si>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</si>
  <si>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</si>
  <si>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</si>
  <si>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</si>
  <si>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</si>
  <si>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</si>
  <si>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</si>
  <si>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</si>
  <si>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</si>
  <si>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</si>
  <si>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</si>
  <si>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</si>
  <si>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</si>
  <si>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</si>
  <si>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</si>
  <si>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</si>
  <si>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</si>
  <si>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</si>
  <si>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</si>
  <si>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</si>
  <si>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</si>
  <si>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</si>
  <si>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</si>
  <si>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</si>
  <si>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</si>
  <si>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</si>
  <si>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</si>
  <si>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</si>
  <si>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</si>
  <si>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</si>
  <si>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</si>
  <si>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</si>
  <si>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</si>
  <si>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</si>
  <si>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</si>
  <si>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</si>
  <si>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</si>
  <si>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</si>
  <si>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</si>
  <si>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</si>
  <si>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</si>
  <si>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</si>
  <si>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</si>
  <si>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</si>
  <si>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</si>
  <si>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</si>
  <si>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</si>
  <si>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</si>
  <si>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</si>
  <si>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</si>
  <si>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</si>
  <si>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</si>
  <si>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</si>
  <si>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</si>
  <si>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</si>
  <si>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</si>
  <si>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</si>
  <si>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</si>
  <si>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</si>
  <si>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</si>
  <si>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</si>
  <si>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</si>
  <si>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</si>
  <si>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</si>
  <si>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</si>
  <si>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</si>
  <si>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</si>
  <si>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</si>
  <si>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</si>
  <si>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</si>
  <si>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</si>
  <si>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</si>
  <si>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</si>
  <si>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</si>
  <si>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</si>
  <si>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</si>
  <si>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</si>
  <si>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</si>
  <si>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</si>
  <si>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</si>
  <si>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</si>
  <si>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</si>
  <si>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</si>
  <si>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</si>
  <si>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</si>
  <si>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</si>
  <si>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</si>
  <si>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</si>
  <si>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</si>
  <si>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</si>
  <si>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</si>
  <si>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</si>
  <si>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</si>
  <si>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</si>
  <si>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</si>
  <si>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</si>
  <si>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</si>
  <si>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</si>
  <si>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</si>
  <si>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</si>
  <si>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</si>
  <si>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</si>
  <si>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</si>
  <si>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</si>
  <si>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</si>
  <si>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</si>
  <si>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</si>
  <si>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</si>
  <si>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</si>
  <si>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</si>
  <si>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</si>
  <si>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</si>
  <si>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</si>
  <si>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</si>
  <si>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</si>
  <si>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</si>
  <si>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</si>
  <si>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</si>
  <si>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</si>
  <si>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</si>
  <si>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</si>
  <si>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</si>
  <si>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</si>
  <si>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</si>
  <si>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</si>
  <si>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</si>
  <si>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</si>
  <si>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</si>
  <si>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</si>
  <si>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</si>
  <si>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</si>
  <si>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</si>
  <si>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</si>
  <si>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</si>
  <si>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</si>
  <si>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</si>
  <si>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</si>
  <si>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</si>
  <si>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</si>
  <si>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</si>
  <si>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</si>
  <si>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</si>
  <si>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</si>
  <si>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</si>
  <si>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</si>
  <si>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</si>
  <si>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</si>
  <si>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</si>
  <si>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</si>
  <si>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</si>
  <si>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</si>
  <si>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</si>
  <si>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</si>
  <si>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</si>
  <si>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</si>
  <si>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</si>
  <si>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</si>
  <si>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</si>
  <si>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</si>
  <si>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</si>
  <si>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</si>
  <si>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</si>
  <si>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</si>
  <si>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</si>
  <si>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</si>
  <si>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</si>
  <si>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</si>
  <si>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</si>
  <si>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</si>
  <si>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</si>
  <si>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</si>
  <si>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</si>
  <si>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</si>
  <si>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</si>
  <si>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</si>
  <si>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</si>
  <si>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</si>
  <si>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</si>
  <si>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</si>
  <si>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</si>
  <si>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</si>
  <si>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</si>
  <si>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</si>
  <si>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</si>
  <si>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</si>
  <si>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</si>
  <si>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</si>
  <si>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</si>
  <si>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</si>
  <si>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</si>
  <si>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</si>
  <si>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</si>
  <si>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</si>
  <si>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</si>
  <si>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</si>
  <si>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</si>
  <si>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</si>
  <si>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</si>
  <si>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</si>
  <si>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</si>
  <si>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</si>
  <si>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</si>
  <si>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</si>
  <si>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</si>
  <si>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</si>
  <si>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</si>
  <si>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</si>
  <si>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</si>
  <si>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</si>
  <si>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</si>
  <si>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</si>
  <si>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</si>
  <si>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</si>
  <si>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</si>
  <si>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</si>
  <si>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</si>
  <si>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</si>
  <si>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</si>
  <si>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</si>
  <si>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</si>
  <si>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</si>
  <si>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</si>
  <si>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</si>
  <si>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</si>
  <si>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</si>
  <si>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</si>
  <si>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</si>
  <si>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</si>
  <si>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</si>
  <si>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</si>
  <si>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</si>
  <si>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</si>
  <si>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</si>
  <si>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</si>
  <si>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</si>
  <si>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</si>
  <si>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</si>
  <si>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</si>
  <si>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</si>
  <si>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</si>
  <si>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</si>
  <si>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</si>
  <si>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</si>
  <si>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</si>
  <si>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</si>
  <si>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</si>
  <si>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</si>
  <si>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</si>
  <si>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</si>
  <si>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</si>
  <si>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</si>
  <si>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</si>
  <si>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</si>
  <si>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</si>
  <si>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</si>
  <si>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</si>
  <si>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</si>
  <si>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</si>
  <si>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</si>
  <si>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</si>
  <si>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</si>
  <si>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</si>
  <si>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</si>
  <si>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</si>
  <si>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</si>
  <si>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</si>
  <si>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</si>
  <si>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</si>
  <si>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</si>
  <si>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</si>
  <si>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</si>
  <si>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</si>
  <si>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</si>
  <si>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</si>
  <si>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</si>
  <si>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</si>
  <si>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</si>
  <si>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</si>
  <si>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</si>
  <si>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</si>
  <si>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</si>
  <si>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</si>
  <si>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</si>
  <si>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</si>
  <si>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</si>
  <si>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</si>
  <si>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</si>
  <si>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</si>
  <si>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</si>
  <si>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</si>
  <si>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</si>
  <si>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</si>
  <si>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</si>
  <si>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</si>
  <si>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</si>
  <si>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</si>
  <si>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</si>
  <si>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</si>
  <si>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</si>
  <si>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</si>
  <si>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</si>
  <si>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</si>
  <si>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</si>
  <si>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</si>
  <si>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</si>
  <si>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</si>
  <si>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</si>
  <si>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</si>
  <si>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</si>
  <si>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</si>
  <si>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</si>
  <si>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</si>
  <si>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</si>
  <si>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</si>
  <si>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</si>
  <si>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</si>
  <si>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</si>
  <si>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</si>
  <si>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</si>
  <si>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</si>
  <si>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</si>
  <si>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</si>
  <si>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</si>
  <si>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</si>
  <si>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</si>
  <si>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</si>
  <si>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</si>
  <si>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</si>
  <si>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</si>
  <si>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</si>
  <si>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</si>
  <si>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</si>
  <si>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</si>
  <si>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</si>
  <si>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</si>
  <si>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</si>
  <si>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</si>
  <si>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</si>
  <si>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</si>
  <si>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</si>
  <si>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</si>
  <si>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</si>
  <si>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</si>
  <si>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</si>
  <si>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</si>
  <si>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</si>
  <si>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</si>
  <si>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</si>
  <si>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</si>
  <si>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</si>
  <si>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</si>
  <si>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</si>
  <si>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</si>
  <si>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</si>
  <si>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</si>
  <si>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</si>
  <si>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</si>
  <si>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</si>
  <si>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</si>
  <si>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</si>
  <si>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</si>
  <si>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</si>
  <si>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</si>
  <si>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</si>
  <si>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</si>
  <si>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</si>
  <si>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</si>
  <si>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</si>
  <si>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</si>
  <si>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</si>
  <si>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</si>
  <si>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</si>
  <si>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</si>
  <si>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</si>
  <si>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</si>
  <si>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</si>
  <si>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</si>
  <si>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</si>
  <si>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</si>
  <si>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</si>
  <si>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</si>
  <si>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</si>
  <si>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</si>
  <si>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</si>
  <si>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</si>
  <si>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</si>
  <si>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</si>
  <si>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</si>
  <si>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</si>
  <si>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</si>
  <si>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</si>
  <si>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</si>
  <si>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</si>
  <si>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</si>
  <si>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</si>
  <si>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</si>
  <si>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</si>
  <si>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</si>
  <si>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</si>
  <si>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</si>
  <si>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</si>
  <si>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</si>
  <si>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</si>
  <si>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</si>
  <si>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</si>
  <si>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</si>
  <si>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</si>
  <si>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</si>
  <si>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</si>
  <si>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</si>
  <si>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</si>
  <si>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</si>
  <si>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</si>
  <si>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</si>
  <si>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</si>
  <si>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</si>
  <si>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</si>
  <si>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</si>
  <si>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</si>
  <si>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</si>
  <si>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</si>
  <si>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</si>
  <si>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</si>
  <si>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</si>
  <si>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</si>
  <si>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</si>
  <si>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</si>
  <si>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</si>
  <si>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</si>
  <si>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</si>
  <si>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</si>
  <si>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</si>
  <si>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</si>
  <si>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</si>
  <si>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</si>
  <si>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</si>
  <si>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</si>
  <si>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</si>
  <si>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</si>
  <si>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</si>
  <si>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</si>
  <si>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</si>
  <si>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</si>
  <si>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</si>
  <si>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</si>
  <si>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</si>
  <si>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</si>
  <si>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</si>
  <si>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</si>
  <si>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</si>
  <si>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</si>
  <si>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</si>
  <si>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</si>
  <si>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</si>
  <si>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</si>
  <si>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</si>
  <si>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</si>
  <si>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</si>
  <si>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</si>
  <si>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</si>
  <si>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</si>
  <si>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</si>
  <si>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</si>
  <si>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</si>
  <si>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</si>
  <si>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</si>
  <si>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</si>
  <si>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</si>
  <si>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</si>
  <si>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</si>
  <si>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</si>
  <si>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</si>
  <si>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</si>
  <si>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</si>
  <si>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</si>
  <si>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</si>
  <si>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</si>
  <si>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</si>
  <si>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</si>
  <si>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</si>
  <si>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</si>
  <si>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</si>
  <si>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</si>
  <si>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</si>
  <si>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</si>
  <si>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</si>
  <si>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</si>
  <si>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</si>
  <si>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</si>
  <si>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</si>
  <si>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</si>
  <si>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</si>
  <si>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</si>
  <si>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</si>
  <si>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</si>
  <si>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</si>
  <si>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</si>
  <si>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</si>
  <si>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</si>
  <si>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</si>
  <si>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</si>
  <si>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</si>
  <si>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</si>
  <si>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</si>
  <si>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</si>
  <si>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</si>
  <si>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</si>
  <si>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</si>
  <si>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</si>
  <si>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</si>
  <si>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</si>
  <si>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</si>
  <si>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</si>
  <si>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</si>
  <si>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</si>
  <si>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</si>
  <si>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</si>
  <si>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</si>
  <si>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</si>
  <si>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</si>
  <si>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</si>
  <si>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</si>
  <si>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</si>
  <si>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</si>
  <si>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</si>
  <si>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</si>
  <si>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</si>
  <si>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</si>
  <si>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</si>
  <si>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</si>
  <si>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</si>
  <si>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</si>
  <si>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</si>
  <si>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</si>
  <si>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</si>
  <si>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</si>
  <si>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</si>
  <si>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</si>
  <si>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</si>
  <si>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</si>
  <si>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</si>
  <si>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</si>
  <si>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</si>
  <si>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</si>
  <si>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</si>
  <si>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</si>
  <si>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</si>
  <si>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</si>
  <si>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</si>
  <si>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</si>
  <si>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</si>
  <si>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</si>
  <si>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</si>
  <si>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</si>
  <si>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</si>
  <si>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</si>
  <si>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</si>
  <si>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</si>
  <si>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</si>
  <si>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</si>
  <si>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</si>
  <si>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</si>
  <si>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</si>
  <si>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</si>
  <si>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</si>
  <si>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</si>
  <si>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</si>
  <si>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</si>
  <si>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</si>
  <si>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</si>
  <si>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</si>
  <si>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</si>
  <si>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</si>
  <si>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</si>
  <si>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</si>
  <si>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</si>
  <si>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</si>
  <si>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</si>
  <si>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</si>
  <si>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</si>
  <si>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</si>
  <si>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</si>
  <si>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</si>
  <si>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</si>
  <si>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</si>
  <si>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</si>
  <si>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</si>
  <si>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</si>
  <si>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</si>
  <si>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</si>
  <si>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</si>
  <si>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</si>
  <si>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</si>
  <si>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</si>
  <si>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</si>
  <si>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</si>
  <si>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</si>
  <si>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</si>
  <si>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</si>
  <si>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</si>
  <si>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</si>
  <si>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</si>
  <si>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</si>
  <si>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</si>
  <si>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</si>
  <si>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</si>
  <si>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</si>
  <si>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</si>
  <si>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</si>
  <si>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</si>
  <si>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</si>
  <si>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</si>
  <si>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</si>
  <si>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</si>
  <si>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</si>
  <si>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</si>
  <si>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</si>
  <si>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</si>
  <si>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</si>
  <si>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</si>
  <si>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</si>
  <si>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</si>
  <si>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</si>
  <si>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</si>
  <si>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</si>
  <si>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</si>
  <si>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</si>
  <si>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</si>
  <si>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</si>
  <si>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</si>
  <si>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</si>
  <si>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</si>
  <si>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</si>
  <si>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</si>
  <si>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</si>
  <si>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</si>
  <si>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</si>
  <si>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</si>
  <si>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</si>
  <si>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</si>
  <si>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</si>
  <si>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</si>
  <si>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</si>
  <si>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</si>
  <si>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</si>
  <si>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</si>
  <si>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</si>
  <si>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</si>
  <si>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</si>
  <si>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</si>
  <si>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</si>
  <si>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</si>
  <si>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</si>
  <si>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</si>
  <si>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</si>
  <si>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</si>
  <si>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</si>
  <si>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</si>
  <si>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</si>
  <si>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</si>
  <si>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</si>
  <si>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</si>
  <si>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</si>
  <si>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</si>
  <si>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</si>
  <si>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</si>
  <si>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</si>
  <si>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</si>
  <si>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</si>
  <si>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</si>
  <si>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</si>
  <si>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</si>
  <si>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</si>
  <si>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</si>
  <si>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</si>
  <si>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</si>
  <si>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</si>
  <si>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</si>
  <si>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</si>
  <si>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</si>
  <si>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</si>
  <si>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</si>
  <si>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</si>
  <si>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</si>
  <si>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</si>
  <si>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</si>
  <si>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</si>
  <si>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</si>
  <si>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</si>
  <si>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</si>
  <si>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</si>
  <si>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</si>
  <si>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</si>
  <si>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</si>
  <si>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</si>
  <si>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</si>
  <si>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</si>
  <si>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</si>
  <si>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</si>
  <si>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</si>
  <si>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</si>
  <si>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</si>
  <si>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</si>
  <si>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</si>
  <si>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</si>
  <si>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</si>
  <si>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</si>
  <si>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</si>
  <si>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</si>
  <si>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</si>
  <si>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</si>
  <si>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</si>
  <si>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</si>
  <si>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</si>
  <si>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</si>
  <si>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</si>
  <si>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</si>
  <si>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</si>
  <si>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</si>
  <si>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</si>
  <si>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</si>
  <si>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</si>
  <si>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</si>
  <si>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</si>
  <si>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</si>
  <si>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</si>
  <si>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</si>
  <si>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</si>
  <si>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</si>
  <si>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</si>
  <si>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</si>
  <si>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</si>
  <si>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</si>
  <si>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</si>
  <si>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</si>
  <si>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</si>
  <si>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</si>
  <si>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</si>
  <si>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</si>
  <si>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</si>
  <si>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</si>
  <si>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</si>
  <si>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</si>
  <si>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</si>
  <si>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</si>
  <si>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</si>
  <si>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</si>
  <si>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</si>
  <si>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</si>
  <si>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</si>
  <si>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</si>
  <si>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</si>
  <si>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</si>
  <si>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</si>
  <si>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</si>
  <si>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</si>
  <si>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</si>
  <si>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</si>
  <si>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</si>
  <si>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</si>
  <si>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</si>
  <si>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</si>
  <si>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</si>
  <si>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</si>
  <si>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</si>
  <si>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</si>
  <si>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</si>
  <si>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</si>
  <si>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</si>
  <si>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</si>
  <si>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</si>
  <si>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</si>
  <si>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</si>
  <si>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</si>
  <si>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</si>
  <si>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</si>
  <si>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</si>
  <si>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</si>
  <si>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</si>
  <si>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</si>
  <si>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</si>
  <si>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</si>
  <si>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</si>
  <si>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</si>
  <si>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</si>
  <si>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</si>
  <si>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</si>
  <si>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</si>
  <si>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</si>
  <si>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</si>
  <si>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</si>
  <si>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</si>
  <si>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</si>
  <si>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</si>
  <si>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</si>
  <si>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</si>
  <si>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</si>
  <si>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</si>
  <si>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</si>
  <si>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</si>
  <si>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</si>
  <si>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</si>
  <si>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</si>
  <si>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</si>
  <si>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</si>
  <si>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</si>
  <si>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</si>
  <si>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</si>
  <si>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</si>
  <si>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</si>
  <si>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</si>
  <si>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</si>
  <si>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</si>
  <si>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</si>
  <si>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</si>
  <si>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</si>
  <si>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</si>
  <si>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</si>
  <si>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</si>
  <si>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</si>
  <si>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</si>
  <si>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</si>
  <si>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</si>
  <si>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</si>
  <si>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</si>
  <si>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</si>
  <si>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</si>
  <si>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</si>
  <si>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</si>
  <si>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</si>
  <si>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</si>
  <si>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</si>
  <si>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</si>
  <si>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</si>
  <si>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</si>
  <si>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</si>
  <si>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</si>
  <si>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</si>
  <si>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</si>
  <si>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</si>
  <si>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</si>
  <si>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</si>
  <si>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</si>
  <si>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</si>
  <si>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</si>
  <si>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</si>
  <si>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</si>
  <si>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</si>
  <si>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</si>
  <si>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</si>
  <si>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</si>
  <si>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</si>
  <si>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</si>
  <si>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</si>
  <si>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</si>
  <si>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</si>
  <si>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</si>
  <si>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</si>
  <si>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</si>
  <si>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</si>
  <si>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</si>
  <si>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</si>
  <si>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</si>
  <si>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</si>
  <si>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</si>
  <si>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</si>
  <si>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</si>
  <si>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</si>
  <si>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</si>
  <si>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</si>
  <si>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</si>
  <si>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</si>
  <si>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</si>
  <si>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</si>
  <si>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</si>
  <si>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</si>
  <si>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</si>
  <si>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</si>
  <si>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</si>
  <si>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</si>
  <si>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</si>
  <si>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</si>
  <si>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</si>
  <si>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</si>
  <si>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</si>
  <si>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</si>
  <si>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</si>
  <si>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</si>
  <si>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</si>
  <si>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</si>
  <si>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</si>
  <si>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</si>
  <si>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</si>
  <si>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</si>
  <si>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</si>
  <si>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</si>
  <si>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</si>
  <si>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</si>
  <si>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</si>
  <si>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</si>
  <si>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</si>
  <si>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</si>
  <si>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</si>
  <si>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</si>
  <si>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</si>
  <si>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</si>
  <si>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</si>
  <si>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</si>
  <si>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</si>
  <si>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</si>
  <si>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</si>
  <si>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</si>
  <si>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</si>
  <si>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</si>
  <si>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</si>
  <si>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</si>
  <si>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</si>
  <si>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</si>
  <si>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</si>
  <si>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</si>
  <si>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</si>
  <si>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</si>
  <si>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</si>
  <si>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</si>
  <si>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</si>
  <si>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</si>
  <si>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</si>
  <si>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</si>
  <si>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</si>
  <si>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</si>
  <si>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</si>
  <si>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</si>
  <si>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</si>
  <si>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</si>
  <si>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</si>
  <si>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</si>
  <si>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</si>
  <si>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</si>
  <si>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</si>
  <si>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</si>
  <si>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</si>
  <si>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</si>
  <si>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</si>
  <si>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</si>
  <si>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</si>
  <si>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</si>
  <si>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</si>
  <si>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</si>
  <si>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</si>
  <si>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</si>
  <si>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</si>
  <si>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</si>
  <si>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</si>
  <si>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</si>
  <si>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</si>
  <si>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</si>
  <si>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</si>
  <si>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</si>
  <si>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</si>
  <si>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</si>
  <si>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</si>
  <si>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</si>
  <si>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</si>
  <si>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</si>
  <si>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</si>
  <si>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</si>
  <si>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</si>
  <si>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</si>
  <si>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</si>
  <si>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</si>
  <si>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</si>
  <si>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</si>
  <si>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</si>
  <si>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</si>
  <si>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</si>
  <si>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</si>
  <si>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</si>
  <si>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</si>
  <si>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</si>
  <si>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</si>
  <si>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</si>
  <si>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</si>
  <si>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</si>
  <si>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</si>
  <si>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</si>
  <si>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</si>
  <si>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</si>
  <si>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</si>
  <si>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</si>
  <si>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</si>
  <si>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</si>
  <si>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</si>
  <si>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</si>
  <si>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</si>
  <si>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</si>
  <si>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</si>
  <si>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</si>
  <si>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</si>
  <si>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</si>
  <si>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</si>
  <si>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</si>
  <si>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</si>
  <si>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</si>
  <si>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</si>
  <si>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</si>
  <si>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</si>
  <si>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</si>
  <si>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</si>
  <si>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</si>
  <si>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</si>
  <si>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</si>
  <si>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</si>
  <si>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</si>
  <si>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</si>
  <si>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</si>
  <si>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</si>
  <si>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</si>
  <si>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</si>
  <si>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</si>
  <si>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</si>
  <si>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</si>
  <si>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</si>
  <si>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</si>
  <si>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</si>
  <si>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</si>
  <si>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</si>
  <si>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</si>
  <si>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</si>
  <si>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</si>
  <si>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</si>
  <si>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</si>
  <si>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</si>
  <si>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</si>
  <si>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</si>
  <si>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</si>
  <si>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</si>
  <si>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</si>
  <si>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</si>
  <si>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</si>
  <si>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</si>
  <si>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</si>
  <si>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</si>
  <si>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</si>
  <si>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</si>
  <si>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</si>
  <si>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</si>
  <si>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</si>
  <si>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</si>
  <si>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</si>
  <si>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</si>
  <si>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</si>
  <si>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</si>
  <si>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</si>
  <si>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</si>
  <si>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</si>
  <si>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</si>
  <si>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</si>
  <si>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</si>
  <si>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</si>
  <si>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</si>
  <si>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</si>
  <si>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</si>
  <si>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</si>
  <si>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</si>
  <si>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</si>
  <si>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</si>
  <si>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</si>
  <si>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</si>
  <si>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</si>
  <si>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</si>
  <si>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</si>
  <si>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</si>
  <si>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</si>
  <si>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</si>
  <si>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</si>
  <si>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</si>
  <si>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</si>
  <si>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</si>
  <si>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</si>
  <si>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</si>
  <si>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</si>
  <si>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</si>
  <si>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</si>
  <si>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</si>
  <si>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</si>
  <si>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</si>
  <si>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</si>
  <si>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</si>
  <si>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</si>
  <si>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</si>
  <si>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</si>
  <si>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</si>
  <si>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</si>
  <si>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</si>
  <si>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</si>
  <si>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</si>
  <si>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</si>
  <si>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</si>
  <si>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</si>
  <si>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</si>
  <si>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</si>
  <si>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</si>
  <si>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</si>
  <si>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</si>
  <si>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</si>
  <si>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</si>
  <si>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</si>
  <si>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</si>
  <si>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</si>
  <si>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</si>
  <si>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</si>
  <si>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</si>
  <si>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</si>
  <si>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</si>
  <si>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</si>
  <si>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</si>
  <si>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</si>
  <si>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</si>
  <si>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</si>
  <si>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</si>
  <si>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</si>
  <si>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</si>
  <si>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</si>
  <si>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</si>
  <si>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</si>
  <si>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</si>
  <si>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</si>
  <si>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</si>
  <si>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</si>
  <si>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</si>
  <si>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</si>
  <si>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</si>
  <si>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</si>
  <si>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</si>
  <si>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</si>
  <si>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</si>
  <si>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</si>
  <si>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</si>
  <si>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</si>
  <si>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</si>
  <si>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</si>
  <si>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</si>
  <si>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</si>
  <si>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</si>
  <si>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</si>
  <si>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</si>
  <si>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</si>
  <si>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</si>
  <si>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</si>
  <si>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</si>
  <si>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</si>
  <si>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</si>
  <si>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</si>
  <si>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</si>
  <si>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</si>
  <si>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</si>
  <si>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</si>
  <si>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</si>
  <si>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</si>
  <si>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</si>
  <si>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</si>
  <si>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</si>
  <si>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</si>
  <si>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</si>
  <si>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</si>
  <si>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</si>
  <si>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</si>
  <si>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</si>
  <si>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</si>
  <si>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</si>
  <si>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</si>
  <si>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</si>
  <si>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</si>
  <si>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</si>
  <si>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</si>
  <si>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</si>
  <si>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</si>
  <si>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</si>
  <si>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</si>
  <si>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</si>
  <si>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</si>
  <si>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</si>
  <si>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</si>
  <si>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</si>
  <si>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</si>
  <si>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</si>
  <si>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</si>
  <si>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</si>
  <si>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</si>
  <si>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</si>
  <si>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</si>
  <si>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</si>
  <si>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</si>
  <si>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</si>
  <si>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</si>
  <si>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</si>
  <si>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</si>
  <si>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</si>
  <si>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</si>
  <si>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</si>
  <si>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</si>
  <si>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</si>
  <si>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</si>
  <si>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</si>
  <si>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</si>
  <si>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</si>
  <si>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</si>
  <si>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</si>
  <si>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</si>
  <si>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</si>
  <si>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</si>
  <si>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</si>
  <si>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</si>
  <si>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</si>
  <si>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</si>
  <si>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</si>
  <si>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</si>
  <si>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</si>
  <si>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</si>
  <si>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</si>
  <si>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</si>
  <si>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</si>
  <si>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</si>
  <si>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</si>
  <si>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</si>
  <si>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</si>
  <si>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</si>
  <si>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</si>
  <si>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</si>
  <si>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</si>
  <si>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</si>
  <si>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</si>
  <si>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</si>
  <si>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</si>
  <si>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</si>
  <si>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</si>
  <si>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</si>
  <si>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</si>
  <si>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</si>
  <si>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</si>
  <si>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</si>
  <si>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</si>
  <si>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</si>
  <si>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</si>
  <si>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</si>
  <si>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</si>
  <si>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</si>
  <si>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</si>
  <si>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</si>
  <si>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</si>
  <si>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</si>
  <si>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</si>
  <si>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</si>
  <si>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</si>
  <si>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</si>
  <si>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</si>
  <si>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</si>
  <si>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</si>
  <si>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</si>
  <si>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</si>
  <si>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</si>
  <si>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</si>
  <si>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</si>
  <si>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</si>
  <si>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</si>
  <si>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</si>
  <si>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</si>
  <si>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</si>
  <si>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</si>
  <si>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</si>
  <si>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</si>
  <si>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</si>
  <si>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</si>
  <si>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</si>
  <si>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</si>
  <si>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</si>
  <si>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</si>
  <si>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</si>
  <si>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</si>
  <si>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</si>
  <si>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</si>
  <si>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</si>
  <si>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</si>
  <si>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</si>
  <si>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</si>
  <si>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</si>
  <si>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</si>
  <si>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</si>
  <si>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</si>
  <si>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</si>
  <si>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</si>
  <si>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</si>
  <si>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</si>
  <si>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</si>
  <si>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</si>
  <si>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</si>
  <si>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</si>
  <si>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</si>
  <si>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</si>
  <si>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</si>
  <si>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</si>
  <si>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</si>
  <si>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</si>
  <si>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</si>
  <si>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</si>
  <si>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</si>
  <si>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</si>
  <si>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</si>
  <si>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</si>
  <si>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</si>
  <si>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</si>
  <si>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</si>
  <si>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</si>
  <si>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</si>
  <si>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</si>
  <si>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</si>
  <si>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</si>
  <si>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</si>
  <si>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</si>
  <si>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</si>
  <si>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</si>
  <si>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</si>
  <si>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</si>
  <si>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</si>
  <si>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</si>
  <si>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</si>
  <si>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</si>
  <si>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</si>
  <si>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</si>
  <si>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</si>
  <si>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</si>
  <si>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</si>
  <si>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</si>
  <si>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</si>
  <si>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</si>
  <si>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</si>
  <si>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</si>
  <si>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</si>
  <si>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</si>
  <si>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</si>
  <si>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</si>
  <si>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</si>
  <si>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</si>
  <si>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</si>
  <si>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</si>
  <si>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</si>
  <si>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</si>
  <si>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</si>
  <si>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</si>
  <si>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</si>
  <si>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</si>
  <si>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</si>
  <si>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</si>
  <si>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</si>
  <si>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</si>
  <si>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</si>
  <si>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</si>
  <si>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</si>
  <si>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</si>
  <si>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</si>
  <si>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</si>
  <si>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</si>
  <si>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</si>
  <si>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</si>
  <si>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</si>
  <si>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</si>
  <si>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</si>
  <si>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</si>
  <si>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</si>
  <si>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</si>
  <si>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</si>
  <si>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</si>
  <si>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</si>
  <si>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</si>
  <si>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</si>
  <si>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</si>
  <si>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</si>
  <si>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</si>
  <si>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</si>
  <si>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</si>
  <si>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</si>
  <si>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</si>
  <si>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</si>
  <si>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</si>
  <si>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</si>
  <si>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</si>
  <si>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</si>
  <si>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</si>
  <si>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</si>
  <si>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</si>
  <si>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</si>
  <si>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</si>
  <si>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</si>
  <si>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</si>
  <si>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</si>
  <si>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</si>
  <si>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</si>
  <si>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</si>
  <si>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</si>
  <si>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</si>
  <si>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</si>
  <si>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</si>
  <si>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</si>
  <si>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</si>
  <si>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</si>
  <si>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</si>
  <si>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</si>
  <si>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</si>
  <si>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</si>
  <si>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</si>
  <si>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</si>
  <si>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</si>
  <si>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</si>
  <si>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</si>
  <si>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</si>
  <si>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</si>
  <si>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</si>
  <si>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</si>
  <si>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</si>
  <si>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</si>
  <si>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</si>
  <si>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</si>
  <si>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</si>
  <si>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</si>
  <si>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</si>
  <si>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</si>
  <si>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</si>
  <si>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</si>
  <si>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</si>
  <si>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</si>
  <si>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</si>
  <si>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</si>
  <si>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</si>
  <si>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</si>
  <si>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</si>
  <si>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</si>
  <si>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</si>
  <si>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</si>
  <si>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</si>
  <si>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</si>
  <si>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</si>
  <si>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</si>
  <si>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</si>
  <si>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</si>
  <si>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</si>
  <si>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</si>
  <si>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</si>
  <si>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</si>
  <si>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</si>
  <si>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</si>
  <si>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</si>
  <si>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</si>
  <si>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</si>
  <si>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</si>
  <si>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</si>
  <si>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</si>
  <si>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</si>
  <si>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</si>
  <si>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</si>
  <si>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</si>
  <si>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</si>
  <si>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</si>
  <si>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</si>
  <si>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</si>
  <si>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</si>
  <si>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</si>
  <si>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</si>
  <si>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</si>
  <si>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</si>
  <si>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</si>
  <si>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</si>
  <si>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</si>
  <si>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</si>
  <si>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</si>
  <si>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</si>
  <si>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</si>
  <si>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</si>
  <si>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</si>
  <si>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</si>
  <si>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</si>
  <si>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</si>
  <si>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</si>
  <si>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</si>
  <si>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</si>
  <si>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</si>
  <si>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</si>
  <si>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</si>
  <si>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</si>
  <si>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</si>
  <si>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</si>
  <si>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</si>
  <si>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</si>
  <si>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</si>
  <si>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</si>
  <si>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</si>
  <si>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</si>
  <si>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</si>
  <si>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</si>
  <si>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</si>
  <si>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</si>
  <si>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</si>
  <si>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</si>
  <si>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</si>
  <si>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</si>
  <si>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</si>
  <si>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</si>
  <si>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</si>
  <si>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</si>
  <si>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</si>
  <si>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</si>
  <si>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</si>
  <si>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</si>
  <si>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</si>
  <si>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</si>
  <si>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</si>
  <si>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</si>
  <si>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</si>
  <si>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</si>
  <si>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</si>
  <si>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</si>
  <si>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</si>
  <si>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</si>
  <si>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</si>
  <si>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</si>
  <si>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</si>
  <si>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</si>
  <si>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</si>
  <si>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</si>
  <si>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</si>
  <si>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</si>
  <si>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</si>
  <si>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</si>
  <si>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</si>
  <si>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</si>
  <si>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</si>
  <si>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</si>
  <si>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</si>
  <si>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</si>
  <si>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</si>
  <si>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</si>
  <si>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</si>
  <si>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</si>
  <si>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</si>
  <si>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</si>
  <si>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</si>
  <si>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</si>
  <si>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</si>
  <si>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</si>
  <si>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</si>
  <si>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</si>
  <si>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</si>
  <si>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</si>
  <si>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</si>
  <si>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</si>
  <si>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</si>
  <si>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</si>
  <si>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</si>
  <si>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</si>
  <si>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</si>
  <si>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</si>
  <si>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</si>
  <si>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</si>
  <si>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</si>
  <si>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</si>
  <si>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</si>
  <si>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</si>
  <si>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</si>
  <si>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</si>
  <si>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</si>
  <si>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</si>
  <si>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</si>
  <si>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</si>
  <si>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</si>
  <si>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</si>
  <si>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</si>
  <si>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</si>
  <si>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</si>
  <si>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</si>
  <si>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</si>
  <si>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</si>
  <si>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</si>
  <si>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</si>
  <si>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</si>
  <si>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</si>
  <si>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</si>
  <si>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</si>
  <si>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</si>
  <si>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</si>
  <si>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</si>
  <si>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</si>
  <si>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</si>
  <si>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</si>
  <si>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</si>
  <si>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</si>
  <si>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</si>
  <si>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</si>
  <si>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</si>
  <si>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</si>
  <si>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</si>
  <si>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</si>
  <si>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</si>
  <si>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</si>
  <si>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</si>
  <si>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</si>
  <si>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</si>
  <si>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</si>
  <si>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</si>
  <si>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</si>
  <si>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</si>
  <si>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</si>
  <si>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</si>
  <si>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</si>
  <si>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</si>
  <si>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</si>
  <si>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</si>
  <si>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</si>
  <si>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</si>
  <si>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</si>
  <si>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</si>
  <si>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</si>
  <si>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</si>
  <si>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</si>
  <si>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</si>
  <si>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</si>
  <si>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</si>
  <si>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</si>
  <si>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</si>
  <si>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</si>
  <si>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</si>
  <si>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</si>
  <si>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</si>
  <si>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</si>
  <si>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</si>
  <si>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</si>
  <si>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</si>
  <si>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</si>
  <si>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</si>
  <si>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</si>
  <si>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</si>
  <si>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</si>
  <si>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</si>
  <si>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</si>
  <si>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</si>
  <si>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</si>
  <si>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</si>
  <si>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</si>
  <si>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</si>
  <si>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</si>
  <si>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</si>
  <si>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</si>
  <si>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</si>
  <si>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</si>
  <si>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</si>
  <si>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</si>
  <si>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</si>
  <si>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</si>
  <si>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</si>
  <si>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</si>
  <si>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</si>
  <si>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</si>
  <si>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</si>
  <si>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</si>
  <si>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</si>
  <si>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</si>
  <si>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</si>
  <si>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</si>
  <si>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</si>
  <si>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</si>
  <si>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</si>
  <si>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</si>
  <si>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</si>
  <si>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</si>
  <si>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</si>
  <si>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</si>
  <si>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</si>
  <si>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</si>
  <si>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</si>
  <si>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</si>
  <si>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</si>
  <si>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</si>
  <si>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</si>
  <si>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</si>
  <si>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</si>
  <si>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</si>
  <si>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</si>
  <si>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</si>
  <si>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</si>
  <si>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</si>
  <si>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</si>
  <si>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</si>
  <si>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</si>
  <si>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</si>
  <si>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</si>
  <si>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</si>
  <si>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</si>
  <si>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</si>
  <si>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</si>
  <si>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</si>
  <si>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</si>
  <si>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</si>
  <si>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</si>
  <si>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</si>
  <si>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</si>
  <si>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</si>
  <si>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</si>
  <si>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</si>
  <si>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</si>
  <si>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</si>
  <si>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</si>
  <si>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</si>
  <si>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</si>
  <si>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</si>
  <si>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</si>
  <si>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</si>
  <si>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</si>
  <si>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</si>
  <si>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</si>
  <si>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</si>
  <si>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</si>
  <si>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</si>
  <si>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</si>
  <si>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</si>
  <si>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</si>
  <si>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</si>
  <si>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</si>
  <si>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</si>
  <si>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</si>
  <si>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</si>
  <si>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</si>
  <si>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</si>
  <si>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</si>
  <si>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</si>
  <si>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</si>
  <si>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</si>
  <si>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</si>
  <si>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</si>
  <si>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</si>
  <si>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</si>
  <si>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</si>
  <si>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</si>
  <si>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</si>
  <si>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</si>
  <si>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</si>
  <si>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</si>
  <si>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</si>
  <si>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</si>
  <si>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</si>
  <si>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</si>
  <si>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</si>
  <si>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</si>
  <si>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</si>
  <si>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</si>
  <si>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</si>
  <si>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</si>
  <si>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</si>
  <si>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</si>
  <si>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</si>
  <si>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</si>
  <si>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</si>
  <si>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</si>
  <si>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</si>
  <si>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</si>
  <si>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</si>
  <si>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</si>
  <si>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</si>
  <si>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</si>
  <si>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</si>
  <si>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</si>
  <si>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</si>
  <si>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</si>
  <si>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</si>
  <si>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</si>
  <si>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</si>
  <si>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</si>
  <si>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</si>
  <si>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</si>
  <si>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</si>
  <si>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</si>
  <si>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</si>
  <si>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</si>
  <si>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</si>
  <si>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</si>
  <si>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</si>
  <si>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</si>
  <si>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</si>
  <si>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</si>
  <si>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</si>
  <si>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</si>
  <si>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</si>
  <si>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</si>
  <si>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</si>
  <si>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</si>
  <si>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</si>
  <si>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</si>
  <si>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</si>
  <si>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</si>
  <si>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</si>
  <si>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</si>
  <si>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</si>
  <si>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</si>
  <si>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</si>
  <si>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</si>
  <si>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</si>
  <si>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</si>
  <si>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</si>
  <si>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</si>
  <si>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</si>
  <si>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</si>
  <si>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</si>
  <si>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</si>
  <si>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</si>
  <si>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</si>
  <si>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</si>
  <si>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</si>
  <si>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</si>
  <si>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</si>
  <si>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</si>
  <si>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</si>
  <si>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</si>
  <si>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</si>
  <si>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</si>
  <si>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</si>
  <si>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</si>
  <si>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</si>
  <si>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</si>
  <si>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</si>
  <si>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</si>
  <si>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</si>
  <si>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</si>
  <si>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</si>
  <si>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</si>
  <si>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</si>
  <si>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</si>
  <si>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</si>
  <si>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</si>
  <si>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</si>
  <si>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</si>
  <si>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</si>
  <si>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</si>
  <si>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</si>
  <si>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</si>
  <si>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</si>
  <si>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</si>
  <si>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</si>
  <si>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</si>
  <si>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</si>
  <si>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</si>
  <si>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</si>
  <si>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</si>
  <si>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</si>
  <si>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</si>
  <si>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</si>
  <si>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</si>
  <si>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</si>
  <si>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</si>
  <si>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</si>
  <si>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</si>
  <si>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</si>
  <si>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</si>
  <si>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</si>
  <si>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</si>
  <si>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</si>
  <si>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</si>
  <si>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</si>
  <si>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</si>
  <si>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</si>
  <si>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</si>
  <si>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</si>
  <si>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</si>
  <si>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</si>
  <si>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</si>
  <si>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</si>
  <si>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</si>
  <si>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</si>
  <si>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</si>
  <si>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</si>
  <si>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</si>
  <si>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</si>
  <si>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</si>
  <si>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</si>
  <si>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</si>
  <si>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</si>
  <si>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</si>
  <si>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</si>
  <si>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</si>
  <si>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</si>
  <si>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</si>
  <si>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</si>
  <si>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</si>
  <si>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</si>
  <si>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</si>
  <si>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</si>
  <si>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</si>
  <si>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</si>
  <si>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</si>
  <si>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</si>
  <si>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</si>
  <si>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</si>
  <si>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</si>
  <si>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</si>
  <si>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</si>
  <si>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</si>
  <si>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</si>
  <si>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</si>
  <si>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</si>
  <si>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</si>
  <si>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</si>
  <si>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</si>
  <si>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</si>
  <si>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</si>
  <si>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</si>
  <si>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</si>
  <si>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</si>
  <si>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</si>
  <si>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</si>
  <si>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</si>
  <si>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</si>
  <si>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</si>
  <si>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</si>
  <si>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</si>
  <si>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</si>
  <si>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</si>
  <si>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</si>
  <si>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</si>
  <si>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</si>
  <si>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</si>
  <si>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</si>
  <si>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</si>
  <si>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</si>
  <si>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</si>
  <si>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</si>
  <si>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</si>
  <si>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</si>
  <si>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</si>
  <si>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</si>
  <si>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</si>
  <si>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</si>
  <si>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</si>
  <si>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</si>
  <si>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</si>
  <si>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</si>
  <si>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</si>
  <si>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</si>
  <si>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</si>
  <si>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</si>
  <si>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</si>
  <si>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</si>
  <si>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</si>
  <si>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</si>
  <si>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</si>
  <si>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</si>
  <si>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</si>
  <si>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</si>
  <si>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</si>
  <si>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</si>
  <si>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</si>
  <si>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</si>
  <si>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</si>
  <si>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</si>
  <si>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</si>
  <si>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</si>
  <si>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</si>
  <si>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</si>
  <si>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</si>
  <si>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</si>
  <si>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</si>
  <si>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</si>
  <si>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</si>
  <si>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</si>
  <si>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</si>
  <si>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</si>
  <si>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</si>
  <si>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</si>
  <si>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</si>
  <si>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</si>
  <si>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</si>
  <si>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</si>
  <si>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</si>
  <si>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</si>
  <si>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</si>
  <si>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</si>
  <si>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</si>
  <si>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</si>
  <si>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</si>
  <si>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</si>
  <si>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</si>
  <si>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</si>
  <si>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</si>
  <si>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</si>
  <si>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</si>
  <si>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</si>
  <si>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</si>
  <si>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</si>
  <si>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</si>
  <si>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</si>
  <si>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</si>
  <si>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</si>
  <si>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</si>
  <si>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</si>
  <si>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</si>
  <si>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</si>
  <si>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</si>
  <si>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</si>
  <si>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</si>
  <si>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</si>
  <si>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</si>
  <si>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</si>
  <si>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</si>
  <si>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</si>
  <si>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</si>
  <si>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</si>
  <si>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</si>
  <si>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</si>
  <si>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</si>
  <si>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</si>
  <si>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</si>
  <si>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</si>
  <si>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</si>
  <si>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</si>
  <si>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</si>
  <si>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</si>
  <si>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</si>
  <si>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</si>
  <si>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</si>
  <si>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</si>
  <si>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</si>
  <si>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</si>
  <si>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</si>
  <si>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</si>
  <si>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</si>
  <si>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</si>
  <si>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</si>
  <si>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</si>
  <si>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</si>
  <si>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</si>
  <si>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</si>
  <si>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</si>
  <si>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</si>
  <si>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</si>
  <si>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</si>
  <si>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</si>
  <si>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</si>
  <si>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</si>
  <si>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</si>
  <si>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</si>
  <si>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</si>
  <si>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</si>
  <si>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</si>
  <si>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</si>
  <si>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</si>
  <si>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</si>
  <si>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</si>
  <si>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</si>
  <si>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</si>
  <si>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</si>
  <si>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</si>
  <si>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</si>
  <si>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</si>
  <si>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</si>
  <si>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</si>
  <si>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</si>
  <si>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</si>
  <si>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</si>
  <si>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</si>
  <si>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</si>
  <si>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</si>
  <si>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</si>
  <si>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</si>
  <si>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</si>
  <si>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</si>
  <si>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</si>
  <si>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</si>
  <si>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</si>
  <si>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</si>
  <si>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</si>
  <si>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</si>
  <si>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</si>
  <si>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</si>
  <si>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</si>
  <si>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</si>
  <si>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</si>
  <si>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</si>
  <si>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</si>
  <si>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</si>
  <si>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</si>
  <si>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</si>
  <si>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</si>
  <si>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</si>
  <si>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</si>
  <si>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</si>
  <si>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</si>
  <si>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</si>
  <si>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</si>
  <si>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</si>
  <si>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</si>
  <si>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</si>
  <si>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</si>
  <si>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</si>
  <si>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</si>
  <si>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</si>
  <si>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</si>
  <si>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</si>
  <si>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</si>
  <si>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</si>
  <si>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</si>
  <si>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</si>
  <si>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</si>
  <si>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</si>
  <si>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</si>
  <si>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</si>
  <si>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</si>
  <si>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</si>
  <si>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</si>
  <si>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</si>
  <si>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</si>
  <si>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</si>
  <si>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</si>
  <si>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</si>
  <si>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</si>
  <si>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</si>
  <si>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</si>
  <si>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</si>
  <si>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</si>
  <si>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</si>
  <si>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</si>
  <si>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</si>
  <si>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</si>
  <si>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</si>
  <si>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</si>
  <si>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</si>
  <si>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</si>
  <si>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</si>
  <si>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</si>
  <si>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</si>
  <si>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</si>
  <si>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</si>
  <si>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</si>
  <si>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</si>
  <si>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</si>
  <si>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</si>
  <si>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</si>
  <si>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</si>
  <si>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</si>
  <si>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</si>
  <si>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</si>
  <si>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</si>
  <si>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</si>
  <si>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</si>
  <si>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</si>
  <si>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</si>
  <si>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</si>
  <si>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</si>
  <si>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</si>
  <si>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</si>
  <si>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</si>
  <si>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</si>
  <si>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</si>
  <si>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</si>
  <si>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</si>
  <si>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</si>
  <si>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</si>
  <si>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</si>
  <si>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</si>
  <si>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</si>
  <si>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</si>
  <si>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</si>
  <si>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</si>
  <si>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</si>
  <si>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</si>
  <si>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</si>
  <si>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</si>
  <si>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</si>
  <si>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</si>
  <si>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</si>
  <si>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</si>
  <si>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</si>
  <si>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</si>
  <si>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</si>
  <si>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</si>
  <si>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</si>
  <si>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</si>
  <si>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</si>
  <si>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</si>
  <si>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</si>
  <si>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</si>
  <si>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</si>
  <si>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</si>
  <si>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</si>
  <si>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</si>
  <si>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</si>
  <si>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</si>
  <si>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</si>
  <si>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</si>
  <si>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</si>
  <si>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</si>
  <si>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</si>
  <si>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</si>
  <si>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</si>
  <si>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</si>
  <si>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</si>
  <si>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</si>
  <si>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</si>
  <si>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</si>
  <si>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</si>
  <si>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</si>
  <si>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</si>
  <si>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</si>
  <si>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</si>
  <si>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</si>
  <si>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</si>
  <si>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</si>
  <si>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</si>
  <si>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</si>
  <si>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</si>
  <si>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</si>
  <si>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</si>
  <si>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</si>
  <si>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</si>
  <si>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</si>
  <si>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</si>
  <si>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</si>
  <si>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</si>
  <si>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</si>
  <si>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</si>
  <si>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</si>
  <si>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</si>
  <si>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</si>
  <si>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</si>
  <si>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</si>
  <si>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</si>
  <si>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</si>
  <si>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</si>
  <si>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</si>
  <si>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</si>
  <si>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</si>
  <si>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</si>
  <si>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</si>
  <si>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</si>
  <si>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</si>
  <si>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</si>
  <si>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</si>
  <si>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</si>
  <si>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</si>
  <si>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</si>
  <si>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</si>
  <si>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</si>
  <si>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</si>
  <si>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</si>
  <si>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</si>
  <si>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</si>
  <si>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</si>
  <si>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</si>
  <si>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</si>
  <si>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</si>
  <si>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</si>
  <si>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</si>
  <si>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</si>
  <si>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</si>
  <si>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</si>
  <si>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</si>
  <si>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</si>
  <si>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</si>
  <si>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</si>
  <si>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</si>
  <si>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</si>
  <si>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</si>
  <si>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</si>
  <si>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</si>
  <si>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</si>
  <si>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</si>
  <si>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</si>
  <si>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</si>
  <si>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</si>
  <si>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</si>
  <si>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</si>
  <si>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</si>
  <si>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</si>
  <si>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</si>
  <si>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</si>
  <si>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</si>
  <si>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</si>
  <si>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</si>
  <si>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</si>
  <si>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</si>
  <si>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</si>
  <si>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</si>
  <si>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</si>
  <si>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</si>
  <si>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</si>
  <si>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</si>
  <si>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</si>
  <si>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</si>
  <si>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</si>
  <si>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</si>
  <si>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</si>
  <si>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</si>
  <si>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</si>
  <si>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</si>
  <si>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</si>
  <si>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</si>
  <si>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</si>
  <si>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</si>
  <si>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</si>
  <si>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</si>
  <si>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</si>
  <si>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</si>
  <si>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</si>
  <si>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</si>
  <si>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</si>
  <si>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</si>
  <si>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</si>
  <si>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</si>
  <si>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</si>
  <si>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</si>
  <si>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</si>
  <si>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</si>
  <si>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</si>
  <si>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</si>
  <si>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</si>
  <si>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</si>
  <si>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</si>
  <si>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</si>
  <si>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</si>
  <si>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</si>
  <si>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</si>
  <si>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</si>
  <si>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</si>
  <si>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</si>
  <si>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</si>
  <si>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</si>
  <si>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</si>
  <si>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</si>
  <si>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</si>
  <si>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</si>
  <si>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</si>
  <si>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</si>
  <si>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</si>
  <si>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</si>
  <si>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</si>
  <si>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</si>
  <si>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</si>
  <si>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</si>
  <si>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</si>
  <si>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</si>
  <si>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</si>
  <si>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</si>
  <si>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</si>
  <si>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</si>
  <si>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</si>
  <si>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</si>
  <si>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</si>
  <si>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</si>
  <si>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</si>
  <si>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</si>
  <si>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</si>
  <si>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</si>
  <si>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</si>
  <si>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</si>
  <si>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</si>
  <si>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</si>
  <si>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</si>
  <si>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</si>
  <si>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</si>
  <si>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</si>
  <si>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</si>
  <si>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</si>
  <si>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</si>
  <si>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</si>
  <si>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</si>
  <si>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</si>
  <si>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</si>
  <si>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</si>
  <si>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</si>
  <si>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</si>
  <si>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</si>
  <si>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</si>
  <si>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</si>
  <si>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</si>
  <si>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</si>
  <si>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</si>
  <si>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</si>
  <si>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</si>
  <si>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</si>
  <si>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</si>
  <si>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</si>
  <si>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</si>
  <si>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</si>
  <si>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</si>
  <si>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</si>
  <si>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</si>
  <si>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</si>
  <si>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</si>
  <si>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</si>
  <si>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</si>
  <si>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</si>
  <si>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</si>
  <si>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</si>
  <si>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</si>
  <si>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</si>
  <si>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</si>
  <si>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</si>
  <si>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</si>
  <si>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</si>
  <si>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</si>
  <si>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</si>
  <si>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</si>
  <si>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</si>
  <si>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</si>
  <si>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</si>
  <si>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</si>
  <si>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</si>
  <si>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</si>
  <si>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</si>
  <si>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</si>
  <si>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</si>
  <si>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</si>
  <si>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</si>
  <si>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</si>
  <si>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</si>
  <si>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</si>
  <si>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</si>
  <si>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</si>
  <si>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</si>
  <si>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</si>
  <si>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</si>
  <si>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</si>
  <si>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</si>
  <si>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</si>
  <si>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</si>
  <si>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</si>
  <si>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</si>
  <si>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</si>
  <si>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</si>
  <si>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</si>
  <si>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</si>
  <si>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</si>
  <si>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</si>
  <si>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</si>
  <si>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</si>
  <si>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</si>
  <si>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</si>
  <si>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</si>
  <si>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</si>
  <si>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</si>
  <si>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</si>
  <si>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</si>
  <si>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</si>
  <si>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</si>
  <si>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</si>
  <si>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</si>
  <si>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</si>
  <si>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</si>
  <si>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</si>
  <si>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</si>
  <si>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</si>
  <si>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</si>
  <si>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</si>
  <si>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</si>
  <si>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</si>
  <si>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</si>
  <si>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</si>
  <si>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</si>
  <si>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</si>
  <si>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</si>
  <si>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</si>
  <si>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</si>
  <si>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</si>
  <si>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</si>
  <si>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</si>
  <si>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</si>
  <si>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</si>
  <si>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</si>
  <si>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</si>
  <si>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</si>
  <si>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</si>
  <si>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</si>
  <si>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</si>
  <si>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</si>
  <si>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</si>
  <si>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</si>
  <si>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</si>
  <si>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</si>
  <si>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</si>
  <si>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</si>
  <si>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</si>
  <si>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</si>
  <si>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</si>
  <si>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</si>
  <si>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</si>
  <si>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</si>
  <si>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</si>
  <si>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</si>
  <si>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</si>
  <si>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</si>
  <si>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</si>
  <si>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</si>
  <si>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</si>
  <si>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</si>
  <si>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</si>
  <si>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</si>
  <si>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</si>
  <si>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</si>
  <si>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</si>
  <si>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</si>
  <si>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</si>
  <si>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</si>
  <si>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</si>
  <si>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</si>
  <si>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</si>
  <si>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</si>
  <si>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</si>
  <si>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</si>
  <si>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</si>
  <si>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</si>
  <si>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</si>
  <si>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</si>
  <si>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</si>
  <si>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</si>
  <si>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</si>
  <si>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</si>
  <si>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</si>
  <si>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</si>
  <si>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</si>
  <si>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</si>
  <si>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</si>
  <si>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</si>
  <si>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</si>
  <si>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</si>
  <si>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</si>
  <si>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</si>
  <si>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</si>
  <si>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</si>
  <si>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</si>
  <si>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</si>
  <si>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</si>
  <si>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</si>
  <si>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</si>
  <si>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</si>
  <si>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</si>
  <si>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</si>
  <si>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</si>
  <si>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</si>
  <si>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</si>
  <si>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</si>
  <si>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</si>
  <si>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</si>
  <si>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</si>
  <si>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</si>
  <si>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</si>
  <si>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</si>
  <si>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</si>
  <si>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</si>
  <si>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</si>
  <si>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</si>
  <si>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</si>
  <si>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</si>
  <si>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</si>
  <si>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</si>
  <si>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</si>
  <si>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</si>
  <si>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</si>
  <si>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</si>
  <si>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</si>
  <si>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</si>
  <si>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</si>
  <si>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</si>
  <si>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</si>
  <si>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</si>
  <si>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</si>
  <si>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</si>
  <si>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</si>
  <si>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</si>
  <si>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</si>
  <si>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</si>
  <si>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</si>
  <si>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</si>
  <si>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</si>
  <si>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</si>
  <si>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</si>
  <si>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</si>
  <si>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</si>
  <si>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</si>
  <si>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</si>
  <si>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</si>
  <si>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</si>
  <si>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</si>
  <si>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</si>
  <si>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</si>
  <si>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</si>
  <si>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</si>
  <si>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</si>
  <si>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</si>
  <si>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</si>
  <si>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</si>
  <si>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</si>
  <si>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</si>
  <si>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</si>
  <si>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</si>
  <si>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</si>
  <si>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</si>
  <si>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</si>
  <si>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</si>
  <si>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</si>
  <si>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</si>
  <si>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</si>
  <si>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</si>
  <si>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</si>
  <si>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</si>
  <si>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</si>
  <si>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</si>
  <si>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</si>
  <si>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</si>
  <si>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</si>
  <si>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</si>
  <si>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</si>
  <si>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</si>
  <si>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</si>
  <si>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</si>
  <si>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</si>
  <si>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</si>
  <si>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</si>
  <si>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</si>
  <si>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</si>
  <si>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</si>
  <si>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</si>
  <si>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</si>
  <si>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</si>
  <si>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</si>
  <si>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</si>
  <si>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</si>
  <si>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</si>
  <si>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</si>
  <si>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</si>
  <si>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</si>
  <si>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</si>
  <si>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</si>
  <si>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</si>
  <si>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</si>
  <si>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</si>
  <si>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</si>
  <si>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</si>
  <si>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</si>
  <si>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</si>
  <si>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</si>
  <si>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</si>
  <si>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</si>
  <si>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</si>
  <si>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</si>
  <si>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</si>
  <si>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</si>
  <si>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</si>
  <si>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</si>
  <si>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</si>
  <si>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</si>
  <si>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</si>
  <si>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</si>
  <si>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</si>
  <si>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</si>
  <si>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</si>
  <si>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</si>
  <si>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</si>
  <si>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</si>
  <si>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</si>
  <si>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</si>
  <si>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</si>
  <si>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</si>
  <si>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</si>
  <si>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</si>
  <si>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</si>
  <si>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</si>
  <si>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</si>
  <si>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</si>
  <si>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</si>
  <si>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</si>
  <si>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</si>
  <si>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</si>
  <si>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</si>
  <si>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</si>
  <si>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</si>
  <si>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</si>
  <si>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</si>
  <si>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</si>
  <si>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</si>
  <si>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</si>
  <si>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</si>
  <si>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</si>
  <si>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</si>
  <si>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</si>
  <si>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</si>
  <si>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</si>
  <si>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</si>
  <si>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</si>
  <si>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</si>
  <si>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</si>
  <si>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</si>
  <si>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</si>
  <si>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</si>
  <si>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</si>
  <si>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</si>
  <si>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</si>
  <si>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</si>
  <si>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</si>
  <si>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</si>
  <si>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</si>
  <si>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</si>
  <si>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</si>
  <si>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</si>
  <si>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</si>
  <si>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</si>
  <si>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</si>
  <si>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</si>
  <si>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</si>
  <si>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</si>
  <si>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</si>
  <si>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</si>
  <si>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</si>
  <si>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</si>
  <si>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</si>
  <si>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</si>
  <si>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</si>
  <si>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</si>
  <si>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</si>
  <si>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</si>
  <si>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</si>
  <si>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</si>
  <si>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</si>
  <si>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</si>
  <si>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</si>
  <si>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</si>
  <si>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</si>
  <si>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</si>
  <si>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</si>
  <si>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</si>
  <si>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</si>
  <si>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</si>
  <si>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</si>
  <si>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</si>
  <si>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</si>
  <si>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</si>
  <si>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</si>
  <si>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</si>
  <si>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</si>
  <si>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</si>
  <si>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</si>
  <si>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</si>
  <si>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</si>
  <si>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</si>
  <si>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</si>
  <si>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</si>
  <si>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</si>
  <si>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</si>
  <si>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</si>
  <si>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</si>
  <si>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</si>
  <si>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</si>
  <si>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</si>
  <si>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</si>
  <si>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</si>
  <si>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</si>
  <si>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</si>
  <si>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</si>
  <si>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</si>
  <si>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</si>
  <si>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</si>
  <si>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</si>
  <si>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</si>
  <si>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</si>
  <si>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</si>
  <si>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</si>
  <si>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</si>
  <si>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</si>
  <si>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</si>
  <si>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</si>
  <si>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</si>
  <si>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</si>
  <si>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</si>
  <si>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</si>
  <si>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</si>
  <si>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</si>
  <si>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</si>
  <si>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</si>
  <si>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</si>
  <si>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</si>
  <si>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</si>
  <si>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</si>
  <si>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</si>
  <si>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</si>
  <si>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</si>
  <si>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</si>
  <si>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</si>
  <si>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</si>
  <si>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</si>
  <si>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</si>
  <si>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</si>
  <si>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</si>
  <si>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</si>
  <si>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</si>
  <si>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</si>
  <si>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</si>
  <si>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</si>
  <si>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</si>
  <si>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</si>
  <si>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</si>
  <si>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</si>
  <si>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</si>
  <si>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</si>
  <si>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</si>
  <si>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</si>
  <si>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</si>
  <si>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</si>
  <si>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</si>
  <si>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</si>
  <si>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</si>
  <si>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</si>
  <si>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</si>
  <si>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</si>
  <si>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</si>
  <si>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</si>
  <si>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</si>
  <si>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</si>
  <si>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</si>
  <si>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</si>
  <si>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</si>
  <si>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</si>
  <si>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</si>
  <si>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</si>
  <si>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</si>
  <si>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</si>
  <si>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</si>
  <si>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</si>
  <si>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</si>
  <si>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</si>
  <si>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</si>
  <si>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</si>
  <si>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</si>
  <si>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</si>
  <si>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</si>
  <si>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</si>
  <si>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</si>
  <si>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</si>
  <si>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</si>
  <si>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</si>
  <si>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</si>
  <si>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</si>
  <si>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</si>
  <si>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</si>
  <si>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</si>
  <si>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</si>
  <si>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</si>
  <si>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</si>
  <si>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</si>
  <si>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</si>
  <si>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</si>
  <si>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</si>
  <si>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</si>
  <si>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</si>
  <si>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</si>
  <si>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</si>
  <si>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</si>
  <si>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</si>
  <si>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</si>
  <si>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</si>
  <si>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</si>
  <si>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</si>
  <si>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</si>
  <si>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</si>
  <si>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</si>
  <si>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</si>
  <si>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</si>
  <si>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</si>
  <si>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</si>
  <si>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</si>
  <si>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</si>
  <si>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</si>
  <si>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</si>
  <si>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</si>
  <si>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</si>
  <si>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</si>
  <si>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</si>
  <si>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</si>
  <si>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</si>
  <si>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</si>
  <si>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</si>
  <si>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</si>
  <si>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</si>
  <si>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</si>
  <si>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</si>
  <si>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</si>
  <si>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</si>
  <si>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</si>
  <si>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</si>
  <si>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</si>
  <si>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</si>
  <si>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</si>
  <si>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</si>
  <si>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</si>
  <si>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</si>
  <si>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</si>
  <si>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</si>
  <si>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</si>
  <si>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</si>
  <si>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</si>
  <si>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</si>
  <si>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</si>
  <si>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</si>
  <si>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</si>
  <si>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</si>
  <si>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</si>
  <si>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</si>
  <si>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</si>
  <si>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</si>
  <si>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</si>
  <si>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</si>
  <si>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</si>
  <si>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</si>
  <si>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</si>
  <si>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</si>
  <si>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</si>
  <si>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</si>
  <si>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</si>
  <si>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</si>
  <si>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</si>
  <si>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</si>
  <si>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</si>
  <si>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</si>
  <si>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</si>
  <si>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</si>
  <si>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</si>
  <si>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</si>
  <si>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</si>
  <si>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</si>
  <si>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</si>
  <si>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</si>
  <si>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</si>
  <si>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</si>
  <si>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</si>
  <si>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</si>
  <si>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</si>
  <si>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</si>
  <si>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</si>
  <si>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</si>
  <si>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</si>
  <si>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</si>
  <si>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</si>
  <si>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</si>
  <si>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</si>
  <si>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</si>
  <si>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</si>
  <si>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</si>
  <si>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</si>
  <si>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</si>
  <si>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</si>
  <si>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</si>
  <si>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</si>
  <si>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</si>
  <si>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</si>
  <si>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</si>
  <si>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</si>
  <si>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</si>
  <si>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</si>
  <si>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</si>
  <si>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</si>
  <si>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</si>
  <si>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</si>
  <si>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</si>
  <si>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</si>
  <si>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</si>
  <si>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</si>
  <si>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</si>
  <si>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</si>
  <si>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</si>
  <si>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</si>
  <si>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</si>
  <si>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</si>
  <si>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</si>
  <si>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</si>
  <si>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</si>
  <si>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</si>
  <si>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</si>
  <si>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</si>
  <si>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</si>
  <si>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</si>
  <si>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</si>
  <si>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</si>
  <si>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</si>
  <si>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</si>
  <si>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</si>
  <si>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</si>
  <si>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</si>
  <si>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</si>
  <si>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</si>
  <si>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</si>
  <si>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</si>
  <si>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</si>
  <si>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</si>
  <si>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</si>
  <si>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</si>
  <si>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</si>
  <si>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</si>
  <si>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</si>
  <si>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</si>
  <si>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</si>
  <si>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</si>
  <si>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</si>
  <si>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</si>
  <si>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</si>
  <si>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</si>
  <si>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</si>
  <si>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</si>
  <si>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</si>
  <si>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</si>
  <si>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</si>
  <si>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</si>
  <si>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</si>
  <si>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</si>
  <si>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</si>
  <si>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</si>
  <si>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</si>
  <si>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</si>
  <si>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</si>
  <si>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</si>
  <si>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</si>
  <si>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</si>
  <si>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</si>
  <si>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</si>
  <si>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</si>
  <si>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</si>
  <si>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</si>
  <si>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</si>
  <si>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</si>
  <si>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</si>
  <si>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</si>
  <si>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</si>
  <si>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</si>
  <si>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</si>
  <si>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</si>
  <si>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</si>
  <si>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</si>
  <si>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</si>
  <si>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</si>
  <si>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</si>
  <si>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</si>
  <si>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</si>
  <si>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</si>
  <si>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</si>
  <si>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</si>
  <si>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</si>
  <si>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</si>
  <si>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</si>
  <si>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</si>
  <si>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</si>
  <si>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</si>
  <si>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</si>
  <si>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</si>
  <si>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</si>
  <si>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</si>
  <si>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</si>
  <si>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</si>
  <si>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</si>
  <si>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</si>
  <si>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</si>
  <si>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</si>
  <si>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</si>
  <si>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</si>
  <si>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</si>
  <si>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</si>
  <si>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</si>
  <si>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</si>
  <si>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</si>
  <si>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</si>
  <si>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</si>
  <si>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</si>
  <si>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</si>
  <si>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</si>
  <si>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</si>
  <si>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</si>
  <si>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</si>
  <si>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</si>
  <si>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</si>
  <si>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</si>
  <si>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</si>
  <si>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</si>
  <si>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</si>
  <si>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</si>
  <si>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</si>
  <si>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</si>
  <si>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</si>
  <si>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</si>
  <si>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</si>
  <si>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</si>
  <si>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</si>
  <si>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</si>
  <si>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</si>
  <si>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</si>
  <si>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</si>
  <si>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</si>
  <si>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</si>
  <si>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</si>
  <si>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</si>
  <si>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</si>
  <si>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</si>
  <si>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</si>
  <si>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</si>
  <si>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</si>
  <si>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</si>
  <si>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</si>
  <si>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</si>
  <si>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</si>
  <si>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</si>
  <si>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</si>
  <si>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</si>
  <si>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</si>
  <si>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</si>
  <si>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</si>
  <si>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</si>
  <si>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</si>
  <si>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</si>
  <si>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</si>
  <si>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</si>
  <si>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</si>
  <si>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</si>
  <si>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</si>
  <si>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</si>
  <si>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</si>
  <si>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</si>
  <si>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</si>
  <si>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</si>
  <si>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</si>
  <si>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</si>
  <si>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</si>
  <si>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</si>
  <si>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</si>
  <si>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</si>
  <si>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</si>
  <si>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</si>
  <si>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</si>
  <si>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</si>
  <si>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</si>
  <si>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</si>
  <si>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</si>
  <si>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</si>
  <si>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</si>
  <si>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</si>
  <si>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</si>
  <si>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</si>
  <si>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</si>
  <si>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</si>
  <si>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</si>
  <si>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</si>
  <si>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</si>
  <si>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</si>
  <si>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</si>
  <si>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</si>
  <si>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</si>
  <si>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</si>
  <si>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</si>
  <si>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</si>
  <si>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</si>
  <si>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</si>
  <si>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</si>
  <si>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</si>
  <si>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</si>
  <si>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</si>
  <si>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</si>
  <si>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</si>
  <si>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</si>
  <si>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</si>
  <si>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</si>
  <si>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</si>
  <si>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</si>
  <si>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</si>
  <si>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</si>
  <si>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</si>
  <si>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</si>
  <si>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</si>
  <si>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</si>
  <si>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</si>
  <si>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</si>
  <si>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</si>
  <si>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</si>
  <si>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</si>
  <si>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</si>
  <si>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</si>
  <si>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</si>
  <si>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</si>
  <si>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</si>
  <si>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</si>
  <si>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</si>
  <si>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</si>
  <si>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</si>
  <si>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</si>
  <si>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</si>
  <si>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</si>
  <si>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</si>
  <si>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</si>
  <si>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</si>
  <si>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</si>
  <si>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</si>
  <si>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</si>
  <si>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</si>
  <si>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</si>
  <si>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</si>
  <si>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</si>
  <si>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</si>
  <si>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</si>
  <si>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</si>
  <si>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</si>
  <si>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</si>
  <si>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</si>
  <si>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</si>
  <si>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</si>
  <si>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</si>
  <si>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</si>
  <si>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</si>
  <si>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</si>
  <si>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</si>
  <si>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</si>
  <si>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</si>
  <si>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</si>
  <si>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</si>
  <si>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</si>
  <si>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</si>
  <si>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</si>
  <si>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</si>
  <si>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</si>
  <si>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</si>
  <si>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</si>
  <si>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</si>
  <si>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</si>
  <si>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</si>
  <si>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</si>
  <si>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</si>
  <si>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</si>
  <si>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</si>
  <si>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</si>
  <si>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</si>
  <si>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</si>
  <si>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</si>
  <si>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</si>
  <si>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</si>
  <si>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</si>
  <si>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</si>
  <si>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</si>
  <si>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</si>
  <si>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</si>
  <si>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</si>
  <si>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</si>
  <si>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</si>
  <si>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</si>
  <si>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</si>
  <si>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</si>
  <si>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</si>
  <si>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</si>
  <si>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</si>
  <si>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</si>
  <si>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</si>
  <si>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</si>
  <si>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</si>
  <si>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</si>
  <si>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</si>
  <si>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</si>
  <si>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</si>
  <si>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</si>
  <si>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</si>
  <si>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</si>
  <si>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</si>
  <si>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</si>
  <si>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</si>
  <si>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</si>
  <si>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</si>
  <si>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</si>
  <si>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</si>
  <si>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</si>
  <si>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</si>
  <si>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</si>
  <si>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</si>
  <si>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</si>
  <si>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</si>
  <si>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</si>
  <si>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</si>
  <si>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</si>
  <si>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</si>
  <si>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</si>
  <si>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</si>
  <si>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</si>
  <si>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</si>
  <si>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</si>
  <si>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</si>
  <si>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</si>
  <si>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</si>
  <si>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</si>
  <si>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</si>
  <si>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</si>
  <si>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</si>
  <si>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</si>
  <si>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</si>
  <si>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</si>
  <si>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</si>
  <si>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</si>
  <si>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</si>
  <si>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</si>
  <si>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</si>
  <si>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</si>
  <si>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</si>
  <si>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</si>
  <si>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</si>
  <si>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</si>
  <si>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</si>
  <si>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</si>
  <si>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</si>
  <si>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</si>
  <si>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</si>
  <si>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</si>
  <si>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</si>
  <si>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</si>
  <si>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</si>
  <si>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</si>
  <si>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</si>
  <si>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</si>
  <si>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</si>
  <si>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</si>
  <si>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</si>
  <si>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</si>
  <si>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</si>
  <si>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</si>
  <si>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</si>
  <si>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</si>
  <si>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</si>
  <si>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</si>
  <si>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</si>
  <si>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</si>
  <si>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</si>
  <si>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</si>
  <si>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</si>
  <si>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</si>
  <si>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</si>
  <si>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</si>
  <si>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</si>
  <si>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</si>
  <si>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</si>
  <si>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</si>
  <si>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</si>
  <si>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</si>
  <si>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</si>
  <si>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</si>
  <si>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</si>
  <si>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</si>
  <si>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</si>
  <si>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</si>
  <si>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</si>
  <si>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</si>
  <si>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</si>
  <si>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</si>
  <si>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</si>
  <si>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</si>
  <si>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</si>
  <si>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</si>
  <si>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</si>
  <si>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</si>
  <si>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</si>
  <si>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</si>
  <si>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</si>
  <si>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</si>
  <si>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</si>
  <si>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</si>
  <si>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</si>
  <si>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</si>
  <si>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</si>
  <si>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</si>
  <si>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</si>
  <si>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</si>
  <si>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</si>
  <si>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</si>
  <si>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</si>
  <si>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</si>
  <si>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</si>
  <si>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</si>
  <si>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</si>
  <si>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</si>
  <si>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</si>
  <si>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</si>
  <si>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</si>
  <si>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</si>
  <si>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</si>
  <si>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</si>
  <si>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</si>
  <si>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</si>
  <si>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</si>
  <si>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</si>
  <si>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</si>
  <si>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</si>
  <si>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</si>
  <si>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</si>
  <si>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</si>
  <si>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</si>
  <si>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</si>
  <si>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</si>
  <si>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</si>
  <si>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</si>
  <si>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</si>
  <si>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</si>
  <si>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</si>
  <si>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</si>
  <si>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</si>
  <si>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</si>
  <si>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</si>
  <si>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</si>
  <si>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</si>
  <si>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</si>
  <si>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</si>
  <si>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</si>
  <si>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</si>
  <si>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</si>
  <si>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</si>
  <si>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</si>
  <si>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</si>
  <si>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</si>
  <si>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</si>
  <si>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</si>
  <si>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</si>
  <si>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</si>
  <si>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</si>
  <si>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</si>
  <si>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</si>
  <si>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</si>
  <si>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</si>
  <si>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</si>
  <si>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</si>
  <si>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</si>
  <si>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</si>
  <si>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</si>
  <si>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</si>
  <si>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</si>
  <si>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</si>
  <si>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</si>
  <si>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</si>
  <si>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</si>
  <si>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</si>
  <si>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</si>
  <si>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</si>
  <si>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</si>
  <si>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</si>
  <si>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</si>
  <si>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</si>
  <si>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</si>
  <si>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</si>
  <si>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</si>
  <si>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</si>
  <si>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</si>
  <si>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</si>
  <si>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</si>
  <si>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</si>
  <si>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</si>
  <si>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</si>
  <si>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</si>
  <si>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</si>
  <si>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</si>
  <si>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</si>
  <si>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</si>
  <si>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</si>
  <si>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</si>
  <si>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</si>
  <si>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</si>
  <si>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</si>
  <si>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</si>
  <si>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</si>
  <si>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</si>
  <si>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</si>
  <si>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</si>
  <si>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</si>
  <si>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</si>
  <si>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</si>
  <si>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</si>
  <si>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</si>
  <si>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</si>
  <si>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</si>
  <si>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</si>
  <si>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</si>
  <si>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</si>
  <si>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</si>
  <si>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</si>
  <si>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</si>
  <si>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</si>
  <si>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</si>
  <si>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</si>
  <si>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</si>
  <si>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</si>
  <si>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</si>
  <si>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</si>
  <si>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</si>
  <si>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</si>
  <si>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</si>
  <si>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</si>
  <si>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</si>
  <si>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</si>
  <si>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</si>
  <si>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</si>
  <si>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</si>
  <si>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</si>
  <si>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</si>
  <si>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</si>
  <si>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</si>
  <si>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</si>
  <si>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</si>
  <si>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</si>
  <si>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</si>
  <si>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</si>
  <si>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</si>
  <si>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</si>
  <si>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</si>
  <si>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</si>
  <si>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</si>
  <si>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</si>
  <si>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</si>
  <si>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</si>
  <si>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</si>
  <si>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</si>
  <si>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</si>
  <si>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</si>
  <si>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</si>
  <si>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</si>
  <si>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</si>
  <si>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</si>
  <si>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</si>
  <si>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</si>
  <si>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</si>
  <si>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</si>
  <si>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</si>
  <si>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</si>
  <si>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</si>
  <si>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</si>
  <si>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</si>
  <si>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</si>
  <si>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</si>
  <si>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</si>
  <si>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</si>
  <si>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</si>
  <si>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</si>
  <si>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</si>
  <si>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</si>
  <si>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</si>
  <si>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</si>
  <si>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</si>
  <si>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</si>
  <si>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</si>
  <si>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</si>
  <si>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</si>
  <si>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</si>
  <si>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</si>
  <si>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</si>
  <si>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</si>
  <si>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</si>
  <si>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</si>
  <si>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</si>
  <si>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</si>
  <si>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</si>
  <si>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</si>
  <si>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</si>
  <si>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</si>
  <si>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</si>
  <si>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</si>
  <si>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</si>
  <si>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</si>
  <si>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</si>
  <si>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</si>
  <si>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</si>
  <si>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</si>
  <si>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</si>
  <si>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</si>
  <si>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</si>
  <si>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</si>
  <si>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</si>
  <si>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</si>
  <si>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</si>
  <si>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</si>
  <si>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</si>
  <si>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</si>
  <si>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</si>
  <si>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</si>
  <si>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</si>
  <si>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</si>
  <si>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</si>
  <si>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</si>
  <si>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</si>
  <si>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</si>
  <si>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</si>
  <si>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</si>
  <si>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</si>
  <si>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</si>
  <si>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</si>
  <si>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</si>
  <si>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</si>
  <si>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</si>
  <si>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</si>
  <si>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</si>
  <si>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</si>
  <si>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</si>
  <si>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</si>
  <si>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</si>
  <si>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</si>
  <si>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</si>
  <si>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</si>
  <si>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</si>
  <si>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</si>
  <si>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</si>
  <si>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</si>
  <si>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</si>
  <si>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</si>
  <si>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</si>
  <si>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</si>
  <si>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</si>
  <si>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</si>
  <si>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</si>
  <si>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</si>
  <si>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</si>
  <si>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</si>
  <si>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</si>
  <si>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</si>
  <si>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</si>
  <si>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</si>
  <si>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</si>
  <si>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</si>
  <si>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</si>
  <si>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</si>
  <si>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</si>
  <si>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</si>
  <si>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</si>
  <si>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</si>
  <si>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</si>
  <si>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</si>
  <si>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</si>
  <si>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</si>
  <si>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</si>
  <si>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</si>
  <si>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</si>
  <si>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</si>
  <si>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</si>
  <si>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</si>
  <si>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</si>
  <si>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</si>
  <si>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</si>
  <si>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</si>
  <si>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</si>
  <si>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</si>
  <si>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</si>
  <si>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</si>
  <si>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</si>
  <si>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</si>
  <si>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</si>
  <si>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</si>
  <si>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</si>
  <si>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</si>
  <si>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</si>
  <si>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</si>
  <si>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</si>
  <si>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</si>
  <si>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</si>
  <si>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</si>
  <si>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</si>
  <si>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</si>
  <si>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</si>
  <si>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</si>
  <si>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</si>
  <si>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</si>
  <si>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</si>
  <si>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</si>
  <si>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</si>
  <si>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</si>
  <si>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</si>
  <si>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</si>
  <si>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</si>
  <si>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</si>
  <si>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</si>
  <si>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</si>
  <si>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</si>
  <si>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</si>
  <si>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</si>
  <si>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</si>
  <si>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</si>
  <si>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</si>
  <si>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</si>
  <si>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</si>
  <si>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</si>
  <si>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</si>
  <si>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</si>
  <si>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</si>
  <si>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</si>
  <si>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</si>
  <si>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</si>
  <si>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</si>
  <si>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</si>
  <si>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</si>
  <si>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</si>
  <si>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</si>
  <si>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</si>
  <si>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</si>
  <si>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</si>
  <si>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</si>
  <si>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</si>
  <si>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</si>
  <si>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</si>
  <si>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</si>
  <si>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</si>
  <si>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</si>
  <si>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</si>
  <si>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</si>
  <si>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</si>
  <si>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</si>
  <si>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</si>
  <si>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</si>
  <si>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</si>
  <si>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</si>
  <si>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</si>
  <si>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</si>
  <si>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</si>
  <si>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</si>
  <si>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</si>
  <si>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</si>
  <si>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</si>
  <si>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</si>
  <si>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</si>
  <si>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</si>
  <si>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</si>
  <si>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</si>
  <si>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</si>
  <si>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</si>
  <si>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</si>
  <si>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</si>
  <si>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</si>
  <si>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</si>
  <si>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</si>
  <si>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</si>
  <si>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</si>
  <si>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</si>
  <si>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</si>
  <si>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</si>
  <si>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</si>
  <si>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</si>
  <si>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</si>
  <si>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</si>
  <si>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</si>
  <si>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</si>
  <si>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</si>
  <si>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</si>
  <si>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</si>
  <si>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</si>
  <si>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</si>
  <si>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</si>
  <si>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</si>
  <si>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</si>
  <si>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</si>
  <si>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</si>
  <si>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</si>
  <si>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</si>
  <si>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</si>
  <si>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</si>
  <si>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</si>
  <si>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</si>
  <si>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</si>
  <si>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</si>
  <si>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</si>
  <si>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</si>
  <si>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</si>
  <si>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</si>
  <si>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</si>
  <si>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</si>
  <si>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</si>
  <si>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</si>
  <si>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</si>
  <si>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</si>
  <si>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</si>
  <si>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</si>
  <si>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</si>
  <si>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</si>
  <si>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</si>
  <si>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</si>
  <si>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</si>
  <si>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</si>
  <si>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</si>
  <si>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</si>
  <si>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</si>
  <si>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</si>
  <si>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</si>
  <si>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</si>
  <si>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</si>
  <si>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</si>
  <si>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</si>
  <si>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</si>
  <si>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</si>
  <si>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</si>
  <si>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</si>
  <si>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</si>
  <si>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</si>
  <si>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</si>
  <si>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</si>
  <si>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</si>
  <si>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</si>
  <si>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</si>
  <si>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</si>
  <si>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</si>
  <si>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</si>
  <si>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</si>
  <si>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</si>
  <si>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</si>
  <si>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</si>
  <si>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</si>
  <si>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</si>
  <si>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</si>
  <si>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</si>
  <si>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</si>
  <si>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</si>
  <si>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</si>
  <si>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</si>
  <si>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</si>
  <si>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</si>
  <si>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</si>
  <si>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</si>
  <si>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</si>
  <si>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</si>
  <si>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</si>
  <si>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</si>
  <si>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</si>
  <si>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</si>
  <si>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</si>
  <si>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</si>
  <si>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</si>
  <si>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</si>
  <si>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</si>
  <si>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</si>
  <si>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</si>
  <si>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</si>
  <si>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</si>
  <si>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</si>
  <si>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</si>
  <si>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</si>
  <si>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</si>
  <si>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</si>
  <si>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</si>
  <si>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</si>
  <si>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</si>
  <si>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</si>
  <si>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</si>
  <si>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</si>
  <si>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</si>
  <si>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</si>
  <si>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</si>
  <si>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</si>
  <si>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</si>
  <si>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</si>
  <si>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</si>
  <si>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</si>
  <si>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</si>
  <si>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</si>
  <si>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</si>
  <si>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</si>
  <si>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</si>
  <si>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</si>
  <si>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</si>
  <si>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</si>
  <si>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</si>
  <si>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</si>
  <si>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</si>
  <si>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</si>
  <si>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</si>
  <si>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</si>
  <si>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</si>
  <si>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</si>
  <si>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</si>
  <si>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</si>
  <si>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</si>
  <si>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</si>
  <si>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</si>
  <si>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</si>
  <si>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</si>
  <si>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</si>
  <si>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</si>
  <si>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</si>
  <si>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</si>
  <si>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</si>
  <si>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</si>
  <si>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</si>
  <si>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</si>
  <si>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</si>
  <si>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</si>
  <si>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</si>
  <si>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</si>
  <si>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</si>
  <si>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</si>
  <si>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</si>
  <si>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</si>
  <si>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</si>
  <si>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</si>
  <si>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</si>
  <si>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</si>
  <si>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</si>
  <si>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</si>
  <si>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</si>
  <si>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</si>
  <si>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</si>
  <si>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</si>
  <si>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</si>
  <si>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</si>
  <si>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</si>
  <si>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</si>
  <si>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</si>
  <si>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</si>
  <si>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</si>
  <si>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</si>
  <si>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</si>
  <si>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</si>
  <si>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</si>
  <si>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</si>
  <si>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</si>
  <si>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</si>
  <si>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</si>
  <si>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</si>
  <si>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</si>
  <si>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</si>
  <si>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</si>
  <si>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</si>
  <si>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</si>
  <si>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</si>
  <si>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</si>
  <si>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</si>
  <si>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</si>
  <si>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</si>
  <si>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</si>
  <si>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</si>
  <si>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</si>
  <si>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</si>
  <si>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</si>
  <si>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</si>
  <si>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</si>
  <si>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</si>
  <si>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</si>
  <si>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</si>
  <si>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</si>
  <si>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</si>
  <si>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</si>
  <si>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</si>
  <si>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</si>
  <si>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</si>
  <si>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</si>
  <si>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</si>
  <si>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</si>
  <si>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</si>
  <si>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</si>
  <si>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</si>
  <si>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</si>
  <si>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</si>
  <si>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</si>
  <si>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</si>
  <si>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</si>
  <si>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</si>
  <si>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</si>
  <si>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</si>
  <si>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</si>
  <si>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</si>
  <si>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</si>
  <si>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</si>
  <si>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</si>
  <si>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</si>
  <si>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</si>
  <si>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</si>
  <si>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</si>
  <si>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</si>
  <si>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</si>
  <si>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</si>
  <si>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</si>
  <si>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</si>
  <si>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</si>
  <si>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</si>
  <si>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</si>
  <si>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</si>
  <si>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</si>
  <si>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</si>
  <si>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</si>
  <si>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</si>
  <si>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</si>
  <si>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</si>
  <si>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</si>
  <si>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</si>
  <si>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</si>
  <si>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</si>
  <si>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</si>
  <si>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</si>
  <si>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</si>
  <si>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</si>
  <si>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</si>
  <si>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</si>
  <si>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</si>
  <si>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</si>
  <si>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</si>
  <si>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</si>
  <si>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</si>
  <si>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</si>
  <si>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</si>
  <si>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</si>
  <si>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</si>
  <si>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</si>
  <si>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</si>
  <si>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</si>
  <si>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</si>
  <si>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</si>
  <si>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</si>
  <si>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</si>
  <si>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</si>
  <si>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</si>
  <si>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</si>
  <si>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</si>
  <si>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</si>
  <si>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</si>
  <si>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</si>
  <si>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</si>
  <si>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</si>
  <si>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</si>
  <si>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</si>
  <si>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</si>
  <si>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</si>
  <si>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</si>
  <si>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</si>
  <si>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</si>
  <si>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</si>
  <si>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</si>
  <si>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</si>
  <si>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</si>
  <si>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</si>
  <si>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</si>
  <si>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</si>
  <si>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</si>
  <si>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</si>
  <si>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</si>
  <si>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</si>
  <si>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</si>
  <si>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</si>
  <si>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</si>
  <si>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</si>
  <si>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</si>
  <si>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</si>
  <si>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</si>
  <si>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</si>
  <si>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</si>
  <si>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</si>
  <si>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</si>
  <si>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</si>
  <si>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</si>
  <si>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</si>
  <si>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</si>
  <si>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</si>
  <si>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</si>
  <si>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</si>
  <si>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</si>
  <si>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</si>
  <si>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</si>
  <si>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</si>
  <si>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</si>
  <si>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</si>
  <si>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</si>
  <si>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</si>
  <si>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</si>
  <si>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</si>
  <si>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</si>
  <si>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</si>
  <si>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</si>
  <si>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</si>
  <si>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</si>
  <si>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</si>
  <si>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</si>
  <si>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</si>
  <si>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</si>
  <si>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</si>
  <si>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</si>
  <si>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</si>
  <si>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</si>
  <si>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</si>
  <si>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</si>
  <si>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</si>
  <si>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</si>
  <si>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</si>
  <si>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</si>
  <si>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</si>
  <si>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</si>
  <si>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</si>
  <si>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</si>
  <si>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</si>
  <si>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</si>
  <si>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</si>
  <si>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</si>
  <si>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</si>
  <si>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</si>
  <si>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</si>
  <si>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</si>
  <si>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</si>
  <si>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</si>
  <si>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</si>
  <si>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</si>
  <si>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</si>
  <si>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</si>
  <si>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</si>
  <si>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</si>
  <si>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</si>
  <si>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</si>
  <si>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</si>
  <si>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</si>
  <si>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</si>
  <si>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</si>
  <si>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</si>
  <si>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</si>
  <si>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</si>
  <si>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</si>
  <si>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</si>
  <si>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</si>
  <si>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</si>
  <si>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</si>
  <si>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</si>
  <si>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</si>
  <si>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</si>
  <si>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</si>
  <si>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</si>
  <si>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</si>
  <si>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</si>
  <si>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</si>
  <si>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</si>
  <si>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</si>
  <si>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</si>
  <si>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</si>
  <si>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</si>
  <si>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</si>
  <si>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</si>
  <si>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</si>
  <si>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</si>
  <si>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</si>
  <si>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</si>
  <si>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</si>
  <si>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</si>
  <si>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</si>
  <si>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</si>
  <si>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</si>
  <si>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</si>
  <si>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</si>
  <si>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</si>
  <si>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</si>
  <si>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</si>
  <si>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</si>
  <si>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</si>
  <si>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</si>
  <si>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</si>
  <si>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</si>
  <si>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</si>
  <si>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</si>
  <si>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</si>
  <si>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</si>
  <si>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</si>
  <si>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</si>
  <si>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</si>
  <si>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</si>
  <si>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</si>
  <si>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</si>
  <si>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</si>
  <si>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</si>
  <si>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</si>
  <si>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</si>
  <si>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</si>
  <si>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</si>
  <si>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</si>
  <si>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</si>
  <si>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</si>
  <si>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</si>
  <si>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</si>
  <si>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</si>
  <si>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</si>
  <si>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</si>
  <si>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</si>
  <si>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</si>
  <si>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</si>
  <si>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</si>
  <si>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</si>
  <si>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</si>
  <si>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</si>
  <si>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</si>
  <si>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</si>
  <si>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</si>
  <si>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</si>
  <si>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</si>
  <si>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</si>
  <si>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</si>
  <si>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</si>
  <si>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</si>
  <si>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</si>
  <si>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</si>
  <si>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</si>
  <si>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</si>
  <si>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</si>
  <si>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</si>
  <si>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</si>
  <si>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</si>
  <si>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</si>
  <si>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</si>
  <si>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</si>
  <si>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</si>
  <si>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</si>
  <si>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</si>
  <si>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</si>
  <si>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</si>
  <si>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</si>
  <si>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</si>
  <si>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</si>
  <si>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</si>
  <si>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</si>
  <si>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</si>
  <si>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</si>
  <si>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</si>
  <si>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</si>
  <si>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</si>
  <si>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</si>
  <si>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</si>
  <si>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</si>
  <si>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</si>
  <si>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</si>
  <si>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</si>
  <si>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</si>
  <si>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</si>
  <si>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</si>
  <si>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</si>
  <si>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</si>
  <si>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</si>
  <si>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</si>
  <si>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</si>
  <si>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</si>
  <si>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</si>
  <si>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</si>
  <si>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</si>
  <si>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</si>
  <si>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</si>
  <si>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</si>
  <si>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</si>
  <si>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</si>
  <si>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</si>
  <si>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</si>
  <si>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</si>
  <si>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</si>
  <si>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</si>
  <si>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</si>
  <si>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</si>
  <si>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</si>
  <si>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</si>
  <si>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</si>
  <si>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</si>
  <si>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</si>
  <si>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</si>
  <si>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</si>
  <si>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</si>
  <si>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</si>
  <si>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</si>
  <si>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</si>
  <si>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</si>
  <si>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</si>
  <si>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</si>
  <si>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</si>
  <si>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</si>
  <si>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</si>
  <si>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</si>
  <si>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</si>
  <si>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</si>
  <si>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</si>
  <si>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</si>
  <si>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</si>
  <si>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</si>
  <si>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</si>
  <si>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</si>
  <si>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</si>
  <si>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</si>
  <si>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</si>
  <si>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</si>
  <si>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</si>
  <si>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</si>
  <si>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</si>
  <si>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</si>
  <si>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</si>
  <si>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</si>
  <si>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</si>
  <si>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</si>
  <si>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</si>
  <si>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</si>
  <si>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</si>
  <si>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</si>
  <si>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</si>
  <si>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</si>
  <si>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</si>
  <si>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</si>
  <si>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</si>
  <si>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</si>
  <si>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</si>
  <si>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</si>
  <si>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</si>
  <si>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</si>
  <si>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</si>
  <si>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</si>
  <si>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</si>
  <si>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</si>
  <si>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</si>
  <si>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</si>
  <si>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</si>
  <si>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</si>
  <si>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</si>
  <si>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</si>
  <si>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</si>
  <si>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</si>
  <si>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</si>
  <si>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</si>
  <si>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</si>
  <si>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</si>
  <si>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</si>
  <si>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</si>
  <si>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</si>
  <si>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</si>
  <si>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</si>
  <si>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</si>
  <si>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</si>
  <si>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</si>
  <si>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</si>
  <si>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</si>
  <si>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</si>
  <si>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</si>
  <si>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</si>
  <si>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</si>
  <si>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</si>
  <si>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</si>
  <si>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</si>
  <si>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</si>
  <si>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</si>
  <si>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</si>
  <si>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</si>
  <si>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</si>
  <si>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</si>
  <si>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</si>
  <si>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</si>
  <si>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</si>
  <si>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</si>
  <si>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</si>
  <si>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</si>
  <si>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</si>
  <si>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</si>
  <si>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</si>
  <si>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</si>
  <si>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</si>
  <si>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</si>
  <si>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</si>
  <si>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</si>
  <si>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</si>
  <si>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</si>
  <si>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</si>
  <si>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</si>
  <si>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</si>
  <si>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</si>
  <si>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</si>
  <si>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</si>
  <si>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</si>
  <si>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</si>
  <si>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</si>
  <si>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</si>
  <si>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</si>
  <si>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</si>
  <si>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</si>
  <si>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</si>
  <si>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</si>
  <si>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</si>
  <si>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</si>
  <si>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</si>
  <si>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</si>
  <si>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</si>
  <si>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</si>
  <si>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</si>
  <si>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</si>
  <si>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</si>
  <si>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</si>
  <si>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</si>
  <si>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</si>
  <si>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</si>
  <si>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</si>
  <si>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</si>
  <si>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</si>
  <si>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</si>
  <si>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</si>
  <si>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</si>
  <si>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</si>
  <si>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</si>
  <si>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</si>
  <si>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</si>
  <si>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</si>
  <si>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</si>
  <si>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</si>
  <si>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</si>
  <si>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</si>
  <si>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</si>
  <si>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</si>
  <si>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</si>
  <si>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</si>
  <si>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</si>
  <si>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</si>
  <si>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</si>
  <si>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</si>
  <si>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</si>
  <si>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</si>
  <si>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</si>
  <si>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</si>
  <si>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</si>
  <si>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</si>
  <si>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</si>
  <si>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</si>
  <si>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</si>
  <si>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</si>
  <si>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</si>
  <si>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</si>
  <si>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</si>
  <si>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</si>
  <si>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</si>
  <si>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</si>
  <si>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</si>
  <si>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</si>
  <si>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</si>
  <si>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</si>
  <si>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</si>
  <si>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</si>
  <si>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</si>
  <si>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</si>
  <si>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</si>
  <si>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</si>
  <si>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</si>
  <si>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</si>
  <si>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</si>
  <si>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</si>
  <si>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</si>
  <si>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</si>
  <si>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</si>
  <si>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</si>
  <si>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</si>
  <si>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</si>
  <si>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</si>
  <si>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</si>
  <si>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</si>
  <si>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</si>
  <si>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</si>
  <si>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</si>
  <si>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</si>
  <si>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</si>
  <si>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</si>
  <si>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</si>
  <si>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</si>
  <si>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</si>
  <si>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</si>
  <si>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</si>
  <si>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</si>
  <si>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</si>
  <si>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</si>
  <si>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</si>
  <si>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</si>
  <si>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</si>
  <si>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</si>
  <si>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</si>
  <si>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</si>
  <si>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</si>
  <si>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</si>
  <si>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</si>
  <si>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</si>
  <si>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</si>
  <si>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</si>
  <si>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</si>
  <si>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</si>
  <si>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</si>
  <si>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</si>
  <si>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</si>
  <si>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</si>
  <si>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</si>
  <si>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</si>
  <si>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</si>
  <si>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</si>
  <si>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</si>
  <si>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</si>
  <si>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</si>
  <si>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</si>
  <si>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</si>
  <si>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</si>
  <si>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</si>
  <si>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</si>
  <si>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</si>
  <si>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</si>
  <si>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</si>
  <si>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</si>
  <si>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</si>
  <si>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</si>
  <si>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</si>
  <si>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</si>
  <si>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</si>
  <si>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</si>
  <si>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</si>
  <si>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</si>
  <si>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</si>
  <si>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</si>
  <si>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</si>
  <si>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</si>
  <si>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</si>
  <si>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</si>
  <si>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</si>
  <si>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</si>
  <si>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</si>
  <si>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</si>
  <si>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</si>
  <si>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</si>
  <si>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</si>
  <si>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</si>
  <si>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</si>
  <si>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</si>
  <si>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</si>
  <si>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</si>
  <si>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</si>
  <si>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</si>
  <si>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</si>
  <si>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</si>
  <si>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</si>
  <si>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</si>
  <si>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</si>
  <si>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</si>
  <si>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</si>
  <si>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</si>
  <si>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</si>
  <si>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</si>
  <si>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</si>
  <si>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</si>
  <si>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</si>
  <si>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</si>
  <si>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</si>
  <si>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</si>
  <si>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</si>
  <si>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</si>
  <si>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</si>
  <si>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</si>
  <si>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</si>
  <si>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</si>
  <si>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</si>
  <si>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</si>
  <si>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</si>
  <si>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</si>
  <si>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</si>
  <si>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</si>
  <si>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</si>
  <si>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</si>
  <si>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</si>
  <si>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</si>
  <si>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</si>
  <si>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</si>
  <si>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</si>
  <si>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</si>
  <si>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</si>
  <si>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</si>
  <si>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</si>
  <si>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</si>
  <si>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</si>
  <si>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</si>
  <si>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</si>
  <si>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</si>
  <si>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</si>
  <si>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</si>
  <si>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</si>
  <si>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</si>
  <si>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</si>
  <si>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</si>
  <si>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</si>
  <si>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</si>
  <si>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</si>
  <si>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</si>
  <si>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</si>
  <si>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</si>
  <si>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</si>
  <si>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</si>
  <si>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</si>
  <si>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</si>
  <si>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</si>
  <si>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</si>
  <si>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</si>
  <si>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</si>
  <si>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</si>
  <si>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</si>
  <si>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</si>
  <si>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</si>
  <si>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</si>
  <si>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</si>
  <si>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</si>
  <si>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</si>
  <si>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</si>
  <si>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</si>
  <si>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</si>
  <si>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</si>
  <si>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</si>
  <si>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</si>
  <si>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</si>
  <si>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</si>
  <si>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</si>
  <si>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</si>
  <si>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</si>
  <si>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</si>
  <si>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</si>
  <si>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</si>
  <si>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</si>
  <si>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</si>
  <si>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</si>
  <si>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</si>
  <si>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</si>
  <si>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</si>
  <si>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</si>
  <si>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</si>
  <si>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</si>
  <si>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</si>
  <si>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</si>
  <si>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</si>
  <si>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</si>
  <si>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</si>
  <si>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</si>
  <si>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</si>
  <si>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</si>
  <si>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</si>
  <si>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</si>
  <si>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</si>
  <si>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</si>
  <si>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</si>
  <si>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</si>
  <si>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</si>
  <si>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</si>
  <si>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</si>
  <si>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</si>
  <si>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</si>
  <si>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</si>
  <si>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</si>
  <si>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</si>
  <si>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</si>
  <si>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</si>
  <si>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</si>
  <si>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</si>
  <si>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</si>
  <si>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</si>
  <si>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</si>
  <si>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</si>
  <si>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</si>
  <si>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</si>
  <si>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</si>
  <si>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</si>
  <si>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</si>
  <si>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</si>
  <si>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</si>
  <si>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</si>
  <si>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</si>
  <si>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</si>
  <si>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</si>
  <si>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</si>
  <si>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</si>
  <si>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</si>
  <si>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</si>
  <si>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</si>
  <si>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</si>
  <si>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</si>
  <si>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</si>
  <si>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</si>
  <si>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</si>
  <si>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</si>
  <si>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</si>
  <si>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</si>
  <si>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</si>
  <si>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</si>
  <si>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</si>
  <si>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</si>
  <si>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</si>
  <si>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</si>
  <si>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</si>
  <si>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</si>
  <si>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</si>
  <si>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</si>
  <si>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</si>
  <si>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</si>
  <si>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</si>
  <si>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</si>
  <si>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</si>
  <si>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</si>
  <si>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</si>
  <si>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</si>
  <si>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</si>
  <si>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</si>
  <si>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</si>
  <si>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</si>
  <si>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</si>
  <si>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</si>
  <si>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</si>
  <si>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</si>
  <si>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</si>
  <si>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</si>
  <si>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</si>
  <si>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</si>
  <si>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</si>
  <si>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</si>
  <si>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</si>
  <si>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</si>
  <si>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</si>
  <si>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</si>
  <si>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</si>
  <si>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</si>
  <si>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</si>
  <si>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</si>
  <si>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</si>
  <si>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</si>
  <si>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</si>
  <si>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</si>
  <si>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</si>
  <si>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</si>
  <si>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</si>
  <si>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</si>
  <si>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</si>
  <si>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</si>
  <si>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</si>
  <si>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</si>
  <si>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</si>
  <si>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</si>
  <si>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</si>
  <si>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</si>
  <si>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</si>
  <si>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</si>
  <si>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</si>
  <si>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</si>
  <si>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</si>
  <si>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</si>
  <si>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</si>
  <si>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</si>
  <si>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</si>
  <si>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</si>
  <si>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</si>
  <si>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</si>
  <si>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</si>
  <si>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</si>
  <si>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</si>
  <si>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</si>
  <si>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</si>
  <si>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</si>
  <si>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</si>
  <si>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</si>
  <si>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</si>
  <si>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</si>
  <si>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</si>
  <si>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</si>
  <si>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</si>
  <si>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</si>
  <si>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</si>
  <si>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</si>
  <si>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</si>
  <si>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</si>
  <si>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</si>
  <si>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</si>
  <si>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</si>
  <si>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</si>
  <si>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</si>
  <si>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</si>
  <si>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</si>
  <si>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</si>
  <si>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</si>
  <si>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</si>
  <si>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</si>
  <si>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</si>
  <si>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</si>
  <si>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</si>
  <si>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</si>
  <si>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</si>
  <si>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</si>
  <si>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</si>
  <si>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</si>
  <si>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</si>
  <si>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</si>
  <si>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</si>
  <si>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</si>
  <si>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</si>
  <si>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</si>
  <si>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</si>
  <si>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</si>
  <si>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</si>
  <si>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</si>
  <si>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</si>
  <si>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</si>
  <si>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</si>
  <si>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</si>
  <si>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</si>
  <si>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</si>
  <si>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</si>
  <si>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</si>
  <si>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</si>
  <si>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</si>
  <si>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</si>
  <si>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</si>
  <si>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</si>
  <si>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</si>
  <si>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</si>
  <si>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</si>
  <si>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</si>
  <si>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</si>
  <si>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</si>
  <si>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</si>
  <si>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</si>
  <si>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</si>
  <si>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</si>
  <si>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</si>
  <si>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</si>
  <si>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</si>
  <si>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</si>
  <si>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</si>
  <si>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</si>
  <si>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</si>
  <si>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</si>
  <si>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</si>
  <si>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</si>
  <si>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</si>
  <si>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</si>
  <si>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</si>
  <si>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</si>
  <si>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</si>
  <si>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</si>
  <si>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</si>
  <si>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</si>
  <si>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</si>
  <si>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</si>
  <si>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</si>
  <si>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</si>
  <si>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</si>
  <si>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</si>
  <si>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</si>
  <si>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</si>
  <si>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</si>
  <si>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</si>
  <si>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</si>
  <si>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</si>
  <si>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</si>
  <si>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</si>
  <si>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</si>
  <si>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</si>
  <si>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</si>
  <si>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</si>
  <si>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</si>
  <si>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</si>
  <si>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</si>
  <si>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</si>
  <si>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</si>
  <si>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</si>
  <si>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</si>
  <si>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</si>
  <si>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</si>
  <si>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</si>
  <si>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</si>
  <si>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</si>
  <si>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</si>
  <si>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</si>
  <si>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</si>
  <si>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</si>
  <si>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</si>
  <si>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</si>
  <si>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</si>
  <si>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</si>
  <si>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</si>
  <si>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</si>
  <si>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</si>
  <si>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</si>
  <si>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</si>
  <si>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</si>
  <si>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</si>
  <si>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</si>
  <si>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</si>
  <si>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</si>
  <si>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</si>
  <si>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</si>
  <si>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</si>
  <si>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</si>
  <si>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</si>
  <si>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</si>
  <si>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</si>
  <si>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</si>
  <si>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</si>
  <si>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</si>
  <si>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</si>
  <si>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</si>
  <si>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</si>
  <si>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</si>
  <si>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</si>
  <si>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</si>
  <si>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</si>
  <si>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</si>
  <si>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</si>
  <si>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</si>
  <si>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</si>
  <si>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</si>
  <si>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</si>
  <si>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</si>
  <si>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</si>
  <si>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</si>
  <si>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</si>
  <si>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</si>
  <si>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</si>
  <si>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</si>
  <si>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</si>
  <si>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</si>
  <si>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</si>
  <si>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</si>
  <si>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</si>
  <si>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</si>
  <si>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</si>
  <si>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</si>
  <si>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</si>
  <si>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</si>
  <si>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</si>
  <si>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</si>
  <si>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</si>
  <si>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</si>
  <si>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</si>
  <si>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</si>
  <si>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</si>
  <si>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</si>
  <si>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</si>
  <si>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</si>
  <si>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</si>
  <si>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</si>
  <si>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</si>
  <si>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</si>
  <si>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</si>
  <si>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</si>
  <si>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</si>
  <si>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</si>
  <si>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</si>
  <si>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</si>
  <si>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</si>
  <si>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</si>
  <si>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</si>
  <si>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</si>
  <si>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</si>
  <si>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</si>
  <si>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</si>
  <si>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</si>
  <si>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</si>
  <si>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</si>
  <si>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</si>
  <si>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</si>
  <si>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</si>
  <si>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</si>
  <si>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</si>
  <si>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</si>
  <si>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</si>
  <si>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</si>
  <si>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</si>
  <si>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</si>
  <si>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</si>
  <si>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</si>
  <si>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</si>
  <si>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</si>
  <si>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</si>
  <si>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</si>
  <si>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</si>
  <si>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</si>
  <si>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</si>
  <si>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</si>
  <si>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</si>
  <si>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</si>
  <si>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</si>
  <si>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</si>
  <si>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</si>
  <si>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</si>
  <si>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</si>
  <si>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</si>
  <si>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</si>
  <si>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</si>
  <si>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</si>
  <si>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</si>
  <si>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</si>
  <si>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</si>
  <si>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</si>
  <si>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</si>
  <si>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</si>
  <si>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</si>
  <si>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</si>
  <si>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</si>
  <si>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</si>
  <si>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</si>
  <si>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</si>
  <si>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</si>
  <si>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</si>
  <si>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</si>
  <si>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</si>
  <si>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</si>
  <si>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</si>
  <si>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</si>
  <si>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</si>
  <si>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</si>
  <si>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</si>
  <si>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</si>
  <si>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</si>
  <si>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</si>
  <si>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</si>
  <si>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</si>
  <si>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</si>
  <si>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</si>
  <si>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</si>
  <si>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</si>
  <si>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</si>
  <si>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</si>
  <si>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</si>
  <si>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</si>
  <si>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</si>
  <si>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</si>
  <si>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</si>
  <si>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</si>
  <si>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</si>
  <si>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</si>
  <si>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</si>
  <si>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</si>
  <si>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</si>
  <si>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</si>
  <si>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</si>
  <si>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</si>
  <si>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</si>
  <si>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</si>
  <si>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</si>
  <si>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</si>
  <si>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</si>
  <si>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</si>
  <si>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</si>
  <si>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</si>
  <si>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</si>
  <si>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</si>
  <si>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</si>
  <si>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</si>
  <si>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</si>
  <si>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</si>
  <si>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</si>
  <si>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</si>
  <si>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</si>
  <si>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</si>
  <si>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</si>
  <si>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</si>
  <si>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</si>
  <si>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</si>
  <si>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</si>
  <si>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</si>
  <si>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</si>
  <si>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</si>
  <si>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</si>
  <si>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</si>
  <si>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</si>
  <si>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</si>
  <si>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</si>
  <si>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</si>
  <si>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</si>
  <si>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</si>
  <si>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</si>
  <si>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</si>
  <si>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</si>
  <si>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</si>
  <si>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</si>
  <si>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</si>
  <si>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</si>
  <si>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</si>
  <si>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</si>
  <si>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</si>
  <si>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</si>
  <si>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</si>
  <si>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</si>
  <si>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</si>
  <si>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</si>
  <si>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</si>
  <si>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</si>
  <si>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</si>
  <si>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</si>
  <si>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</si>
  <si>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</si>
  <si>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</si>
  <si>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</si>
  <si>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</si>
  <si>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</si>
  <si>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</si>
  <si>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</si>
  <si>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</si>
  <si>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</si>
  <si>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</si>
  <si>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</si>
  <si>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</si>
  <si>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</si>
  <si>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</si>
  <si>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</si>
  <si>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</si>
  <si>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</si>
  <si>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</si>
  <si>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</si>
  <si>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</si>
  <si>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</si>
  <si>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</si>
  <si>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</si>
  <si>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</si>
  <si>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</si>
  <si>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</si>
  <si>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</si>
  <si>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</si>
  <si>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</si>
  <si>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</si>
  <si>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</si>
  <si>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</si>
  <si>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</si>
  <si>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</si>
  <si>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</si>
  <si>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</si>
  <si>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</si>
  <si>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</si>
  <si>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</si>
  <si>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</si>
  <si>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</si>
  <si>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</si>
  <si>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</si>
  <si>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</si>
  <si>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</si>
  <si>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</si>
  <si>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</si>
  <si>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</si>
  <si>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</si>
  <si>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</si>
  <si>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</si>
  <si>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</si>
  <si>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</si>
  <si>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</si>
  <si>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</si>
  <si>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</si>
  <si>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</si>
  <si>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</si>
  <si>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</si>
  <si>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</si>
  <si>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</si>
  <si>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</si>
  <si>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</si>
  <si>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</si>
  <si>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</si>
  <si>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</si>
  <si>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</si>
  <si>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</si>
  <si>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</si>
  <si>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</si>
  <si>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</si>
  <si>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</si>
  <si>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</si>
  <si>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</si>
  <si>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</si>
  <si>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</si>
  <si>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</si>
  <si>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</si>
  <si>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</si>
  <si>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</si>
  <si>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</si>
  <si>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</si>
  <si>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</si>
  <si>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</si>
  <si>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</si>
  <si>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</si>
  <si>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</si>
  <si>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</si>
  <si>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</si>
  <si>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</si>
  <si>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</si>
  <si>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</si>
  <si>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</si>
  <si>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</si>
  <si>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</si>
  <si>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</si>
  <si>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</si>
  <si>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</si>
  <si>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</si>
  <si>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</si>
  <si>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</si>
  <si>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</si>
  <si>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</si>
  <si>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</si>
  <si>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</si>
  <si>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</si>
  <si>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</si>
  <si>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</si>
  <si>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</si>
  <si>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</si>
  <si>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</si>
  <si>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</si>
  <si>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</si>
  <si>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</si>
  <si>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</si>
  <si>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</si>
  <si>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</si>
  <si>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</si>
  <si>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</si>
  <si>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</si>
  <si>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</si>
  <si>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</si>
  <si>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</si>
  <si>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</si>
  <si>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</si>
  <si>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</si>
  <si>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</si>
  <si>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</si>
  <si>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</si>
  <si>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</si>
  <si>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</si>
  <si>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</si>
  <si>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</si>
  <si>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</si>
  <si>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</si>
  <si>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</si>
  <si>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</si>
  <si>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</si>
  <si>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</si>
  <si>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</si>
  <si>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</si>
  <si>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</si>
  <si>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</si>
  <si>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</si>
  <si>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</si>
  <si>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</si>
  <si>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</si>
  <si>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</si>
  <si>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</si>
  <si>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</si>
  <si>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</si>
  <si>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</si>
  <si>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</si>
  <si>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</si>
  <si>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</si>
  <si>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</si>
  <si>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</si>
  <si>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</si>
  <si>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</si>
  <si>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</si>
  <si>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</si>
  <si>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</si>
  <si>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</si>
  <si>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</si>
  <si>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</si>
  <si>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</si>
  <si>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</si>
  <si>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</si>
  <si>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</si>
  <si>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</si>
  <si>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</si>
  <si>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</si>
  <si>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</si>
  <si>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</si>
  <si>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</si>
  <si>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</si>
  <si>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</si>
  <si>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</si>
  <si>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</si>
  <si>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</si>
  <si>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</si>
  <si>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</si>
  <si>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</si>
  <si>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</si>
  <si>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</si>
  <si>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</si>
  <si>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</si>
  <si>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</si>
  <si>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</si>
  <si>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</si>
  <si>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</si>
  <si>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</si>
  <si>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</si>
  <si>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</si>
  <si>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</si>
  <si>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</si>
  <si>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</si>
  <si>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</si>
  <si>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</si>
  <si>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</si>
  <si>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</si>
  <si>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</si>
  <si>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</si>
  <si>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</si>
  <si>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</si>
  <si>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</si>
  <si>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</si>
  <si>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</si>
  <si>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</si>
  <si>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</si>
  <si>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</si>
  <si>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</si>
  <si>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</si>
  <si>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</si>
  <si>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</si>
  <si>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</si>
  <si>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</si>
  <si>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</si>
  <si>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</si>
  <si>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</si>
  <si>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</si>
  <si>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</si>
  <si>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</si>
  <si>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</si>
  <si>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</si>
  <si>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</si>
  <si>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</si>
  <si>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</si>
  <si>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</si>
  <si>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</si>
  <si>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</si>
  <si>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</si>
  <si>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</si>
  <si>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</si>
  <si>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</si>
  <si>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</si>
  <si>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</si>
  <si>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</si>
  <si>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</si>
  <si>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</si>
  <si>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</si>
  <si>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</si>
  <si>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</si>
  <si>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</si>
  <si>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</si>
  <si>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</si>
  <si>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</si>
  <si>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</si>
  <si>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</si>
  <si>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</si>
  <si>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</si>
  <si>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</si>
  <si>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</si>
  <si>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</si>
  <si>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</si>
  <si>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</si>
  <si>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</si>
  <si>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</si>
  <si>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</si>
  <si>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</si>
  <si>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</si>
  <si>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</si>
  <si>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</si>
  <si>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</si>
  <si>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</si>
  <si>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</si>
  <si>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</si>
  <si>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</si>
  <si>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</si>
  <si>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</si>
  <si>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</si>
  <si>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</si>
  <si>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</si>
  <si>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</si>
  <si>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</si>
  <si>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</si>
  <si>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</si>
  <si>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</si>
  <si>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</si>
  <si>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</si>
  <si>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</si>
  <si>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</si>
  <si>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</si>
  <si>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</si>
  <si>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</si>
  <si>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</si>
  <si>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</si>
  <si>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</si>
  <si>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</si>
  <si>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</si>
  <si>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</si>
  <si>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</si>
  <si>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</si>
  <si>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</si>
  <si>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</si>
  <si>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</si>
  <si>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</si>
  <si>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</si>
  <si>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</si>
  <si>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</si>
  <si>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</si>
  <si>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</si>
  <si>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</si>
  <si>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</si>
  <si>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</si>
  <si>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</si>
  <si>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</si>
  <si>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</si>
  <si>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</si>
  <si>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</si>
  <si>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</si>
  <si>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</si>
  <si>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</si>
  <si>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</si>
  <si>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</si>
  <si>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</si>
  <si>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</si>
  <si>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</si>
  <si>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</si>
  <si>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</si>
  <si>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</si>
  <si>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</si>
  <si>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</si>
  <si>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</si>
  <si>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</si>
  <si>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</si>
  <si>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</si>
  <si>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</si>
  <si>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</si>
  <si>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</si>
  <si>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</si>
  <si>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</si>
  <si>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</si>
  <si>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</si>
  <si>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</si>
  <si>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</si>
  <si>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</si>
  <si>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</si>
  <si>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</si>
  <si>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</si>
  <si>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</si>
  <si>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</si>
  <si>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</si>
  <si>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</si>
  <si>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</si>
  <si>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</si>
  <si>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</si>
  <si>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</si>
  <si>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</si>
  <si>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</si>
  <si>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</si>
  <si>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</si>
  <si>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</si>
  <si>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</si>
  <si>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</si>
  <si>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</si>
  <si>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</si>
  <si>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</si>
  <si>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</si>
  <si>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</si>
  <si>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</si>
  <si>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</si>
  <si>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</si>
  <si>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</si>
  <si>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</si>
  <si>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</si>
  <si>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</si>
  <si>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</si>
  <si>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</si>
  <si>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</si>
  <si>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</si>
  <si>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</si>
  <si>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</si>
  <si>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</si>
  <si>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</si>
  <si>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</si>
  <si>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</si>
  <si>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</si>
  <si>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</si>
  <si>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</si>
  <si>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</si>
  <si>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</si>
  <si>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</si>
  <si>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</si>
  <si>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</si>
  <si>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</si>
  <si>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</si>
  <si>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</si>
  <si>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</si>
  <si>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</si>
  <si>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</si>
  <si>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</si>
  <si>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</si>
  <si>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</si>
  <si>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</si>
  <si>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</si>
  <si>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</si>
  <si>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</si>
  <si>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</si>
  <si>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</si>
  <si>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</si>
  <si>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</si>
  <si>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</si>
  <si>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</si>
  <si>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</si>
  <si>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</si>
  <si>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</si>
  <si>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</si>
  <si>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</si>
  <si>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</si>
  <si>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</si>
  <si>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</si>
  <si>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</si>
  <si>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</si>
  <si>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</si>
  <si>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</si>
  <si>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</si>
  <si>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</si>
  <si>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</si>
  <si>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</si>
  <si>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</si>
  <si>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</si>
  <si>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</si>
  <si>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</si>
  <si>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</si>
  <si>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</si>
  <si>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</si>
  <si>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</si>
  <si>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</si>
  <si>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</si>
  <si>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</si>
  <si>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</si>
  <si>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</si>
  <si>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</si>
  <si>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</si>
  <si>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</si>
  <si>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</si>
  <si>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</si>
  <si>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</si>
  <si>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</si>
  <si>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</si>
  <si>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</si>
  <si>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</si>
  <si>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</si>
  <si>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</si>
  <si>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</si>
  <si>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</si>
  <si>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</si>
  <si>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</si>
  <si>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</si>
  <si>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</si>
  <si>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</si>
  <si>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</si>
  <si>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</si>
  <si>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</si>
  <si>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</si>
  <si>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</si>
  <si>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</si>
  <si>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</si>
  <si>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</si>
  <si>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</si>
  <si>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</si>
  <si>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</si>
  <si>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</si>
  <si>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</si>
  <si>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</si>
  <si>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</si>
  <si>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</si>
  <si>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</si>
  <si>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</si>
  <si>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</si>
  <si>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</si>
  <si>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</si>
  <si>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</si>
  <si>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</si>
  <si>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</si>
  <si>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</si>
  <si>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</si>
  <si>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</si>
  <si>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</si>
  <si>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</si>
  <si>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</si>
  <si>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</si>
  <si>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</si>
  <si>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</si>
  <si>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</si>
  <si>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</si>
  <si>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</si>
  <si>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</si>
  <si>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</si>
  <si>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</si>
  <si>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</si>
  <si>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</si>
  <si>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</si>
  <si>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</si>
  <si>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</si>
  <si>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</si>
  <si>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</si>
  <si>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</si>
  <si>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</si>
  <si>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</si>
  <si>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</si>
  <si>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</si>
  <si>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</si>
  <si>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</si>
  <si>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</si>
  <si>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</si>
  <si>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</si>
  <si>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</si>
  <si>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</si>
  <si>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</si>
  <si>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</si>
  <si>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</si>
  <si>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</si>
  <si>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</si>
  <si>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</si>
  <si>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</si>
  <si>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</si>
  <si>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</si>
  <si>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</si>
  <si>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</si>
  <si>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</si>
  <si>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</si>
  <si>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</si>
  <si>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</si>
  <si>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</si>
  <si>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</si>
  <si>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</si>
  <si>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</si>
  <si>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</si>
  <si>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</si>
  <si>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</si>
  <si>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</si>
  <si>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</si>
  <si>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</si>
  <si>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</si>
  <si>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</si>
  <si>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</si>
  <si>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</si>
  <si>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</si>
  <si>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</si>
  <si>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</si>
  <si>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</si>
  <si>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</si>
  <si>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</si>
  <si>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</si>
  <si>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</si>
  <si>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</si>
  <si>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</si>
  <si>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</si>
  <si>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</si>
  <si>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</si>
  <si>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</si>
  <si>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</si>
  <si>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</si>
  <si>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</si>
  <si>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</si>
  <si>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</si>
  <si>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</si>
  <si>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</si>
  <si>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</si>
  <si>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</si>
  <si>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</si>
  <si>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</si>
  <si>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</si>
  <si>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</si>
  <si>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</si>
  <si>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</si>
  <si>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</si>
  <si>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</si>
  <si>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</si>
  <si>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</si>
  <si>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</si>
  <si>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</si>
  <si>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</si>
  <si>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</si>
  <si>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</si>
  <si>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</si>
  <si>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</si>
  <si>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</si>
  <si>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</si>
  <si>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</si>
  <si>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</si>
  <si>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</si>
  <si>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</si>
  <si>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</si>
  <si>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</si>
  <si>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</si>
  <si>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</si>
  <si>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</si>
  <si>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</si>
  <si>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</si>
  <si>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</si>
  <si>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</si>
  <si>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</si>
  <si>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</si>
  <si>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</si>
  <si>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</si>
  <si>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</si>
  <si>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</si>
  <si>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</si>
  <si>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</si>
  <si>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</si>
  <si>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</si>
  <si>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</si>
  <si>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</si>
  <si>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</si>
  <si>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</si>
  <si>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</si>
  <si>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</si>
  <si>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</si>
  <si>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</si>
  <si>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</si>
  <si>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</si>
  <si>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</si>
  <si>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</si>
  <si>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</si>
  <si>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</si>
  <si>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</si>
  <si>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</si>
  <si>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</si>
  <si>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</si>
  <si>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</si>
  <si>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</si>
  <si>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</si>
  <si>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</si>
  <si>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</si>
  <si>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</si>
  <si>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</si>
  <si>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</si>
  <si>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</si>
  <si>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</si>
  <si>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</si>
  <si>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</si>
  <si>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</si>
  <si>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</si>
  <si>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</si>
  <si>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</si>
  <si>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</si>
  <si>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</si>
  <si>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</si>
  <si>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</si>
  <si>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</si>
  <si>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</si>
  <si>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</si>
  <si>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</si>
  <si>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</si>
  <si>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</si>
  <si>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</si>
  <si>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</si>
  <si>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</si>
  <si>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</si>
  <si>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</si>
  <si>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</si>
  <si>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</si>
  <si>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</si>
  <si>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</si>
  <si>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</si>
  <si>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</si>
  <si>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</si>
  <si>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</si>
  <si>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</si>
  <si>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</si>
  <si>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</si>
  <si>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</si>
  <si>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</si>
  <si>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</si>
  <si>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</si>
  <si>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</si>
  <si>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</si>
  <si>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</si>
  <si>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</si>
  <si>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</si>
  <si>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</si>
  <si>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</si>
  <si>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</si>
  <si>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</si>
  <si>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</si>
  <si>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</si>
  <si>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</si>
  <si>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</si>
  <si>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</si>
  <si>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</si>
  <si>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</si>
  <si>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</si>
  <si>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</si>
  <si>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</si>
  <si>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</si>
  <si>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</si>
  <si>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</si>
  <si>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</si>
  <si>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</si>
  <si>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</si>
  <si>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</si>
  <si>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</si>
  <si>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</si>
  <si>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</si>
  <si>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</si>
  <si>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</si>
  <si>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</si>
  <si>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</si>
  <si>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</si>
  <si>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</si>
  <si>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</si>
  <si>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</si>
  <si>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</si>
  <si>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</si>
  <si>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</si>
  <si>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</si>
  <si>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</si>
  <si>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</si>
  <si>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</si>
  <si>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</si>
  <si>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</si>
  <si>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</si>
  <si>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</si>
  <si>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</si>
  <si>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</si>
  <si>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</si>
  <si>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</si>
  <si>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</si>
  <si>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</si>
  <si>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</si>
  <si>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</si>
  <si>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</si>
  <si>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</si>
  <si>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</si>
  <si>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</si>
  <si>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</si>
  <si>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</si>
  <si>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</si>
  <si>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</si>
  <si>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</si>
  <si>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</si>
  <si>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</si>
  <si>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</si>
  <si>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</si>
  <si>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</si>
  <si>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</si>
  <si>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</si>
  <si>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</si>
  <si>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</si>
  <si>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</si>
  <si>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</si>
  <si>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</si>
  <si>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</si>
  <si>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</si>
  <si>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</si>
  <si>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</si>
  <si>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</si>
  <si>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</si>
  <si>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</si>
  <si>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</si>
  <si>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</si>
  <si>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</si>
  <si>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</si>
  <si>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</si>
  <si>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</si>
  <si>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</si>
  <si>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</si>
  <si>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</si>
  <si>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</si>
  <si>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</si>
  <si>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</si>
  <si>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</si>
  <si>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</si>
  <si>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</si>
  <si>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</si>
  <si>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</si>
  <si>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</si>
  <si>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</si>
  <si>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</si>
  <si>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</si>
  <si>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</si>
  <si>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</si>
  <si>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</si>
  <si>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</si>
  <si>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</si>
  <si>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</si>
  <si>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</si>
  <si>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</si>
  <si>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</si>
  <si>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</si>
  <si>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</si>
  <si>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</si>
  <si>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</si>
  <si>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</si>
  <si>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</si>
  <si>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</si>
  <si>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</si>
  <si>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</si>
  <si>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</si>
  <si>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</si>
  <si>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</si>
  <si>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</si>
  <si>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</si>
  <si>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</si>
  <si>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</si>
  <si>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</si>
  <si>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</si>
  <si>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</si>
  <si>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</si>
  <si>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</si>
  <si>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</si>
  <si>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</si>
  <si>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</si>
  <si>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</si>
  <si>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</si>
  <si>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</si>
  <si>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</si>
  <si>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</si>
  <si>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</si>
  <si>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</si>
  <si>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</si>
  <si>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</si>
  <si>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</si>
  <si>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</si>
  <si>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</si>
  <si>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</si>
  <si>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</si>
  <si>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</si>
  <si>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</si>
  <si>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</si>
  <si>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</si>
  <si>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</si>
  <si>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</si>
  <si>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</si>
  <si>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</si>
  <si>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</si>
  <si>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</si>
  <si>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</si>
  <si>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</si>
  <si>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</si>
  <si>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</si>
  <si>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</si>
  <si>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</si>
  <si>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</si>
  <si>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</si>
  <si>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</si>
  <si>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</si>
  <si>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</si>
  <si>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</si>
  <si>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</si>
  <si>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</si>
  <si>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</si>
  <si>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</si>
  <si>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</si>
  <si>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</si>
  <si>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</si>
  <si>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</si>
  <si>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</si>
  <si>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</si>
  <si>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</si>
  <si>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</si>
  <si>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</si>
  <si>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</si>
  <si>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</si>
  <si>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</si>
  <si>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</si>
  <si>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</si>
  <si>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</si>
  <si>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</si>
  <si>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</si>
  <si>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</si>
  <si>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</si>
  <si>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</si>
  <si>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</si>
  <si>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</si>
  <si>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</si>
  <si>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</si>
  <si>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</si>
  <si>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</si>
  <si>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</si>
  <si>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</si>
  <si>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</si>
  <si>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</si>
  <si>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</si>
  <si>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</si>
  <si>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</si>
  <si>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</si>
  <si>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</si>
  <si>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</si>
  <si>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</si>
  <si>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</si>
  <si>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</si>
  <si>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</si>
  <si>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</si>
  <si>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</si>
  <si>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</si>
  <si>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</si>
  <si>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</si>
  <si>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</si>
  <si>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</si>
  <si>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</si>
  <si>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</si>
  <si>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</si>
  <si>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</si>
  <si>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</si>
  <si>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</si>
  <si>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</si>
  <si>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</si>
  <si>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</si>
  <si>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</si>
  <si>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</si>
  <si>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</si>
  <si>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</si>
  <si>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</si>
  <si>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</si>
  <si>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</si>
  <si>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</si>
  <si>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</si>
  <si>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</si>
  <si>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</si>
  <si>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</si>
  <si>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</si>
  <si>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</si>
  <si>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</si>
  <si>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</si>
  <si>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</si>
  <si>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</si>
  <si>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</si>
  <si>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</si>
  <si>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</si>
  <si>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</si>
  <si>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</si>
  <si>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</si>
  <si>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</si>
  <si>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</si>
  <si>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</si>
  <si>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</si>
  <si>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</si>
  <si>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</si>
  <si>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</si>
  <si>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</si>
  <si>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</si>
  <si>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</si>
  <si>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</si>
  <si>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</si>
  <si>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</si>
  <si>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</si>
  <si>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</si>
  <si>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</si>
  <si>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</si>
  <si>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</si>
  <si>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</si>
  <si>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</si>
  <si>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</si>
  <si>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</si>
  <si>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</si>
  <si>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</si>
  <si>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</si>
  <si>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</si>
  <si>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</si>
  <si>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</si>
  <si>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</si>
  <si>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</si>
  <si>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</si>
  <si>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</si>
  <si>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</si>
  <si>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</si>
  <si>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</si>
  <si>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</si>
  <si>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</si>
  <si>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</si>
  <si>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</si>
  <si>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</si>
  <si>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</si>
  <si>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</si>
  <si>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</si>
  <si>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</si>
  <si>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</si>
  <si>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</si>
  <si>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</si>
  <si>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</si>
  <si>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</si>
  <si>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</si>
  <si>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</si>
  <si>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</si>
  <si>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</si>
  <si>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</si>
  <si>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</si>
  <si>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</si>
  <si>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</si>
  <si>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</si>
  <si>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</si>
  <si>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</si>
  <si>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</si>
  <si>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</si>
  <si>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</si>
  <si>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</si>
  <si>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</si>
  <si>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</si>
  <si>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</si>
  <si>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</si>
  <si>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</si>
  <si>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</si>
  <si>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</si>
  <si>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</si>
  <si>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</si>
  <si>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</si>
  <si>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</si>
  <si>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</si>
  <si>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</si>
  <si>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</si>
  <si>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</si>
  <si>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</si>
  <si>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</si>
  <si>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</si>
  <si>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</si>
  <si>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</si>
  <si>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</si>
  <si>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</si>
  <si>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</si>
  <si>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</si>
  <si>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</si>
  <si>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</si>
  <si>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</si>
  <si>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</si>
  <si>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</si>
  <si>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</si>
  <si>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</si>
  <si>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</si>
  <si>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</si>
  <si>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</si>
  <si>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</si>
  <si>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</si>
  <si>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</si>
  <si>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</si>
  <si>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</si>
  <si>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</si>
  <si>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</si>
  <si>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</si>
  <si>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</si>
  <si>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</si>
  <si>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</si>
  <si>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</si>
  <si>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</si>
  <si>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</si>
  <si>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</si>
  <si>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</si>
  <si>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</si>
  <si>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</si>
  <si>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</si>
  <si>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</si>
  <si>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</si>
  <si>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</si>
  <si>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</si>
  <si>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</si>
  <si>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</si>
  <si>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</si>
  <si>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</si>
  <si>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</si>
  <si>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</si>
  <si>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</si>
  <si>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</si>
  <si>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</si>
  <si>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</si>
  <si>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</si>
  <si>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</si>
  <si>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</si>
  <si>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</si>
  <si>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</si>
  <si>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</si>
  <si>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</si>
  <si>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</si>
  <si>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</si>
  <si>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</si>
  <si>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</si>
  <si>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</si>
  <si>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</si>
  <si>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</si>
  <si>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</si>
  <si>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</si>
  <si>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</si>
  <si>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</si>
  <si>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</si>
  <si>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</si>
  <si>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</si>
  <si>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</si>
  <si>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</si>
  <si>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</si>
  <si>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</si>
  <si>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</si>
  <si>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</si>
  <si>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</si>
  <si>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</si>
  <si>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</si>
  <si>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</si>
  <si>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</si>
  <si>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</si>
  <si>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</si>
  <si>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</si>
  <si>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</si>
  <si>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</si>
  <si>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</si>
  <si>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</si>
  <si>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</si>
  <si>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</si>
  <si>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</si>
  <si>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</si>
  <si>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</si>
  <si>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</si>
  <si>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</si>
  <si>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</si>
  <si>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</si>
  <si>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</si>
  <si>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</si>
  <si>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</si>
  <si>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</si>
  <si>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</si>
  <si>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</si>
  <si>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</si>
  <si>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</si>
  <si>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</si>
  <si>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</si>
  <si>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</si>
  <si>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</si>
  <si>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</si>
  <si>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</si>
  <si>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</si>
  <si>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</si>
  <si>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</si>
  <si>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</si>
  <si>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</si>
  <si>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</si>
  <si>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</si>
  <si>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</si>
  <si>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</si>
  <si>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</si>
  <si>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</si>
  <si>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</si>
  <si>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</si>
  <si>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</si>
  <si>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</si>
  <si>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</si>
  <si>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</si>
  <si>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</si>
  <si>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</si>
  <si>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</si>
  <si>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</si>
  <si>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</si>
  <si>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</si>
  <si>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</si>
  <si>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</si>
  <si>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</si>
  <si>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</si>
  <si>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</si>
  <si>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</si>
  <si>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</si>
  <si>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</si>
  <si>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</si>
  <si>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</si>
  <si>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</si>
  <si>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</si>
  <si>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</si>
  <si>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</si>
  <si>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</si>
  <si>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</si>
  <si>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</si>
  <si>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</si>
  <si>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</si>
  <si>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</si>
  <si>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</si>
  <si>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</si>
  <si>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</si>
  <si>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</si>
  <si>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</si>
  <si>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</si>
  <si>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</si>
  <si>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</si>
  <si>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</si>
  <si>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</si>
  <si>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</si>
  <si>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</si>
  <si>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</si>
  <si>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</si>
  <si>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</si>
  <si>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</si>
  <si>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</si>
  <si>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</si>
  <si>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</si>
  <si>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</si>
  <si>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</si>
  <si>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</si>
  <si>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</si>
  <si>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</si>
  <si>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</si>
  <si>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</si>
  <si>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</si>
  <si>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</si>
  <si>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</si>
  <si>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</si>
  <si>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</si>
  <si>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</si>
  <si>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</si>
  <si>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</si>
  <si>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</si>
  <si>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</si>
  <si>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</si>
  <si>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</si>
  <si>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</si>
  <si>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</si>
  <si>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</si>
  <si>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</si>
  <si>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</si>
  <si>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</si>
  <si>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</si>
  <si>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</si>
  <si>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</si>
  <si>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</si>
  <si>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</si>
  <si>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</si>
  <si>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</si>
  <si>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</si>
  <si>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</si>
  <si>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</si>
  <si>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</si>
  <si>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</si>
  <si>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</si>
  <si>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</si>
  <si>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</si>
  <si>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</si>
  <si>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</si>
  <si>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</si>
  <si>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</si>
  <si>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</si>
  <si>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</si>
  <si>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</si>
  <si>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</si>
  <si>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</si>
  <si>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</si>
  <si>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</si>
  <si>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</si>
  <si>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</si>
  <si>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</si>
  <si>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</si>
  <si>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</si>
  <si>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</si>
  <si>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</si>
  <si>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</si>
  <si>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</si>
  <si>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</si>
  <si>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</si>
  <si>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</si>
  <si>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</si>
  <si>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</si>
  <si>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</si>
  <si>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</si>
  <si>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</si>
  <si>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</si>
  <si>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</si>
  <si>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</si>
  <si>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</si>
  <si>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</si>
  <si>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</si>
  <si>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</si>
  <si>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</si>
  <si>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</si>
  <si>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</si>
  <si>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</si>
  <si>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</si>
  <si>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</si>
  <si>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</si>
  <si>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</si>
  <si>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</si>
  <si>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</si>
  <si>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</si>
  <si>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</si>
  <si>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</si>
  <si>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</si>
  <si>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</si>
  <si>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</si>
  <si>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</si>
  <si>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</si>
  <si>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</si>
  <si>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</si>
  <si>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</si>
  <si>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</si>
  <si>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</si>
  <si>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</si>
  <si>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</si>
  <si>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</si>
  <si>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</si>
  <si>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</si>
  <si>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</si>
  <si>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</si>
  <si>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</si>
  <si>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</si>
  <si>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</si>
  <si>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</si>
  <si>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</si>
  <si>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</si>
  <si>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</si>
  <si>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</si>
  <si>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</si>
  <si>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</si>
  <si>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</si>
  <si>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</si>
  <si>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</si>
  <si>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</si>
  <si>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</si>
  <si>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</si>
  <si>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</si>
  <si>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</si>
  <si>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</si>
  <si>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</si>
  <si>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</si>
  <si>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</si>
  <si>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</si>
  <si>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</si>
  <si>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</si>
  <si>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</si>
  <si>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</si>
  <si>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</si>
  <si>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</si>
  <si>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</si>
  <si>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</si>
  <si>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</si>
  <si>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</si>
  <si>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</si>
  <si>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</si>
  <si>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</si>
  <si>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</si>
  <si>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</si>
  <si>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</si>
  <si>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</si>
  <si>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</si>
  <si>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</si>
  <si>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</si>
  <si>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</si>
  <si>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</si>
  <si>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</si>
  <si>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</si>
  <si>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</si>
  <si>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</si>
  <si>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</si>
  <si>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</si>
  <si>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</si>
  <si>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</si>
  <si>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</si>
  <si>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</si>
  <si>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</si>
  <si>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</si>
  <si>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</si>
  <si>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</si>
  <si>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</si>
  <si>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</si>
  <si>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</si>
  <si>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</si>
  <si>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</si>
  <si>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</si>
  <si>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</si>
  <si>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</si>
  <si>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</si>
  <si>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</si>
  <si>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</si>
  <si>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</si>
  <si>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</si>
  <si>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</si>
  <si>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</si>
  <si>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</si>
  <si>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</si>
  <si>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</si>
  <si>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</si>
  <si>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</si>
  <si>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</si>
  <si>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</si>
  <si>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</si>
  <si>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</si>
  <si>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</si>
  <si>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</si>
  <si>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</si>
  <si>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</si>
  <si>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</si>
  <si>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</si>
  <si>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</si>
  <si>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</si>
  <si>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</si>
  <si>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</si>
  <si>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</si>
  <si>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</si>
  <si>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</si>
  <si>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</si>
  <si>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</si>
  <si>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</si>
  <si>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</si>
  <si>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</si>
  <si>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</si>
  <si>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</si>
  <si>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</si>
  <si>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</si>
  <si>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</si>
  <si>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</si>
  <si>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</si>
  <si>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</si>
  <si>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</si>
  <si>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</si>
  <si>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</si>
  <si>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</si>
  <si>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</si>
  <si>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</si>
  <si>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</si>
  <si>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</si>
  <si>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</si>
  <si>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</si>
  <si>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</si>
  <si>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</si>
  <si>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</si>
  <si>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</si>
  <si>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</si>
  <si>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</si>
  <si>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</si>
  <si>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</si>
  <si>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</si>
  <si>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</si>
  <si>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</si>
  <si>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</si>
  <si>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</si>
  <si>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</si>
  <si>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</si>
  <si>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</si>
  <si>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</si>
  <si>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</si>
  <si>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</si>
  <si>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</si>
  <si>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</si>
  <si>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</si>
  <si>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</si>
  <si>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</si>
  <si>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</si>
  <si>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</si>
  <si>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</si>
  <si>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</si>
  <si>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</si>
  <si>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</si>
  <si>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</si>
  <si>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</si>
  <si>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</si>
  <si>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</si>
  <si>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</si>
  <si>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</si>
  <si>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</si>
  <si>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</si>
  <si>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</si>
  <si>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</si>
  <si>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</si>
  <si>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</si>
  <si>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</si>
  <si>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</si>
  <si>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</si>
  <si>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</si>
  <si>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</si>
  <si>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</si>
  <si>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</si>
  <si>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</si>
  <si>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</si>
  <si>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</si>
  <si>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</si>
  <si>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</si>
  <si>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</si>
  <si>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</si>
  <si>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</si>
  <si>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</si>
  <si>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</si>
  <si>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</si>
  <si>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</si>
  <si>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</si>
  <si>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</si>
  <si>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</si>
  <si>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</si>
  <si>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</si>
  <si>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</si>
  <si>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</si>
  <si>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</si>
  <si>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</si>
  <si>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</si>
  <si>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</si>
  <si>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</si>
  <si>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</si>
  <si>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</si>
  <si>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</si>
  <si>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</si>
  <si>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</si>
  <si>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</si>
  <si>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</si>
  <si>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</si>
  <si>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</si>
  <si>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</si>
  <si>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</si>
  <si>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</si>
  <si>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</si>
  <si>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</si>
  <si>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</si>
  <si>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</si>
  <si>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</si>
  <si>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</si>
  <si>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</si>
  <si>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</si>
  <si>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</si>
  <si>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</si>
  <si>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</si>
  <si>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</si>
  <si>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</si>
  <si>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</si>
  <si>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</si>
  <si>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</si>
  <si>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</si>
  <si>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</si>
  <si>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</si>
  <si>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</si>
  <si>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</si>
  <si>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</si>
  <si>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</si>
  <si>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</si>
  <si>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</si>
  <si>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</si>
  <si>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</si>
  <si>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</si>
  <si>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</si>
  <si>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</si>
  <si>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</si>
  <si>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</si>
  <si>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</si>
  <si>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</si>
  <si>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</si>
  <si>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</si>
  <si>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</si>
  <si>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</si>
  <si>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</si>
  <si>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</si>
  <si>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</si>
  <si>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</si>
  <si>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</si>
  <si>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</si>
  <si>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</si>
  <si>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</si>
  <si>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</si>
  <si>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</si>
  <si>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</si>
  <si>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</si>
  <si>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</si>
  <si>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</si>
  <si>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</si>
  <si>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</si>
  <si>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</si>
  <si>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</si>
  <si>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</si>
  <si>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</si>
  <si>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</si>
  <si>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</si>
  <si>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</si>
  <si>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</si>
  <si>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</si>
  <si>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</si>
  <si>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</si>
  <si>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</si>
  <si>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</si>
  <si>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</si>
  <si>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</si>
  <si>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</si>
  <si>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</si>
  <si>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</si>
  <si>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</si>
  <si>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</si>
  <si>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</si>
  <si>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</si>
  <si>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</si>
  <si>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</si>
  <si>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</si>
  <si>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</si>
  <si>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</si>
  <si>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</si>
  <si>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</si>
  <si>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</si>
  <si>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</si>
  <si>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</si>
  <si>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</si>
  <si>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</si>
  <si>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</si>
  <si>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</si>
  <si>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</si>
  <si>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</si>
  <si>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</si>
  <si>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</si>
  <si>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</si>
  <si>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</si>
  <si>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</si>
  <si>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</si>
  <si>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</si>
  <si>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</si>
  <si>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</si>
  <si>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</si>
  <si>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</si>
  <si>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</si>
  <si>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</si>
  <si>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</si>
  <si>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</si>
  <si>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</si>
  <si>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</si>
  <si>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</si>
  <si>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</si>
  <si>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</si>
  <si>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</si>
  <si>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</si>
  <si>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</si>
  <si>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</si>
  <si>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</si>
  <si>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</si>
  <si>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</si>
  <si>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</si>
  <si>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</si>
  <si>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</si>
  <si>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</si>
  <si>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</si>
  <si>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</si>
  <si>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</si>
  <si>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</si>
  <si>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</si>
  <si>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</si>
  <si>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</si>
  <si>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</si>
  <si>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</si>
  <si>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</si>
  <si>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</si>
  <si>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</si>
  <si>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</si>
  <si>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</si>
  <si>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</si>
  <si>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</si>
  <si>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</si>
  <si>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</si>
  <si>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</si>
  <si>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</si>
  <si>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</si>
  <si>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</si>
  <si>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</si>
  <si>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</si>
  <si>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</si>
  <si>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</si>
  <si>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</si>
  <si>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</si>
  <si>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</si>
  <si>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</si>
  <si>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</si>
  <si>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</si>
  <si>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</si>
  <si>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</si>
  <si>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</si>
  <si>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</si>
  <si>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</si>
  <si>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</si>
  <si>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</si>
  <si>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</si>
  <si>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</si>
  <si>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</si>
  <si>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</si>
  <si>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</si>
  <si>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</si>
  <si>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</si>
  <si>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</si>
  <si>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</si>
  <si>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</si>
  <si>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</si>
  <si>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</si>
  <si>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</si>
  <si>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</si>
  <si>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</si>
  <si>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</si>
  <si>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</si>
  <si>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</si>
  <si>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</si>
  <si>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</si>
  <si>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</si>
  <si>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</si>
  <si>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</si>
  <si>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</si>
  <si>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</si>
  <si>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</si>
  <si>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</si>
  <si>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</si>
  <si>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</si>
  <si>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</si>
  <si>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</si>
  <si>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</si>
  <si>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</si>
  <si>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</si>
  <si>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</si>
  <si>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</si>
  <si>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</si>
  <si>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</si>
  <si>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</si>
  <si>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</si>
  <si>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</si>
  <si>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</si>
  <si>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</si>
  <si>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</si>
  <si>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</si>
  <si>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</si>
  <si>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</si>
  <si>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</si>
  <si>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</si>
  <si>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</si>
  <si>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</si>
  <si>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</si>
  <si>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</si>
  <si>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</si>
  <si>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</si>
  <si>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</si>
  <si>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</si>
  <si>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</si>
  <si>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</si>
  <si>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</si>
  <si>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</si>
  <si>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</si>
  <si>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</si>
  <si>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</si>
  <si>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</si>
  <si>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</si>
  <si>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</si>
  <si>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</si>
  <si>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</si>
  <si>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</si>
  <si>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</si>
  <si>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</si>
  <si>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</si>
  <si>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</si>
  <si>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</si>
  <si>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</si>
  <si>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</si>
  <si>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</si>
  <si>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</si>
  <si>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</si>
  <si>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</si>
  <si>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</si>
  <si>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</si>
  <si>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</si>
  <si>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</si>
  <si>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</si>
  <si>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</si>
  <si>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</si>
  <si>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</si>
  <si>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</si>
  <si>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</si>
  <si>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</si>
  <si>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</si>
  <si>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</si>
  <si>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</si>
  <si>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</si>
  <si>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</si>
  <si>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</si>
  <si>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</si>
  <si>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</si>
  <si>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</si>
  <si>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</si>
  <si>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</si>
  <si>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</si>
  <si>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</si>
  <si>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</si>
  <si>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</si>
  <si>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</si>
  <si>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</si>
  <si>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</si>
  <si>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</si>
  <si>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</si>
  <si>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</si>
  <si>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</si>
  <si>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</si>
  <si>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</si>
  <si>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</si>
  <si>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</si>
  <si>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</si>
  <si>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</si>
  <si>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</si>
  <si>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</si>
  <si>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</si>
  <si>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</si>
  <si>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</si>
  <si>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</si>
  <si>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</si>
  <si>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</si>
  <si>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</si>
  <si>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</si>
  <si>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</si>
  <si>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</si>
  <si>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</si>
  <si>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</si>
  <si>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</si>
  <si>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</si>
  <si>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</si>
  <si>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</si>
  <si>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</si>
  <si>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</si>
  <si>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</si>
  <si>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</si>
  <si>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</si>
  <si>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</si>
  <si>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</si>
  <si>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</si>
  <si>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</si>
  <si>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</si>
  <si>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</si>
  <si>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</si>
  <si>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</si>
  <si>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</si>
  <si>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</si>
  <si>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</si>
  <si>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</si>
  <si>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</si>
  <si>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</si>
  <si>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</si>
  <si>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</si>
  <si>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</si>
  <si>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</si>
  <si>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</si>
  <si>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</si>
  <si>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</si>
  <si>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</si>
  <si>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</si>
  <si>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</si>
  <si>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</si>
  <si>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</si>
  <si>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</si>
  <si>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</si>
  <si>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</si>
  <si>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</si>
  <si>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</si>
  <si>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</si>
  <si>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</si>
  <si>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</si>
  <si>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</si>
  <si>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</si>
  <si>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</si>
  <si>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</si>
  <si>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</si>
  <si>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</si>
  <si>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</si>
  <si>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</si>
  <si>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</si>
  <si>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</si>
  <si>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</si>
  <si>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</si>
  <si>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</si>
  <si>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</si>
  <si>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</si>
  <si>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</si>
  <si>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</si>
  <si>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</si>
  <si>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</si>
  <si>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</si>
  <si>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</si>
  <si>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</si>
  <si>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</si>
  <si>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</si>
  <si>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</si>
  <si>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</si>
  <si>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</si>
  <si>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</si>
  <si>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</si>
  <si>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</si>
  <si>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</si>
  <si>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</si>
  <si>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</si>
  <si>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</si>
  <si>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</si>
  <si>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</si>
  <si>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</si>
  <si>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</si>
  <si>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</si>
  <si>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</si>
  <si>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</si>
  <si>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</si>
  <si>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</si>
  <si>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</si>
  <si>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</si>
  <si>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</si>
  <si>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</si>
  <si>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</si>
  <si>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</si>
  <si>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</si>
  <si>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</si>
  <si>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</si>
  <si>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</si>
  <si>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</si>
  <si>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</si>
  <si>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</si>
  <si>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</si>
  <si>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</si>
  <si>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</si>
  <si>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</si>
  <si>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</si>
  <si>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</si>
  <si>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</si>
  <si>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</si>
  <si>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</si>
  <si>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</si>
  <si>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</si>
  <si>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</si>
  <si>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</si>
  <si>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</si>
  <si>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</si>
  <si>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</si>
  <si>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</si>
  <si>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</si>
  <si>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</si>
  <si>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</si>
  <si>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</si>
  <si>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</si>
  <si>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</si>
  <si>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</si>
  <si>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</si>
  <si>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</si>
  <si>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</si>
  <si>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</si>
  <si>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</si>
  <si>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</si>
  <si>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</si>
  <si>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</si>
  <si>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</si>
  <si>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</si>
  <si>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</si>
  <si>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</si>
  <si>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</si>
  <si>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</si>
  <si>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</si>
  <si>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</si>
  <si>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</si>
  <si>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</si>
  <si>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</si>
  <si>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</si>
  <si>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</si>
  <si>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</si>
  <si>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</si>
  <si>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</si>
  <si>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</si>
  <si>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</si>
  <si>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</si>
  <si>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</si>
  <si>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</si>
  <si>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</si>
  <si>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</si>
  <si>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</si>
  <si>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</si>
  <si>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</si>
  <si>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</si>
  <si>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</si>
  <si>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</si>
  <si>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</si>
  <si>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</si>
  <si>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</si>
  <si>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</si>
  <si>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</si>
  <si>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</si>
  <si>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</si>
  <si>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</si>
  <si>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</si>
  <si>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</si>
  <si>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</si>
  <si>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</si>
  <si>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</si>
  <si>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</si>
  <si>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</si>
  <si>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</si>
  <si>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</si>
  <si>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</si>
  <si>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</si>
  <si>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</si>
  <si>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</si>
  <si>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</si>
  <si>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</si>
  <si>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</si>
  <si>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</si>
  <si>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</si>
  <si>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</si>
  <si>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</si>
  <si>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</si>
  <si>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</si>
  <si>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</si>
  <si>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</si>
  <si>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</si>
  <si>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</si>
  <si>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</si>
  <si>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</si>
  <si>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</si>
  <si>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</si>
  <si>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</si>
  <si>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</si>
  <si>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</si>
  <si>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</si>
  <si>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</si>
  <si>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</si>
  <si>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</si>
  <si>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</si>
  <si>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</si>
  <si>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</si>
  <si>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</si>
  <si>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</si>
  <si>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</si>
  <si>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</si>
  <si>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</si>
  <si>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</si>
  <si>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</si>
  <si>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</si>
  <si>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</si>
  <si>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</si>
  <si>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</si>
  <si>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</si>
  <si>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</si>
  <si>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</si>
  <si>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</si>
  <si>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</si>
  <si>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</si>
  <si>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</si>
  <si>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</si>
  <si>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</si>
  <si>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</si>
  <si>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</si>
  <si>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</si>
  <si>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</si>
  <si>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</si>
  <si>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</si>
  <si>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</si>
  <si>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</si>
  <si>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</si>
  <si>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</si>
  <si>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</si>
  <si>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</si>
  <si>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</si>
  <si>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</si>
  <si>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</si>
  <si>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</si>
  <si>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</si>
  <si>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</si>
  <si>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</si>
  <si>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</si>
  <si>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</si>
  <si>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</si>
  <si>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</si>
  <si>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</si>
  <si>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</si>
  <si>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</si>
  <si>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</si>
  <si>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</si>
  <si>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</si>
  <si>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</si>
  <si>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</si>
  <si>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</si>
  <si>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</si>
  <si>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</si>
  <si>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</si>
  <si>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</si>
  <si>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</si>
  <si>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</si>
  <si>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</si>
  <si>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</si>
  <si>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</si>
  <si>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</si>
  <si>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</si>
  <si>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</si>
  <si>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</si>
  <si>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</si>
  <si>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</si>
  <si>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</si>
  <si>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</si>
  <si>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</si>
  <si>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</si>
  <si>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</si>
  <si>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</si>
  <si>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</si>
  <si>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</si>
  <si>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</si>
  <si>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</si>
  <si>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</si>
  <si>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</si>
  <si>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</si>
  <si>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</si>
  <si>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</si>
  <si>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</si>
  <si>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</si>
  <si>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</si>
  <si>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</si>
  <si>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</si>
  <si>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</si>
  <si>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</si>
  <si>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</si>
  <si>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</si>
  <si>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</si>
  <si>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</si>
  <si>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</si>
  <si>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</si>
  <si>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</si>
  <si>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</si>
  <si>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</si>
  <si>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</si>
  <si>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</si>
  <si>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</si>
  <si>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</si>
  <si>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</si>
  <si>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</si>
  <si>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</si>
  <si>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</si>
  <si>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</si>
  <si>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</si>
  <si>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</si>
  <si>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</si>
  <si>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</si>
  <si>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</si>
  <si>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</si>
  <si>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</si>
  <si>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</si>
  <si>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</si>
  <si>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</si>
  <si>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</si>
  <si>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</si>
  <si>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</si>
  <si>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</si>
  <si>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</si>
  <si>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</si>
  <si>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</si>
  <si>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</si>
  <si>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</si>
  <si>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</si>
  <si>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</si>
  <si>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</si>
  <si>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</si>
  <si>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</si>
  <si>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</si>
  <si>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</si>
  <si>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</si>
  <si>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</si>
  <si>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</si>
  <si>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</si>
  <si>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</si>
  <si>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</si>
  <si>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</si>
  <si>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</si>
  <si>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</si>
  <si>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</si>
  <si>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</si>
  <si>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</si>
  <si>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</si>
  <si>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</si>
  <si>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</si>
  <si>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</si>
  <si>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</si>
  <si>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</si>
  <si>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</si>
  <si>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</si>
  <si>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</si>
  <si>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</si>
  <si>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</si>
  <si>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</si>
  <si>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</si>
  <si>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</si>
  <si>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</si>
  <si>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</si>
  <si>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</si>
  <si>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</si>
  <si>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</si>
  <si>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</si>
  <si>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</si>
  <si>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</si>
  <si>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</si>
  <si>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</si>
  <si>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</si>
  <si>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</si>
  <si>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</si>
  <si>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</si>
  <si>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</si>
  <si>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</si>
  <si>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</si>
  <si>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</si>
  <si>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</si>
  <si>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</si>
  <si>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</si>
  <si>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</si>
  <si>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</si>
  <si>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</si>
  <si>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</si>
  <si>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</si>
  <si>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</si>
  <si>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</si>
  <si>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</si>
  <si>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</si>
  <si>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</si>
  <si>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</si>
  <si>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</si>
  <si>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</si>
  <si>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</si>
  <si>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</si>
  <si>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</si>
  <si>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</si>
  <si>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</si>
  <si>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</si>
  <si>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</si>
  <si>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</si>
  <si>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</si>
  <si>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</si>
  <si>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</si>
  <si>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</si>
  <si>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</si>
  <si>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</si>
  <si>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</si>
  <si>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</si>
  <si>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</si>
  <si>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</si>
  <si>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</si>
  <si>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</si>
  <si>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</si>
  <si>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</si>
  <si>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</si>
  <si>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</si>
  <si>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</si>
  <si>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</si>
  <si>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</si>
  <si>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</si>
  <si>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</si>
  <si>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</si>
  <si>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</si>
  <si>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</si>
  <si>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</si>
  <si>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</si>
  <si>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</si>
  <si>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</si>
  <si>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</si>
  <si>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</si>
  <si>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</si>
  <si>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</si>
  <si>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</si>
  <si>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</si>
  <si>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</si>
  <si>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</si>
  <si>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</si>
  <si>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</si>
  <si>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</si>
  <si>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</si>
  <si>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</si>
  <si>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</si>
  <si>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</si>
  <si>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</si>
  <si>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</si>
  <si>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</si>
  <si>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</si>
  <si>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</si>
  <si>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</si>
  <si>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</si>
  <si>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</si>
  <si>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</si>
  <si>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</si>
  <si>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</si>
  <si>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</si>
  <si>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</si>
  <si>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</si>
  <si>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</si>
  <si>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</si>
  <si>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</si>
  <si>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</si>
  <si>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</si>
  <si>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</si>
  <si>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</si>
  <si>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</si>
  <si>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</si>
  <si>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</si>
  <si>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</si>
  <si>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</si>
  <si>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</si>
  <si>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</si>
  <si>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</si>
  <si>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</si>
  <si>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</si>
  <si>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</si>
  <si>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</si>
  <si>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</si>
  <si>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</si>
  <si>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</si>
  <si>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</si>
  <si>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</si>
  <si>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</si>
  <si>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</si>
  <si>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</si>
  <si>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</si>
  <si>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</si>
  <si>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</si>
  <si>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</si>
  <si>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</si>
  <si>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</si>
  <si>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</si>
  <si>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</si>
  <si>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</si>
  <si>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</si>
  <si>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</si>
  <si>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</si>
  <si>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</si>
  <si>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</si>
  <si>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</si>
  <si>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Measures of CT</t>
  </si>
  <si>
    <t xml:space="preserve">Standard Deviation of Goal </t>
  </si>
  <si>
    <t>Lower Quartile of Goal</t>
  </si>
  <si>
    <t>Upper Quartile of Goal</t>
  </si>
  <si>
    <t>IQR of Goal</t>
  </si>
  <si>
    <t>Length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</si>
  <si>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</si>
  <si>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</si>
  <si>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</si>
  <si>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</si>
  <si>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</si>
  <si>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</si>
  <si>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</si>
  <si>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</si>
  <si>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</si>
  <si>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</si>
  <si>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</si>
  <si>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</si>
  <si>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</si>
  <si>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</si>
  <si>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</si>
  <si>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</si>
  <si>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</si>
  <si>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</si>
  <si>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</si>
  <si>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</si>
  <si>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Sum of Percentage Failed</t>
  </si>
  <si>
    <t>Sum of Percentage Successful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</si>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</sst>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D3B45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wrapText="1"/>
    </xf>
    <xf numFmtId="3" fontId="0" fillId="0" borderId="0" xfId="0" applyNumberFormat="1"/>
    <xf numFmtId="0" fontId="1" fillId="0" borderId="1" xfId="0" applyFont="1" applyBorder="1"/>
    <xf numFmtId="3" fontId="1" fillId="0" borderId="2" xfId="0" applyNumberFormat="1" applyFont="1" applyBorder="1"/>
    <xf numFmtId="3" fontId="1" fillId="0" borderId="3" xfId="0" applyNumberFormat="1" applyFont="1" applyBorder="1"/>
    <xf numFmtId="0" fontId="0" fillId="0" borderId="4" xfId="0" applyBorder="1"/>
    <xf numFmtId="0" fontId="0" fillId="0" borderId="6" xfId="0" applyBorder="1"/>
    <xf numFmtId="165" fontId="0" fillId="0" borderId="0" xfId="0" applyNumberFormat="1" applyBorder="1"/>
    <xf numFmtId="165" fontId="0" fillId="0" borderId="5" xfId="0" applyNumberFormat="1" applyBorder="1"/>
    <xf numFmtId="165" fontId="0" fillId="0" borderId="7" xfId="0" applyNumberFormat="1" applyBorder="1"/>
    <xf numFmtId="165" fontId="0" fillId="0" borderId="8" xfId="0" applyNumberFormat="1" applyBorder="1"/>
    <xf numFmtId="1" fontId="1" fillId="0" borderId="0" xfId="0" applyNumberFormat="1" applyFont="1"/>
    <xf numFmtId="1" fontId="0" fillId="0" borderId="0" xfId="0" applyNumberFormat="1"/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13">
    <dxf>
      <numFmt numFmtId="14" formatCode="0.00%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03142020.xlsx]Outcomes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2-4461-A36E-95956FE10A3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2-4461-A36E-95956FE10A3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2-4461-A36E-95956FE10A3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2-4461-A36E-95956FE1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007983"/>
        <c:axId val="2009287935"/>
      </c:lineChart>
      <c:catAx>
        <c:axId val="2940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287935"/>
        <c:crosses val="autoZero"/>
        <c:auto val="1"/>
        <c:lblAlgn val="ctr"/>
        <c:lblOffset val="100"/>
        <c:noMultiLvlLbl val="0"/>
      </c:catAx>
      <c:valAx>
        <c:axId val="200928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0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03142020.xlsx]PT - Outcomes Based on Goals!PivotTable6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Goal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- Outcomes Based on Goals'!$B$1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- Outcomes Based on Goals'!$A$2:$A$14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'PT - Outcomes Based on Goals'!$B$2:$B$14</c:f>
              <c:numCache>
                <c:formatCode>0.00%</c:formatCode>
                <c:ptCount val="12"/>
                <c:pt idx="0">
                  <c:v>0.90337078651685399</c:v>
                </c:pt>
                <c:pt idx="1">
                  <c:v>0.95348837209302328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0.970873786407767</c:v>
                </c:pt>
                <c:pt idx="10">
                  <c:v>1</c:v>
                </c:pt>
                <c:pt idx="11">
                  <c:v>0.27553444180522563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05-47F1-9625-150149098F09}"/>
            </c:ext>
          </c:extLst>
        </c:ser>
        <c:ser>
          <c:idx val="1"/>
          <c:order val="1"/>
          <c:tx>
            <c:strRef>
              <c:f>'PT - Outcomes Based on Goals'!$C$1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- Outcomes Based on Goals'!$A$2:$A$14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'PT - Outcomes Based on Goals'!$C$2:$C$14</c:f>
              <c:numCache>
                <c:formatCode>0.00%</c:formatCode>
                <c:ptCount val="12"/>
                <c:pt idx="0">
                  <c:v>9.662921348314607E-2</c:v>
                </c:pt>
                <c:pt idx="1">
                  <c:v>4.6511627906976744E-2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2.9126213592233011E-2</c:v>
                </c:pt>
                <c:pt idx="10">
                  <c:v>0</c:v>
                </c:pt>
                <c:pt idx="11">
                  <c:v>0.72446555819477432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705-47F1-9625-150149098F09}"/>
            </c:ext>
          </c:extLst>
        </c:ser>
        <c:ser>
          <c:idx val="2"/>
          <c:order val="2"/>
          <c:tx>
            <c:strRef>
              <c:f>'PT - Outcomes Based on Goals'!$D$1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- Outcomes Based on Goals'!$A$2:$A$14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'PT - Outcomes Based on Goals'!$D$2:$D$14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705-47F1-9625-150149098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58207"/>
        <c:axId val="607210207"/>
      </c:lineChart>
      <c:catAx>
        <c:axId val="52895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10207"/>
        <c:crosses val="autoZero"/>
        <c:auto val="1"/>
        <c:lblAlgn val="ctr"/>
        <c:lblOffset val="100"/>
        <c:noMultiLvlLbl val="0"/>
      </c:catAx>
      <c:valAx>
        <c:axId val="60721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03142020.xlsx]PT-PCO!PivotTable1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4586481113320081"/>
          <c:y val="6.6750178954903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'PT-PCO'!$B$3:$B$4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'PT-PCO'!$A$5:$A$11</c:f>
              <c:strCache>
                <c:ptCount val="6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</c:strCache>
            </c:strRef>
          </c:cat>
          <c:val>
            <c:numRef>
              <c:f>'PT-PCO'!$B$5:$B$11</c:f>
              <c:numCache>
                <c:formatCode>General</c:formatCode>
                <c:ptCount val="6"/>
                <c:pt idx="3">
                  <c:v>15</c:v>
                </c:pt>
                <c:pt idx="4">
                  <c:v>47</c:v>
                </c:pt>
                <c:pt idx="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8-4B80-A312-A19255348E2D}"/>
            </c:ext>
          </c:extLst>
        </c:ser>
        <c:ser>
          <c:idx val="1"/>
          <c:order val="1"/>
          <c:tx>
            <c:strRef>
              <c:f>'PT-PCO'!$C$3:$C$4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'PT-PCO'!$A$5:$A$11</c:f>
              <c:strCache>
                <c:ptCount val="6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</c:strCache>
            </c:strRef>
          </c:cat>
          <c:val>
            <c:numRef>
              <c:f>'PT-PCO'!$C$5:$C$11</c:f>
              <c:numCache>
                <c:formatCode>General</c:formatCode>
                <c:ptCount val="6"/>
                <c:pt idx="0">
                  <c:v>13</c:v>
                </c:pt>
                <c:pt idx="2">
                  <c:v>7</c:v>
                </c:pt>
                <c:pt idx="3">
                  <c:v>1</c:v>
                </c:pt>
                <c:pt idx="4">
                  <c:v>81</c:v>
                </c:pt>
                <c:pt idx="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8-4B80-A312-A19255348E2D}"/>
            </c:ext>
          </c:extLst>
        </c:ser>
        <c:ser>
          <c:idx val="2"/>
          <c:order val="2"/>
          <c:tx>
            <c:strRef>
              <c:f>'PT-PCO'!$D$3:$D$4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'PT-PCO'!$A$5:$A$11</c:f>
              <c:strCache>
                <c:ptCount val="6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</c:strCache>
            </c:strRef>
          </c:cat>
          <c:val>
            <c:numRef>
              <c:f>'PT-PCO'!$D$5:$D$11</c:f>
              <c:numCache>
                <c:formatCode>General</c:formatCode>
                <c:ptCount val="6"/>
                <c:pt idx="1">
                  <c:v>103</c:v>
                </c:pt>
                <c:pt idx="2">
                  <c:v>7</c:v>
                </c:pt>
                <c:pt idx="3">
                  <c:v>31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8-4B80-A312-A19255348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93439"/>
        <c:axId val="2025097183"/>
      </c:barChart>
      <c:catAx>
        <c:axId val="31193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97183"/>
        <c:crosses val="autoZero"/>
        <c:auto val="1"/>
        <c:lblAlgn val="ctr"/>
        <c:lblOffset val="100"/>
        <c:noMultiLvlLbl val="0"/>
      </c:catAx>
      <c:valAx>
        <c:axId val="202509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03142020.xlsx]PT-Subcategory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4-4D5B-B0D8-241F241BF5E7}"/>
            </c:ext>
          </c:extLst>
        </c:ser>
        <c:ser>
          <c:idx val="1"/>
          <c:order val="1"/>
          <c:tx>
            <c:strRef>
              <c:f>'PT-Subcategory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4-4D5B-B0D8-241F241BF5E7}"/>
            </c:ext>
          </c:extLst>
        </c:ser>
        <c:ser>
          <c:idx val="2"/>
          <c:order val="2"/>
          <c:tx>
            <c:strRef>
              <c:f>'PT-Subcategory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4-4D5B-B0D8-241F241BF5E7}"/>
            </c:ext>
          </c:extLst>
        </c:ser>
        <c:ser>
          <c:idx val="3"/>
          <c:order val="3"/>
          <c:tx>
            <c:strRef>
              <c:f>'PT-Subcategory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D-477F-8976-856D88ABD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964607"/>
        <c:axId val="2025098015"/>
      </c:barChart>
      <c:catAx>
        <c:axId val="14596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98015"/>
        <c:crosses val="autoZero"/>
        <c:auto val="1"/>
        <c:lblAlgn val="ctr"/>
        <c:lblOffset val="100"/>
        <c:noMultiLvlLbl val="0"/>
      </c:catAx>
      <c:valAx>
        <c:axId val="202509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03142020.xlsx]PT - Theather!PivotTable4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27403864083226409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- Theather'!$B$4:$B$5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- Theather'!$A$6:$A$18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Theather'!$B$6:$B$18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D-443A-BF5C-3A7615B8D6D2}"/>
            </c:ext>
          </c:extLst>
        </c:ser>
        <c:ser>
          <c:idx val="1"/>
          <c:order val="1"/>
          <c:tx>
            <c:strRef>
              <c:f>'PT - Theather'!$C$4:$C$5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- Theather'!$A$6:$A$18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Theather'!$C$6:$C$18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FD-443A-BF5C-3A7615B8D6D2}"/>
            </c:ext>
          </c:extLst>
        </c:ser>
        <c:ser>
          <c:idx val="2"/>
          <c:order val="2"/>
          <c:tx>
            <c:strRef>
              <c:f>'PT - Theather'!$D$4:$D$5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- Theather'!$A$6:$A$18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Theather'!$D$6:$D$18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FD-443A-BF5C-3A7615B8D6D2}"/>
            </c:ext>
          </c:extLst>
        </c:ser>
        <c:ser>
          <c:idx val="3"/>
          <c:order val="3"/>
          <c:tx>
            <c:strRef>
              <c:f>'PT - Theather'!$E$4:$E$5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 - Theather'!$A$6:$A$18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Theather'!$E$6:$E$18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FD-443A-BF5C-3A7615B8D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567615"/>
        <c:axId val="643602879"/>
      </c:lineChart>
      <c:catAx>
        <c:axId val="6385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02879"/>
        <c:crosses val="autoZero"/>
        <c:auto val="1"/>
        <c:lblAlgn val="ctr"/>
        <c:lblOffset val="100"/>
        <c:noMultiLvlLbl val="0"/>
      </c:catAx>
      <c:valAx>
        <c:axId val="64360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03142020.xlsx]All Types by Year!PivotTable4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'All Types by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'All Types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'All Types by Year'!$B$5:$B$14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22-417A-B2A3-6504E245BDB6}"/>
            </c:ext>
          </c:extLst>
        </c:ser>
        <c:ser>
          <c:idx val="1"/>
          <c:order val="1"/>
          <c:tx>
            <c:strRef>
              <c:f>'All Types by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'All Types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'All Types by Year'!$C$5:$C$14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22-417A-B2A3-6504E245BDB6}"/>
            </c:ext>
          </c:extLst>
        </c:ser>
        <c:ser>
          <c:idx val="2"/>
          <c:order val="2"/>
          <c:tx>
            <c:strRef>
              <c:f>'All Types by Year'!$D$3:$D$4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'All Types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'All Types by Year'!$D$5:$D$14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022-417A-B2A3-6504E245BDB6}"/>
            </c:ext>
          </c:extLst>
        </c:ser>
        <c:ser>
          <c:idx val="3"/>
          <c:order val="3"/>
          <c:tx>
            <c:strRef>
              <c:f>'All Types by Year'!$E$3:$E$4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'All Types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'All Types by Year'!$E$5:$E$14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22-417A-B2A3-6504E245B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567615"/>
        <c:axId val="643602879"/>
      </c:lineChart>
      <c:catAx>
        <c:axId val="6385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02879"/>
        <c:crosses val="autoZero"/>
        <c:auto val="1"/>
        <c:lblAlgn val="ctr"/>
        <c:lblOffset val="100"/>
        <c:noMultiLvlLbl val="0"/>
      </c:catAx>
      <c:valAx>
        <c:axId val="64360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6AF6FAF-DF61-4917-9E0F-D8AFC7FBD51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3D4AE3-6328-4E08-9236-D55F08E8F6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6CA9B8-55D9-48B9-8025-32AFFE797F98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44450</xdr:rowOff>
    </xdr:from>
    <xdr:to>
      <xdr:col>13</xdr:col>
      <xdr:colOff>546100</xdr:colOff>
      <xdr:row>17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3D8FED-DD20-4C41-87D1-6558EE67C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0A863F-1910-461C-86E7-28F12C1E69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C757B14-5498-48AC-9BDF-94A264F8C1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1</xdr:row>
      <xdr:rowOff>160866</xdr:rowOff>
    </xdr:from>
    <xdr:to>
      <xdr:col>16</xdr:col>
      <xdr:colOff>484717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37AD4C-CE61-4434-BE11-E786DCDDB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88900</xdr:rowOff>
    </xdr:from>
    <xdr:to>
      <xdr:col>17</xdr:col>
      <xdr:colOff>12700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54599-1A2C-49E3-974D-CEC845646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101600</xdr:rowOff>
    </xdr:from>
    <xdr:to>
      <xdr:col>13</xdr:col>
      <xdr:colOff>558800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D548C-4EC4-48D4-AC17-3FF72AB8D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19050</xdr:rowOff>
    </xdr:from>
    <xdr:to>
      <xdr:col>19</xdr:col>
      <xdr:colOff>215900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462CF-D830-4F5B-A4E6-B111770F0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101600</xdr:rowOff>
    </xdr:from>
    <xdr:to>
      <xdr:col>18</xdr:col>
      <xdr:colOff>501650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1DC37-F04B-48EA-AFF5-26BFACEB7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897.664454166668" createdVersion="6" refreshedVersion="6" minRefreshableVersion="3" recordCount="4114" xr:uid="{8410CA1A-B62A-4C48-984F-F5F291D8D0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897.68606122685" createdVersion="6" refreshedVersion="6" minRefreshableVersion="3" recordCount="4114" xr:uid="{BAAAF63C-8BBF-4A02-8DF0-105C1F5209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904.567400810185" createdVersion="6" refreshedVersion="6" minRefreshableVersion="3" recordCount="12" xr:uid="{899F87F2-35AC-4E8A-8487-A219FC60701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402"/>
    </cacheField>
    <cacheField name="Number Failed" numFmtId="0">
      <sharedItems containsSemiMixedTypes="0" containsString="0" containsNumber="1" containsInteger="1" minValue="0" maxValue="305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445" count="10">
        <n v="421"/>
        <n v="445"/>
        <n v="103"/>
        <n v="43"/>
        <n v="14"/>
        <n v="8"/>
        <n v="2"/>
        <n v="3"/>
        <n v="0"/>
        <n v="4"/>
      </sharedItems>
    </cacheField>
    <cacheField name="Percentage Successful" numFmtId="10">
      <sharedItems containsSemiMixedTypes="0" containsString="0" containsNumber="1" minValue="0" maxValue="1"/>
    </cacheField>
    <cacheField name="Percentage Failed" numFmtId="10">
      <sharedItems containsSemiMixedTypes="0" containsString="0" containsNumber="1" minValue="0" maxValue="0.72446555819477432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6"/>
    <x v="11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16"/>
    <n v="305"/>
    <n v="0"/>
    <x v="0"/>
    <n v="0.27553444180522563"/>
    <n v="0.72446555819477432"/>
    <n v="0"/>
  </r>
  <r>
    <x v="1"/>
    <n v="402"/>
    <n v="43"/>
    <n v="0"/>
    <x v="1"/>
    <n v="0.90337078651685399"/>
    <n v="9.662921348314607E-2"/>
    <n v="0"/>
  </r>
  <r>
    <x v="2"/>
    <n v="100"/>
    <n v="3"/>
    <n v="0"/>
    <x v="2"/>
    <n v="0.970873786407767"/>
    <n v="2.9126213592233011E-2"/>
    <n v="0"/>
  </r>
  <r>
    <x v="3"/>
    <n v="41"/>
    <n v="2"/>
    <n v="0"/>
    <x v="3"/>
    <n v="0.95348837209302328"/>
    <n v="4.6511627906976744E-2"/>
    <n v="0"/>
  </r>
  <r>
    <x v="4"/>
    <n v="14"/>
    <n v="0"/>
    <n v="0"/>
    <x v="4"/>
    <n v="1"/>
    <n v="0"/>
    <n v="0"/>
  </r>
  <r>
    <x v="5"/>
    <n v="8"/>
    <n v="0"/>
    <n v="0"/>
    <x v="5"/>
    <n v="1"/>
    <n v="0"/>
    <n v="0"/>
  </r>
  <r>
    <x v="6"/>
    <n v="2"/>
    <n v="0"/>
    <n v="0"/>
    <x v="6"/>
    <n v="1"/>
    <n v="0"/>
    <n v="0"/>
  </r>
  <r>
    <x v="7"/>
    <n v="3"/>
    <n v="0"/>
    <n v="0"/>
    <x v="7"/>
    <n v="1"/>
    <n v="0"/>
    <n v="0"/>
  </r>
  <r>
    <x v="8"/>
    <n v="2"/>
    <n v="0"/>
    <n v="0"/>
    <x v="6"/>
    <n v="1"/>
    <n v="0"/>
    <n v="0"/>
  </r>
  <r>
    <x v="9"/>
    <n v="2"/>
    <n v="0"/>
    <n v="0"/>
    <x v="6"/>
    <n v="1"/>
    <n v="0"/>
    <n v="0"/>
  </r>
  <r>
    <x v="10"/>
    <n v="0"/>
    <n v="0"/>
    <n v="0"/>
    <x v="8"/>
    <n v="0"/>
    <n v="0"/>
    <n v="0"/>
  </r>
  <r>
    <x v="11"/>
    <n v="4"/>
    <n v="0"/>
    <n v="0"/>
    <x v="9"/>
    <n v="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D12C8-71CE-47E3-9018-8740EC08D21A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F1164-6716-4DB5-A1E3-C0DC47D463B0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>
      <items count="11">
        <item x="8"/>
        <item x="6"/>
        <item x="7"/>
        <item x="9"/>
        <item x="5"/>
        <item x="4"/>
        <item x="3"/>
        <item x="2"/>
        <item x="0"/>
        <item x="1"/>
        <item t="default"/>
      </items>
    </pivotField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1DF93-0511-4943-BE05-ED5B9D1B791D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x="6"/>
        <item x="0"/>
        <item x="24"/>
        <item x="4"/>
        <item x="1"/>
        <item x="26"/>
        <item h="1" x="19"/>
        <item h="1" x="11"/>
        <item h="1" x="9"/>
        <item t="default"/>
      </items>
    </pivotField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3"/>
  </rowFields>
  <rowItems count="7"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542A7-BE3D-40A1-957C-E11AB060186E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1">
  <location ref="A4:F47" firstHeaderRow="1" firstDataRow="2" firstDataCol="1" rowPageCount="2" colPageCount="1"/>
  <pivotFields count="18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axis="axisPage" compact="0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compact="0" showAll="0"/>
    <pivotField compact="0" showAll="0"/>
    <pivotField compact="0" showAll="0"/>
    <pivotField axis="axisRow" compact="0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50B30-C9FE-4857-B844-CE705815FE81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2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multipleItemSelectionAllowe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sd="0" x="9"/>
        <item h="1" sd="0"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51F1F-9B4C-4516-8C96-8C37D61E9D3D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multipleItemSelectionAllowe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S2" sqref="S2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3" bestFit="1" customWidth="1"/>
    <col min="18" max="18" width="15.90625" bestFit="1" customWidth="1"/>
    <col min="19" max="19" width="26.54296875" style="13" bestFit="1" customWidth="1"/>
    <col min="20" max="20" width="22.81640625" style="13" bestFit="1" customWidth="1"/>
  </cols>
  <sheetData>
    <row r="1" spans="1:20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29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29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29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29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29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29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29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29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29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29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29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29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29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29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43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11" customHeight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29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29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29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29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29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43.5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29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29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29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29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29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43.5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43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43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29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29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29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29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29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29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29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29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29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29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29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29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29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29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29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29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72.5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29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29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43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29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29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29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29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29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29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58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43.5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43.5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29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43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29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29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29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43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72.5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01.5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43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43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29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29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29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43.5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29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43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29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29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72.5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29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29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29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29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43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72.5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29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43.5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43.5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29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29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29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43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29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29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29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29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43.5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58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29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29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29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29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29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29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29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29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43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58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29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43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29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43.5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43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29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29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29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29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43.5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29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29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29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29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29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29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43.5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29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29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29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29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29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29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29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29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29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29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29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29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29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43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29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29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43.5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29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29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29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29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29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32ABA68E-C794-465E-BC0F-1EFC244C6761}"/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5AF1-D910-461A-BE8B-E5AA9D7DD89F}">
  <dimension ref="A1:H13"/>
  <sheetViews>
    <sheetView workbookViewId="0">
      <selection activeCell="B9" sqref="B9"/>
    </sheetView>
  </sheetViews>
  <sheetFormatPr defaultColWidth="19.1796875" defaultRowHeight="14.5" x14ac:dyDescent="0.35"/>
  <cols>
    <col min="1" max="1" width="17.08984375" style="1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style="31" bestFit="1" customWidth="1"/>
    <col min="8" max="8" width="18.1796875" style="31" bestFit="1" customWidth="1"/>
  </cols>
  <sheetData>
    <row r="1" spans="1:8" s="15" customFormat="1" x14ac:dyDescent="0.35">
      <c r="A1" s="15" t="s">
        <v>8380</v>
      </c>
      <c r="B1" s="15" t="s">
        <v>8396</v>
      </c>
      <c r="C1" s="15" t="s">
        <v>8397</v>
      </c>
      <c r="D1" s="15" t="s">
        <v>8398</v>
      </c>
      <c r="E1" s="15" t="s">
        <v>8399</v>
      </c>
      <c r="F1" s="15" t="s">
        <v>8400</v>
      </c>
      <c r="G1" s="32" t="s">
        <v>8401</v>
      </c>
      <c r="H1" s="32" t="s">
        <v>8402</v>
      </c>
    </row>
    <row r="2" spans="1:8" x14ac:dyDescent="0.35">
      <c r="A2" s="15" t="s">
        <v>8403</v>
      </c>
      <c r="B2">
        <f>COUNTIFS(Kickstarter!$F:$F,"successful",Kickstarter!$R:$R,"plays",Kickstarter!$E:$E,"&lt;1000")</f>
        <v>116</v>
      </c>
      <c r="C2">
        <f>COUNTIFS(Kickstarter!$F:$F,"failed",Kickstarter!$R:$R,"plays",Kickstarter!$E:$E,"&lt;1000")</f>
        <v>305</v>
      </c>
      <c r="D2">
        <f>COUNTIFS(Kickstarter!$F:$F,"canceled",Kickstarter!$R:$R,"plays",Kickstarter!$E:$E,"&lt;1000")</f>
        <v>0</v>
      </c>
      <c r="E2">
        <f>SUM(B2:D2)</f>
        <v>421</v>
      </c>
      <c r="F2" s="31">
        <f>IFERROR(B2/E2,0)</f>
        <v>0.27553444180522563</v>
      </c>
      <c r="G2" s="31">
        <f>IFERROR(C2/E2,0)</f>
        <v>0.72446555819477432</v>
      </c>
      <c r="H2" s="31">
        <f>IFERROR(D2/E2,0)</f>
        <v>0</v>
      </c>
    </row>
    <row r="3" spans="1:8" x14ac:dyDescent="0.35">
      <c r="A3" s="15" t="s">
        <v>8404</v>
      </c>
      <c r="B3">
        <f>COUNTIFS(Kickstarter!$F:$F,"successful",Kickstarter!$R:$R,"plays",Kickstarter!$E:$E,"&gt;999", Kickstarter!$E:$E,"&lt;5000")</f>
        <v>402</v>
      </c>
      <c r="C3">
        <f>COUNTIFS(Kickstarter!$F:$F,"failed",Kickstarter!$R:$R,"plays",Kickstarter!$E:$E,"&gt;999", Kickstarter!$E:$E,"&lt;5000")</f>
        <v>43</v>
      </c>
      <c r="D3">
        <f>COUNTIFS(Kickstarter!$F:$F,"canceled",Kickstarter!$R:$R,"plays",Kickstarter!$E:$E,"&gt;999", Kickstarter!$E:$E,"&lt;5000")</f>
        <v>0</v>
      </c>
      <c r="E3">
        <f t="shared" ref="E3:E13" si="0">SUM(B3:D3)</f>
        <v>445</v>
      </c>
      <c r="F3" s="31">
        <f>IFERROR(B3/E3,0)</f>
        <v>0.90337078651685399</v>
      </c>
      <c r="G3" s="31">
        <f t="shared" ref="G3:G13" si="1">IFERROR(C3/E3,0)</f>
        <v>9.662921348314607E-2</v>
      </c>
      <c r="H3" s="31">
        <f t="shared" ref="H3:H13" si="2">IFERROR(D3/E3,0)</f>
        <v>0</v>
      </c>
    </row>
    <row r="4" spans="1:8" x14ac:dyDescent="0.35">
      <c r="A4" s="15" t="s">
        <v>8405</v>
      </c>
      <c r="B4">
        <f>COUNTIFS(Kickstarter!$F:$F,"successful",Kickstarter!$R:$R,"plays",Kickstarter!$E:$E,"&gt;4999", Kickstarter!$E:$E,"&lt;10000")</f>
        <v>100</v>
      </c>
      <c r="C4">
        <f>COUNTIFS(Kickstarter!$F:$F,"failed",Kickstarter!$R:$R,"plays",Kickstarter!$E:$E,"&gt;4999", Kickstarter!$E:$E,"&lt;10000")</f>
        <v>3</v>
      </c>
      <c r="D4">
        <f>COUNTIFS(Kickstarter!$F:$F,"canceled",Kickstarter!$R:$R,"plays",Kickstarter!$E:$E,"&gt;4999", Kickstarter!$E:$E,"&lt;10000")</f>
        <v>0</v>
      </c>
      <c r="E4">
        <f t="shared" si="0"/>
        <v>103</v>
      </c>
      <c r="F4" s="31">
        <f>IFERROR(B4/E4,0)</f>
        <v>0.970873786407767</v>
      </c>
      <c r="G4" s="31">
        <f t="shared" si="1"/>
        <v>2.9126213592233011E-2</v>
      </c>
      <c r="H4" s="31">
        <f t="shared" si="2"/>
        <v>0</v>
      </c>
    </row>
    <row r="5" spans="1:8" x14ac:dyDescent="0.35">
      <c r="A5" s="15" t="s">
        <v>8406</v>
      </c>
      <c r="B5">
        <f>COUNTIFS(Kickstarter!$F:$F,"successful",Kickstarter!$R:$R,"plays",Kickstarter!$E:$E,"&gt;9999", Kickstarter!$E:$E,"&lt;15000")</f>
        <v>41</v>
      </c>
      <c r="C5">
        <f>COUNTIFS(Kickstarter!$F:$F,"failed",Kickstarter!$R:$R,"plays",Kickstarter!$E:$E,"&gt;9999", Kickstarter!$E:$E,"&lt;15000")</f>
        <v>2</v>
      </c>
      <c r="D5">
        <f>COUNTIFS(Kickstarter!$F:$F,"canceled",Kickstarter!$R:$R,"plays",Kickstarter!$E:$E,"&gt;9999", Kickstarter!$E:$E,"&lt;15000")</f>
        <v>0</v>
      </c>
      <c r="E5">
        <f t="shared" si="0"/>
        <v>43</v>
      </c>
      <c r="F5" s="31">
        <f>IFERROR(B5/E5,0)</f>
        <v>0.95348837209302328</v>
      </c>
      <c r="G5" s="31">
        <f t="shared" si="1"/>
        <v>4.6511627906976744E-2</v>
      </c>
      <c r="H5" s="31">
        <f t="shared" si="2"/>
        <v>0</v>
      </c>
    </row>
    <row r="6" spans="1:8" x14ac:dyDescent="0.35">
      <c r="A6" s="15" t="s">
        <v>8407</v>
      </c>
      <c r="B6">
        <f>COUNTIFS(Kickstarter!$F:$F,"successful",Kickstarter!$R:$R,"plays",Kickstarter!$E:$E,"&gt;14999", Kickstarter!$E:$E,"&lt;20000")</f>
        <v>14</v>
      </c>
      <c r="C6">
        <f>COUNTIFS(Kickstarter!$F:$F,"failed",Kickstarter!$R:$R,"plays",Kickstarter!$E:$E,"&gt;14999", Kickstarter!$E:$E,"&lt;20000")</f>
        <v>0</v>
      </c>
      <c r="D6">
        <f>COUNTIFS(Kickstarter!$F:$F,"canceled",Kickstarter!$R:$R,"plays",Kickstarter!$E:$E,"&gt;14999", Kickstarter!$E:$E,"&lt;20000")</f>
        <v>0</v>
      </c>
      <c r="E6">
        <f t="shared" si="0"/>
        <v>14</v>
      </c>
      <c r="F6" s="31">
        <f t="shared" ref="F6:F13" si="3">IFERROR(B6/E6,0)</f>
        <v>1</v>
      </c>
      <c r="G6" s="31">
        <f t="shared" si="1"/>
        <v>0</v>
      </c>
      <c r="H6" s="31">
        <f t="shared" si="2"/>
        <v>0</v>
      </c>
    </row>
    <row r="7" spans="1:8" x14ac:dyDescent="0.35">
      <c r="A7" s="15" t="s">
        <v>8408</v>
      </c>
      <c r="B7">
        <f>COUNTIFS(Kickstarter!$F:$F,"successful",Kickstarter!$R:$R,"plays",Kickstarter!$E:$E,"&gt;19999", Kickstarter!$E:$E,"&lt;25000")</f>
        <v>8</v>
      </c>
      <c r="C7">
        <f>COUNTIFS(Kickstarter!$F:$F,"failed",Kickstarter!$R:$R,"plays",Kickstarter!$E:$E,"&gt;19999", Kickstarter!$E:$E,"&lt;25000")</f>
        <v>0</v>
      </c>
      <c r="D7">
        <f>COUNTIFS(Kickstarter!$F:$F,"canceled",Kickstarter!$R:$R,"plays",Kickstarter!$E:$E,"&gt;19999", Kickstarter!$E:$E,"&lt;25000")</f>
        <v>0</v>
      </c>
      <c r="E7">
        <f t="shared" si="0"/>
        <v>8</v>
      </c>
      <c r="F7" s="31">
        <f t="shared" si="3"/>
        <v>1</v>
      </c>
      <c r="G7" s="31">
        <f t="shared" si="1"/>
        <v>0</v>
      </c>
      <c r="H7" s="31">
        <f t="shared" si="2"/>
        <v>0</v>
      </c>
    </row>
    <row r="8" spans="1:8" x14ac:dyDescent="0.35">
      <c r="A8" s="15" t="s">
        <v>8409</v>
      </c>
      <c r="B8">
        <f>COUNTIFS(Kickstarter!$F:$F,"successful",Kickstarter!$R:$R,"plays",Kickstarter!$E:$E,"&gt;24999", Kickstarter!$E:$E,"&lt;30000")</f>
        <v>2</v>
      </c>
      <c r="C8">
        <f>COUNTIFS(Kickstarter!$F:$F,"failed",Kickstarter!$R:$R,"plays",Kickstarter!$E:$E,"&gt;24999", Kickstarter!$E:$E,"&lt;30000")</f>
        <v>0</v>
      </c>
      <c r="D8">
        <f>COUNTIFS(Kickstarter!$F:$F,"canceled",Kickstarter!$R:$R,"plays",Kickstarter!$E:$E,"&gt;24999", Kickstarter!$E:$E,"&lt;30000")</f>
        <v>0</v>
      </c>
      <c r="E8">
        <f t="shared" si="0"/>
        <v>2</v>
      </c>
      <c r="F8" s="31">
        <f t="shared" si="3"/>
        <v>1</v>
      </c>
      <c r="G8" s="31">
        <f t="shared" si="1"/>
        <v>0</v>
      </c>
      <c r="H8" s="31">
        <f t="shared" si="2"/>
        <v>0</v>
      </c>
    </row>
    <row r="9" spans="1:8" x14ac:dyDescent="0.35">
      <c r="A9" s="15" t="s">
        <v>8410</v>
      </c>
      <c r="B9">
        <f>COUNTIFS(Kickstarter!$F:$F,"successful",Kickstarter!$R:$R,"plays",Kickstarter!$E:$E,"&gt;29999", Kickstarter!$E:$E,"&lt;35000")</f>
        <v>3</v>
      </c>
      <c r="C9">
        <f>COUNTIFS(Kickstarter!$F:$F,"failed",Kickstarter!$R:$R,"plays",Kickstarter!$E:$E,"&gt;29999", Kickstarter!$E:$E,"&lt;35000")</f>
        <v>0</v>
      </c>
      <c r="D9">
        <f>COUNTIFS(Kickstarter!$F:$F,"canceled",Kickstarter!$R:$R,"plays",Kickstarter!$E:$E,"&gt;29999", Kickstarter!$E:$E,"&lt;35000")</f>
        <v>0</v>
      </c>
      <c r="E9">
        <f t="shared" si="0"/>
        <v>3</v>
      </c>
      <c r="F9" s="31">
        <f t="shared" si="3"/>
        <v>1</v>
      </c>
      <c r="G9" s="31">
        <f t="shared" si="1"/>
        <v>0</v>
      </c>
      <c r="H9" s="31">
        <f t="shared" si="2"/>
        <v>0</v>
      </c>
    </row>
    <row r="10" spans="1:8" x14ac:dyDescent="0.35">
      <c r="A10" s="15" t="s">
        <v>8411</v>
      </c>
      <c r="B10">
        <f>COUNTIFS(Kickstarter!$F:$F,"successful",Kickstarter!$R:$R,"plays",Kickstarter!$E:$E,"&gt;34999", Kickstarter!$E:$E,"&lt;40000")</f>
        <v>2</v>
      </c>
      <c r="C10">
        <f>COUNTIFS(Kickstarter!$F:$F,"failed",Kickstarter!$R:$R,"plays",Kickstarter!$E:$E,"&gt;34999", Kickstarter!$E:$E,"&lt;40000")</f>
        <v>0</v>
      </c>
      <c r="D10">
        <f>COUNTIFS(Kickstarter!$F:$F,"canceled",Kickstarter!$R:$R,"plays",Kickstarter!$E:$E,"&gt;34999", Kickstarter!$E:$E,"&lt;40000")</f>
        <v>0</v>
      </c>
      <c r="E10">
        <f t="shared" si="0"/>
        <v>2</v>
      </c>
      <c r="F10" s="31">
        <f t="shared" si="3"/>
        <v>1</v>
      </c>
      <c r="G10" s="31">
        <f t="shared" si="1"/>
        <v>0</v>
      </c>
      <c r="H10" s="31">
        <f t="shared" si="2"/>
        <v>0</v>
      </c>
    </row>
    <row r="11" spans="1:8" x14ac:dyDescent="0.35">
      <c r="A11" s="15" t="s">
        <v>8412</v>
      </c>
      <c r="B11">
        <f>COUNTIFS(Kickstarter!$F:$F,"successful",Kickstarter!$R:$R,"plays",Kickstarter!$E:$E,"&gt;39999", Kickstarter!$E:$E,"&lt;45000")</f>
        <v>2</v>
      </c>
      <c r="C11">
        <f>COUNTIFS(Kickstarter!$F:$F,"failed",Kickstarter!$R:$R,"plays",Kickstarter!$E:$E,"&gt;39999", Kickstarter!$E:$E,"&lt;45000")</f>
        <v>0</v>
      </c>
      <c r="D11">
        <f>COUNTIFS(Kickstarter!$F:$F,"canceled",Kickstarter!$R:$R,"plays",Kickstarter!$E:$E,"&gt;39999", Kickstarter!$E:$E,"&lt;45000")</f>
        <v>0</v>
      </c>
      <c r="E11">
        <f t="shared" si="0"/>
        <v>2</v>
      </c>
      <c r="F11" s="31">
        <f t="shared" si="3"/>
        <v>1</v>
      </c>
      <c r="G11" s="31">
        <f t="shared" si="1"/>
        <v>0</v>
      </c>
      <c r="H11" s="31">
        <f t="shared" si="2"/>
        <v>0</v>
      </c>
    </row>
    <row r="12" spans="1:8" x14ac:dyDescent="0.35">
      <c r="A12" s="15" t="s">
        <v>8413</v>
      </c>
      <c r="B12">
        <f>COUNTIFS(Kickstarter!$F:$F,"successful",Kickstarter!$R:$R,"plays",Kickstarter!$E:$E,"&gt;44999", Kickstarter!$E:$E,"&lt;50000")</f>
        <v>0</v>
      </c>
      <c r="C12">
        <f>COUNTIFS(Kickstarter!$F:$F,"failed",Kickstarter!$R:$R,"plays",Kickstarter!$E:$E,"&gt;44999", Kickstarter!$E:$E,"&lt;50000")</f>
        <v>0</v>
      </c>
      <c r="D12">
        <f>COUNTIFS(Kickstarter!$F:$F,"canceled",Kickstarter!$R:$R,"plays",Kickstarter!$E:$E,"&gt;44999", Kickstarter!$E:$E,"&lt;50000")</f>
        <v>0</v>
      </c>
      <c r="E12">
        <f t="shared" si="0"/>
        <v>0</v>
      </c>
      <c r="F12" s="31">
        <f t="shared" si="3"/>
        <v>0</v>
      </c>
      <c r="G12" s="31">
        <f t="shared" si="1"/>
        <v>0</v>
      </c>
      <c r="H12" s="31">
        <f t="shared" si="2"/>
        <v>0</v>
      </c>
    </row>
    <row r="13" spans="1:8" x14ac:dyDescent="0.35">
      <c r="A13" s="15" t="s">
        <v>8414</v>
      </c>
      <c r="B13">
        <f>COUNTIFS(Kickstarter!$F:$F,"successful",Kickstarter!$R:$R,"plays",Kickstarter!$E:$E,"&gt;49999")</f>
        <v>4</v>
      </c>
      <c r="C13">
        <f>COUNTIFS(Kickstarter!$F:$F,"failed",Kickstarter!$R:$R,"plays",Kickstarter!$E:$E,"&gt;49999")</f>
        <v>0</v>
      </c>
      <c r="D13">
        <f>COUNTIFS(Kickstarter!$F:$F,"canceled",Kickstarter!$R:$R,"plays",Kickstarter!$E:$E,"&gt;49999")</f>
        <v>0</v>
      </c>
      <c r="E13">
        <f t="shared" si="0"/>
        <v>4</v>
      </c>
      <c r="F13" s="31">
        <f t="shared" si="3"/>
        <v>1</v>
      </c>
      <c r="G13" s="31">
        <f t="shared" si="1"/>
        <v>0</v>
      </c>
      <c r="H13" s="31">
        <f t="shared" si="2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B9061-99A8-41ED-BBC6-79666559126B}">
  <dimension ref="A1:F17"/>
  <sheetViews>
    <sheetView tabSelected="1" topLeftCell="B1" workbookViewId="0">
      <selection activeCell="E9" sqref="E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8358</v>
      </c>
      <c r="B1" t="s">
        <v>8323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35">
      <c r="A6" s="16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35">
      <c r="A7" s="16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35">
      <c r="A8" s="16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35">
      <c r="A9" s="16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35">
      <c r="A10" s="16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35">
      <c r="A11" s="16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35">
      <c r="A12" s="16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35">
      <c r="A13" s="16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35">
      <c r="A14" s="16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35">
      <c r="A15" s="16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35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35">
      <c r="A17" s="16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10D0-AF59-4D3D-B9AA-3CCB6709CFE3}">
  <dimension ref="A1:D14"/>
  <sheetViews>
    <sheetView zoomScale="75" zoomScaleNormal="75" workbookViewId="0">
      <selection activeCell="C5" sqref="C5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4.7265625" bestFit="1" customWidth="1"/>
    <col min="5" max="10" width="13.6328125" bestFit="1" customWidth="1"/>
    <col min="11" max="11" width="11.81640625" bestFit="1" customWidth="1"/>
    <col min="12" max="12" width="17.26953125" bestFit="1" customWidth="1"/>
    <col min="13" max="13" width="13.453125" bestFit="1" customWidth="1"/>
    <col min="14" max="14" width="11.81640625" bestFit="1" customWidth="1"/>
  </cols>
  <sheetData>
    <row r="1" spans="1:4" x14ac:dyDescent="0.35">
      <c r="A1" s="10" t="s">
        <v>8360</v>
      </c>
      <c r="B1" s="31" t="s">
        <v>8417</v>
      </c>
      <c r="C1" s="31" t="s">
        <v>8416</v>
      </c>
      <c r="D1" s="31" t="s">
        <v>8415</v>
      </c>
    </row>
    <row r="2" spans="1:4" x14ac:dyDescent="0.35">
      <c r="A2" s="11" t="s">
        <v>8404</v>
      </c>
      <c r="B2" s="31">
        <v>0.90337078651685399</v>
      </c>
      <c r="C2" s="31">
        <v>9.662921348314607E-2</v>
      </c>
      <c r="D2" s="31">
        <v>0</v>
      </c>
    </row>
    <row r="3" spans="1:4" x14ac:dyDescent="0.35">
      <c r="A3" s="11" t="s">
        <v>8406</v>
      </c>
      <c r="B3" s="31">
        <v>0.95348837209302328</v>
      </c>
      <c r="C3" s="31">
        <v>4.6511627906976744E-2</v>
      </c>
      <c r="D3" s="31">
        <v>0</v>
      </c>
    </row>
    <row r="4" spans="1:4" x14ac:dyDescent="0.35">
      <c r="A4" s="11" t="s">
        <v>8407</v>
      </c>
      <c r="B4" s="31">
        <v>1</v>
      </c>
      <c r="C4" s="31">
        <v>0</v>
      </c>
      <c r="D4" s="31">
        <v>0</v>
      </c>
    </row>
    <row r="5" spans="1:4" x14ac:dyDescent="0.35">
      <c r="A5" s="11" t="s">
        <v>8408</v>
      </c>
      <c r="B5" s="31">
        <v>1</v>
      </c>
      <c r="C5" s="31">
        <v>0</v>
      </c>
      <c r="D5" s="31">
        <v>0</v>
      </c>
    </row>
    <row r="6" spans="1:4" x14ac:dyDescent="0.35">
      <c r="A6" s="11" t="s">
        <v>8409</v>
      </c>
      <c r="B6" s="31">
        <v>1</v>
      </c>
      <c r="C6" s="31">
        <v>0</v>
      </c>
      <c r="D6" s="31">
        <v>0</v>
      </c>
    </row>
    <row r="7" spans="1:4" x14ac:dyDescent="0.35">
      <c r="A7" s="11" t="s">
        <v>8410</v>
      </c>
      <c r="B7" s="31">
        <v>1</v>
      </c>
      <c r="C7" s="31">
        <v>0</v>
      </c>
      <c r="D7" s="31">
        <v>0</v>
      </c>
    </row>
    <row r="8" spans="1:4" x14ac:dyDescent="0.35">
      <c r="A8" s="11" t="s">
        <v>8411</v>
      </c>
      <c r="B8" s="31">
        <v>1</v>
      </c>
      <c r="C8" s="31">
        <v>0</v>
      </c>
      <c r="D8" s="31">
        <v>0</v>
      </c>
    </row>
    <row r="9" spans="1:4" x14ac:dyDescent="0.35">
      <c r="A9" s="11" t="s">
        <v>8412</v>
      </c>
      <c r="B9" s="31">
        <v>1</v>
      </c>
      <c r="C9" s="31">
        <v>0</v>
      </c>
      <c r="D9" s="31">
        <v>0</v>
      </c>
    </row>
    <row r="10" spans="1:4" x14ac:dyDescent="0.35">
      <c r="A10" s="11" t="s">
        <v>8413</v>
      </c>
      <c r="B10" s="31">
        <v>0</v>
      </c>
      <c r="C10" s="31">
        <v>0</v>
      </c>
      <c r="D10" s="31">
        <v>0</v>
      </c>
    </row>
    <row r="11" spans="1:4" x14ac:dyDescent="0.35">
      <c r="A11" s="11" t="s">
        <v>8405</v>
      </c>
      <c r="B11" s="31">
        <v>0.970873786407767</v>
      </c>
      <c r="C11" s="31">
        <v>2.9126213592233011E-2</v>
      </c>
      <c r="D11" s="31">
        <v>0</v>
      </c>
    </row>
    <row r="12" spans="1:4" x14ac:dyDescent="0.35">
      <c r="A12" s="11" t="s">
        <v>8414</v>
      </c>
      <c r="B12" s="31">
        <v>1</v>
      </c>
      <c r="C12" s="31">
        <v>0</v>
      </c>
      <c r="D12" s="31">
        <v>0</v>
      </c>
    </row>
    <row r="13" spans="1:4" x14ac:dyDescent="0.35">
      <c r="A13" s="11" t="s">
        <v>8403</v>
      </c>
      <c r="B13" s="31">
        <v>0.27553444180522563</v>
      </c>
      <c r="C13" s="31">
        <v>0.72446555819477432</v>
      </c>
      <c r="D13" s="31">
        <v>0</v>
      </c>
    </row>
    <row r="14" spans="1:4" x14ac:dyDescent="0.35">
      <c r="A14" s="11" t="s">
        <v>8361</v>
      </c>
      <c r="B14" s="31">
        <v>10.10326738682287</v>
      </c>
      <c r="C14" s="31">
        <v>0.89673261317713016</v>
      </c>
      <c r="D14" s="3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28D1-1CC2-4805-8C51-879729051FCB}">
  <dimension ref="A1:T413"/>
  <sheetViews>
    <sheetView workbookViewId="0">
      <selection activeCell="E2" sqref="E1:E1048576"/>
    </sheetView>
  </sheetViews>
  <sheetFormatPr defaultRowHeight="14.5" x14ac:dyDescent="0.35"/>
  <cols>
    <col min="1" max="1" width="4.81640625" bestFit="1" customWidth="1"/>
    <col min="2" max="2" width="55" bestFit="1" customWidth="1"/>
    <col min="3" max="3" width="79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29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3">
        <v>41730.276747685188</v>
      </c>
      <c r="T2" s="13">
        <v>41764.276747685188</v>
      </c>
    </row>
    <row r="3" spans="1:20" ht="29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3">
        <v>41940.69158564815</v>
      </c>
      <c r="T3" s="13">
        <v>41969.332638888889</v>
      </c>
    </row>
    <row r="4" spans="1:20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3">
        <v>42020.700567129628</v>
      </c>
      <c r="T4" s="13">
        <v>42065.207638888889</v>
      </c>
    </row>
    <row r="5" spans="1:20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3">
        <v>41887.292187500003</v>
      </c>
      <c r="T5" s="13">
        <v>41917.292187500003</v>
      </c>
    </row>
    <row r="6" spans="1:20" ht="29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3">
        <v>42480.078715277778</v>
      </c>
      <c r="T6" s="13">
        <v>42504.165972222225</v>
      </c>
    </row>
    <row r="7" spans="1:20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3">
        <v>42252.474351851852</v>
      </c>
      <c r="T7" s="13">
        <v>42276.165972222225</v>
      </c>
    </row>
    <row r="8" spans="1:20" ht="58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3">
        <v>42219.665173611109</v>
      </c>
      <c r="T8" s="13">
        <v>42257.165972222225</v>
      </c>
    </row>
    <row r="9" spans="1:20" ht="29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3">
        <v>42445.19430555556</v>
      </c>
      <c r="T9" s="13">
        <v>42489.19430555556</v>
      </c>
    </row>
    <row r="10" spans="1:20" ht="29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3">
        <v>41884.617314814815</v>
      </c>
      <c r="T10" s="13">
        <v>41916.617314814815</v>
      </c>
    </row>
    <row r="11" spans="1:20" ht="29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3">
        <v>42697.850844907407</v>
      </c>
      <c r="T11" s="13">
        <v>42745.208333333328</v>
      </c>
    </row>
    <row r="12" spans="1:20" ht="29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3">
        <v>41834.586574074077</v>
      </c>
      <c r="T12" s="13">
        <v>41866.083333333336</v>
      </c>
    </row>
    <row r="13" spans="1:20" ht="29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3">
        <v>41918.742175925923</v>
      </c>
      <c r="T13" s="13">
        <v>41948.783842592595</v>
      </c>
    </row>
    <row r="14" spans="1:20" ht="29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3">
        <v>42614.760937500003</v>
      </c>
      <c r="T14" s="13">
        <v>42644.165972222225</v>
      </c>
    </row>
    <row r="15" spans="1:20" ht="29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3">
        <v>41909.969386574077</v>
      </c>
      <c r="T15" s="13">
        <v>41950.011053240742</v>
      </c>
    </row>
    <row r="16" spans="1:20" ht="29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3">
        <v>42461.747199074074</v>
      </c>
      <c r="T16" s="13">
        <v>42491.747199074074</v>
      </c>
    </row>
    <row r="17" spans="1:20" ht="29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3">
        <v>42135.60020833333</v>
      </c>
      <c r="T17" s="13">
        <v>42167.083333333328</v>
      </c>
    </row>
    <row r="18" spans="1:20" ht="29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29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3">
        <v>42602.576712962968</v>
      </c>
      <c r="T19" s="13">
        <v>42621.15625</v>
      </c>
    </row>
    <row r="20" spans="1:20" ht="29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3">
        <v>42702.917048611111</v>
      </c>
      <c r="T20" s="13">
        <v>42732.917048611111</v>
      </c>
    </row>
    <row r="21" spans="1:20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3">
        <v>42050.983182870375</v>
      </c>
      <c r="T21" s="13">
        <v>42085.941516203704</v>
      </c>
    </row>
    <row r="22" spans="1:20" ht="29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3">
        <v>41835.666354166664</v>
      </c>
      <c r="T22" s="13">
        <v>41855.666354166664</v>
      </c>
    </row>
    <row r="23" spans="1:20" ht="29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3">
        <v>42290.61855324074</v>
      </c>
      <c r="T23" s="13">
        <v>42320.104861111111</v>
      </c>
    </row>
    <row r="24" spans="1:20" ht="29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3">
        <v>42400.704537037032</v>
      </c>
      <c r="T24" s="13">
        <v>42444.875</v>
      </c>
    </row>
    <row r="25" spans="1:20" ht="29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3">
        <v>42696.624444444446</v>
      </c>
      <c r="T25" s="13">
        <v>42726.624444444446</v>
      </c>
    </row>
    <row r="26" spans="1:20" ht="29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3">
        <v>42265.022824074069</v>
      </c>
      <c r="T26" s="13">
        <v>42285.022824074069</v>
      </c>
    </row>
    <row r="27" spans="1:20" ht="29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3">
        <v>42522.347812499997</v>
      </c>
      <c r="T27" s="13">
        <v>42552.347812499997</v>
      </c>
    </row>
    <row r="28" spans="1:20" ht="29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29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3">
        <v>42292.701053240744</v>
      </c>
      <c r="T29" s="13">
        <v>42322.742719907401</v>
      </c>
    </row>
    <row r="30" spans="1:20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3">
        <v>42769.574999999997</v>
      </c>
      <c r="T30" s="13">
        <v>42790.574999999997</v>
      </c>
    </row>
    <row r="31" spans="1:20" ht="29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3">
        <v>42172.757638888885</v>
      </c>
      <c r="T31" s="13">
        <v>42202.757638888885</v>
      </c>
    </row>
    <row r="32" spans="1:20" ht="29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3">
        <v>42567.840069444443</v>
      </c>
      <c r="T32" s="13">
        <v>42597.840069444443</v>
      </c>
    </row>
    <row r="33" spans="1:20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3">
        <v>42772.833379629628</v>
      </c>
      <c r="T33" s="13">
        <v>42806.875</v>
      </c>
    </row>
    <row r="34" spans="1:20" ht="29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3">
        <v>42473.794710648144</v>
      </c>
      <c r="T34" s="13">
        <v>42503.794710648144</v>
      </c>
    </row>
    <row r="35" spans="1:20" ht="29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3">
        <v>41775.753761574073</v>
      </c>
      <c r="T35" s="13">
        <v>41805.753761574073</v>
      </c>
    </row>
    <row r="36" spans="1:20" ht="29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3">
        <v>42144.573807870373</v>
      </c>
      <c r="T36" s="13">
        <v>42166.165972222225</v>
      </c>
    </row>
    <row r="37" spans="1:20" ht="29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3">
        <v>42158.065694444449</v>
      </c>
      <c r="T37" s="13">
        <v>42201</v>
      </c>
    </row>
    <row r="38" spans="1:20" ht="29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3">
        <v>41871.755694444444</v>
      </c>
      <c r="T38" s="13">
        <v>41901.755694444444</v>
      </c>
    </row>
    <row r="39" spans="1:20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29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3">
        <v>41802.574282407404</v>
      </c>
      <c r="T40" s="13">
        <v>41823.165972222225</v>
      </c>
    </row>
    <row r="41" spans="1:20" ht="29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3">
        <v>42473.007037037038</v>
      </c>
      <c r="T41" s="13">
        <v>42503.007037037038</v>
      </c>
    </row>
    <row r="42" spans="1:20" ht="29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3">
        <v>42605.765381944439</v>
      </c>
      <c r="T42" s="13">
        <v>42634.125</v>
      </c>
    </row>
    <row r="43" spans="1:20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3">
        <v>42068.888391203705</v>
      </c>
      <c r="T43" s="13">
        <v>42098.846724537041</v>
      </c>
    </row>
    <row r="44" spans="1:20" ht="29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3">
        <v>41850.400937500002</v>
      </c>
      <c r="T44" s="13">
        <v>41895.400937500002</v>
      </c>
    </row>
    <row r="45" spans="1:20" ht="43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3">
        <v>41826.871238425927</v>
      </c>
      <c r="T45" s="13">
        <v>41859.57916666667</v>
      </c>
    </row>
    <row r="46" spans="1:20" ht="29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3">
        <v>42134.172071759262</v>
      </c>
      <c r="T46" s="13">
        <v>42155.290972222225</v>
      </c>
    </row>
    <row r="47" spans="1:20" ht="29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3">
        <v>42494.563449074078</v>
      </c>
      <c r="T47" s="13">
        <v>42524.563449074078</v>
      </c>
    </row>
    <row r="48" spans="1:20" ht="29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29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29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3">
        <v>42230.472222222219</v>
      </c>
      <c r="T50" s="13">
        <v>42259.165972222225</v>
      </c>
    </row>
    <row r="51" spans="1:20" ht="29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3">
        <v>42037.938206018516</v>
      </c>
      <c r="T51" s="13">
        <v>42068.166666666672</v>
      </c>
    </row>
    <row r="52" spans="1:20" ht="29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3">
        <v>42157.470185185186</v>
      </c>
      <c r="T52" s="13">
        <v>42187.470185185186</v>
      </c>
    </row>
    <row r="53" spans="1:20" ht="29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3">
        <v>42250.598217592589</v>
      </c>
      <c r="T53" s="13">
        <v>42270.598217592589</v>
      </c>
    </row>
    <row r="54" spans="1:20" ht="29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3">
        <v>41800.380428240744</v>
      </c>
      <c r="T54" s="13">
        <v>41830.380428240744</v>
      </c>
    </row>
    <row r="55" spans="1:20" ht="29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3">
        <v>42491.92288194444</v>
      </c>
      <c r="T55" s="13">
        <v>42521.92288194444</v>
      </c>
    </row>
    <row r="56" spans="1:20" ht="29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3">
        <v>41878.878379629627</v>
      </c>
      <c r="T56" s="13">
        <v>41908.878379629627</v>
      </c>
    </row>
    <row r="57" spans="1:20" ht="29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3">
        <v>41932.311099537037</v>
      </c>
      <c r="T57" s="13">
        <v>41962.352766203709</v>
      </c>
    </row>
    <row r="58" spans="1:20" ht="29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29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3">
        <v>42239.957962962959</v>
      </c>
      <c r="T59" s="13">
        <v>42260</v>
      </c>
    </row>
    <row r="60" spans="1:20" ht="29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3">
        <v>41880.76357638889</v>
      </c>
      <c r="T60" s="13">
        <v>41895.166666666664</v>
      </c>
    </row>
    <row r="61" spans="1:20" ht="29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3">
        <v>42561.783877314811</v>
      </c>
      <c r="T61" s="13">
        <v>42593.165972222225</v>
      </c>
    </row>
    <row r="62" spans="1:20" ht="29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3">
        <v>42037.791238425925</v>
      </c>
      <c r="T62" s="13">
        <v>42067.791238425925</v>
      </c>
    </row>
    <row r="63" spans="1:20" ht="29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3">
        <v>42753.205625000002</v>
      </c>
      <c r="T63" s="13">
        <v>42783.670138888891</v>
      </c>
    </row>
    <row r="64" spans="1:20" ht="29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3">
        <v>40633.154363425929</v>
      </c>
      <c r="T64" s="13">
        <v>40664.207638888889</v>
      </c>
    </row>
    <row r="65" spans="1:20" ht="29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3">
        <v>42626.7503125</v>
      </c>
      <c r="T65" s="13">
        <v>42656.7503125</v>
      </c>
    </row>
    <row r="66" spans="1:20" ht="29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3">
        <v>41834.953865740739</v>
      </c>
      <c r="T66" s="13">
        <v>41879.953865740739</v>
      </c>
    </row>
    <row r="67" spans="1:20" ht="29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3">
        <v>41791.492777777778</v>
      </c>
      <c r="T67" s="13">
        <v>41836.492777777778</v>
      </c>
    </row>
    <row r="68" spans="1:20" ht="29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29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3">
        <v>41776.063136574077</v>
      </c>
      <c r="T69" s="13">
        <v>41807.125</v>
      </c>
    </row>
    <row r="70" spans="1:20" ht="29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3">
        <v>42341.818379629629</v>
      </c>
      <c r="T70" s="13">
        <v>42370.166666666672</v>
      </c>
    </row>
    <row r="71" spans="1:20" ht="29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3">
        <v>42549.665717592594</v>
      </c>
      <c r="T71" s="13">
        <v>42579.665717592594</v>
      </c>
    </row>
    <row r="72" spans="1:20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3">
        <v>41591.737974537034</v>
      </c>
      <c r="T72" s="13">
        <v>41621.207638888889</v>
      </c>
    </row>
    <row r="73" spans="1:20" ht="29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3">
        <v>42262.096782407403</v>
      </c>
      <c r="T73" s="13">
        <v>42286</v>
      </c>
    </row>
    <row r="74" spans="1:20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3">
        <v>42576.697569444441</v>
      </c>
      <c r="T74" s="13">
        <v>42636.697569444441</v>
      </c>
    </row>
    <row r="75" spans="1:20" ht="29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3">
        <v>42041.714178240742</v>
      </c>
      <c r="T75" s="13">
        <v>42071.67251157407</v>
      </c>
    </row>
    <row r="76" spans="1:20" ht="29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3">
        <v>41941.683865740742</v>
      </c>
      <c r="T76" s="13">
        <v>41970.125</v>
      </c>
    </row>
    <row r="77" spans="1:20" ht="29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3">
        <v>42059.701319444444</v>
      </c>
      <c r="T77" s="13">
        <v>42119.659652777773</v>
      </c>
    </row>
    <row r="78" spans="1:20" ht="29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29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3">
        <v>42136.536134259266</v>
      </c>
      <c r="T79" s="13">
        <v>42167.875</v>
      </c>
    </row>
    <row r="80" spans="1:20" ht="29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3">
        <v>41851.771354166667</v>
      </c>
      <c r="T80" s="13">
        <v>41870.666666666664</v>
      </c>
    </row>
    <row r="81" spans="1:20" ht="29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3">
        <v>42243.6252662037</v>
      </c>
      <c r="T81" s="13">
        <v>42278.6252662037</v>
      </c>
    </row>
    <row r="82" spans="1:20" ht="29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3">
        <v>41982.887280092589</v>
      </c>
      <c r="T82" s="13">
        <v>42012.887280092589</v>
      </c>
    </row>
    <row r="83" spans="1:20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3">
        <v>42323.70930555556</v>
      </c>
      <c r="T83" s="13">
        <v>42355.207638888889</v>
      </c>
    </row>
    <row r="84" spans="1:20" ht="29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3">
        <v>41920.787534722222</v>
      </c>
      <c r="T84" s="13">
        <v>41941.787534722222</v>
      </c>
    </row>
    <row r="85" spans="1:20" ht="43.5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3">
        <v>40883.949317129627</v>
      </c>
      <c r="T85" s="13">
        <v>40939.708333333336</v>
      </c>
    </row>
    <row r="86" spans="1:20" ht="29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3">
        <v>42167.023206018523</v>
      </c>
      <c r="T86" s="13">
        <v>42196.165972222225</v>
      </c>
    </row>
    <row r="87" spans="1:20" ht="29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3">
        <v>42431.102534722217</v>
      </c>
      <c r="T87" s="13">
        <v>42461.06086805556</v>
      </c>
    </row>
    <row r="88" spans="1:20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29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3">
        <v>41808.669571759259</v>
      </c>
      <c r="T89" s="13">
        <v>41838.669571759259</v>
      </c>
    </row>
    <row r="90" spans="1:20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3">
        <v>42154.873124999998</v>
      </c>
      <c r="T90" s="13">
        <v>42184.873124999998</v>
      </c>
    </row>
    <row r="91" spans="1:20" ht="29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3">
        <v>42018.676898148144</v>
      </c>
      <c r="T91" s="13">
        <v>42040.290972222225</v>
      </c>
    </row>
    <row r="92" spans="1:20" ht="29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3">
        <v>41926.942685185182</v>
      </c>
      <c r="T92" s="13">
        <v>41956.984351851846</v>
      </c>
    </row>
    <row r="93" spans="1:20" ht="29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3">
        <v>42062.296412037031</v>
      </c>
      <c r="T93" s="13">
        <v>42095.207638888889</v>
      </c>
    </row>
    <row r="94" spans="1:20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3">
        <v>42219.019733796296</v>
      </c>
      <c r="T94" s="13">
        <v>42249.019733796296</v>
      </c>
    </row>
    <row r="95" spans="1:20" ht="29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3">
        <v>42238.13282407407</v>
      </c>
      <c r="T95" s="13">
        <v>42268.13282407407</v>
      </c>
    </row>
    <row r="96" spans="1:20" ht="29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3">
        <v>42292.087592592594</v>
      </c>
      <c r="T96" s="13">
        <v>42329.125</v>
      </c>
    </row>
    <row r="97" spans="1:20" ht="29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3">
        <v>42060.683935185181</v>
      </c>
      <c r="T97" s="13">
        <v>42090.642268518524</v>
      </c>
    </row>
    <row r="98" spans="1:20" ht="29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29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29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3">
        <v>42196.028703703705</v>
      </c>
      <c r="T100" s="13">
        <v>42228</v>
      </c>
    </row>
    <row r="101" spans="1:20" ht="29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29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29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3">
        <v>41821.205636574072</v>
      </c>
      <c r="T103" s="13">
        <v>41852.290972222225</v>
      </c>
    </row>
    <row r="104" spans="1:20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29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29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29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29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29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29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29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29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29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29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3">
        <v>42303.672662037032</v>
      </c>
      <c r="T115" s="13">
        <v>42338.714328703703</v>
      </c>
    </row>
    <row r="116" spans="1:20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29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29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29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3">
        <v>41753.593275462961</v>
      </c>
      <c r="T119" s="13">
        <v>41778.875</v>
      </c>
    </row>
    <row r="120" spans="1:20" ht="29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29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29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3">
        <v>42558.189432870371</v>
      </c>
      <c r="T122" s="13">
        <v>42587.875</v>
      </c>
    </row>
    <row r="123" spans="1:20" ht="29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29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3">
        <v>42248.697754629626</v>
      </c>
      <c r="T124" s="13">
        <v>42283.697754629626</v>
      </c>
    </row>
    <row r="125" spans="1:20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29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29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29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29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29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29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3">
        <v>41993.824340277773</v>
      </c>
      <c r="T131" s="13">
        <v>42010.25</v>
      </c>
    </row>
    <row r="132" spans="1:20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29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29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29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29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29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29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29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29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29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29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29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29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29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29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29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29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29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29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29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29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29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29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29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29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29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29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29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3">
        <v>41964.716319444444</v>
      </c>
      <c r="T160" s="13">
        <v>41994.716319444444</v>
      </c>
    </row>
    <row r="161" spans="1:20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29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29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29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29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29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29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29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29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29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3">
        <v>42633.116851851853</v>
      </c>
      <c r="T170" s="13">
        <v>42663.116851851853</v>
      </c>
    </row>
    <row r="171" spans="1:20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29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29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29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3">
        <v>42584.846828703703</v>
      </c>
      <c r="T174" s="13">
        <v>42624.846828703703</v>
      </c>
    </row>
    <row r="175" spans="1:20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29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29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29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29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29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29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29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29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29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29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29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3">
        <v>42261.917395833334</v>
      </c>
      <c r="T186" s="13">
        <v>42291.917395833334</v>
      </c>
    </row>
    <row r="187" spans="1:20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3">
        <v>41839.175706018519</v>
      </c>
      <c r="T187" s="13">
        <v>41853.175706018519</v>
      </c>
    </row>
    <row r="188" spans="1:20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29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29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3">
        <v>42026.88118055556</v>
      </c>
      <c r="T190" s="13">
        <v>42086.093055555553</v>
      </c>
    </row>
    <row r="191" spans="1:20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29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29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29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29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29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29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29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29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29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29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3">
        <v>42619.935694444444</v>
      </c>
      <c r="T201" s="13">
        <v>42643.875</v>
      </c>
    </row>
    <row r="202" spans="1:20" ht="29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29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29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29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29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29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29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58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29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29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29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29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3">
        <v>42675.832465277781</v>
      </c>
      <c r="T213" s="13">
        <v>42705.332638888889</v>
      </c>
    </row>
    <row r="214" spans="1:20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29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29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29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29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29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29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29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3">
        <v>42205.710879629631</v>
      </c>
      <c r="T222" s="13">
        <v>42235.710879629631</v>
      </c>
    </row>
    <row r="223" spans="1:20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3">
        <v>42053.671666666662</v>
      </c>
      <c r="T223" s="13">
        <v>42083.630000000005</v>
      </c>
    </row>
    <row r="224" spans="1:20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3">
        <v>41758.839675925927</v>
      </c>
      <c r="T224" s="13">
        <v>41771.165972222225</v>
      </c>
    </row>
    <row r="225" spans="1:20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29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29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3">
        <v>41792.542986111112</v>
      </c>
      <c r="T227" s="13">
        <v>41813.75</v>
      </c>
    </row>
    <row r="228" spans="1:20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29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3">
        <v>42462.140868055561</v>
      </c>
      <c r="T229" s="13">
        <v>42489.875</v>
      </c>
    </row>
    <row r="230" spans="1:20" ht="29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29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29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3">
        <v>42506.760405092587</v>
      </c>
      <c r="T232" s="13">
        <v>42536.760405092587</v>
      </c>
    </row>
    <row r="233" spans="1:20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3">
        <v>42284.516064814816</v>
      </c>
      <c r="T233" s="13">
        <v>42307.875</v>
      </c>
    </row>
    <row r="234" spans="1:20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29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29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29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29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29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29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29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3">
        <v>42493.219236111108</v>
      </c>
      <c r="T241" s="13">
        <v>42531.125</v>
      </c>
    </row>
    <row r="242" spans="1:20" ht="29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72.5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3">
        <v>41760.935706018521</v>
      </c>
      <c r="T243" s="13">
        <v>41772.166666666664</v>
      </c>
    </row>
    <row r="244" spans="1:20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29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3">
        <v>42294.429641203707</v>
      </c>
      <c r="T245" s="13">
        <v>42321.845138888893</v>
      </c>
    </row>
    <row r="246" spans="1:20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29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29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101.5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29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29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29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29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29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29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29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29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3">
        <v>41856.010069444441</v>
      </c>
      <c r="T257" s="13">
        <v>41890.125</v>
      </c>
    </row>
    <row r="258" spans="1:20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29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29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3">
        <v>42494.683634259258</v>
      </c>
      <c r="T260" s="13">
        <v>42524.6875</v>
      </c>
    </row>
    <row r="261" spans="1:20" ht="29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3">
        <v>41842.607592592591</v>
      </c>
      <c r="T261" s="13">
        <v>41864.916666666664</v>
      </c>
    </row>
    <row r="262" spans="1:20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29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29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29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29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29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3">
        <v>42053.916921296302</v>
      </c>
      <c r="T267" s="13">
        <v>42079.875</v>
      </c>
    </row>
    <row r="268" spans="1:20" ht="29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29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29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29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3">
        <v>41477.930914351848</v>
      </c>
      <c r="T271" s="13">
        <v>41504.625</v>
      </c>
    </row>
    <row r="272" spans="1:20" ht="29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29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29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29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3">
        <v>42171.317442129628</v>
      </c>
      <c r="T275" s="13">
        <v>42195.875</v>
      </c>
    </row>
    <row r="276" spans="1:20" ht="29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29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29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29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29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29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29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29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3">
        <v>42128.736608796295</v>
      </c>
      <c r="T284" s="13">
        <v>42141.125</v>
      </c>
    </row>
    <row r="285" spans="1:20" ht="29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29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3">
        <v>42195.749745370369</v>
      </c>
      <c r="T286" s="13">
        <v>42206.125</v>
      </c>
    </row>
    <row r="287" spans="1:20" ht="29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29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29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3">
        <v>42503.559467592597</v>
      </c>
      <c r="T289" s="13">
        <v>42524.875</v>
      </c>
    </row>
    <row r="290" spans="1:20" ht="29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29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29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29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29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29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29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29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3">
        <v>41953.8675</v>
      </c>
      <c r="T297" s="13">
        <v>41983.8675</v>
      </c>
    </row>
    <row r="298" spans="1:20" ht="29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29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29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29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29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29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3">
        <v>41861.524837962963</v>
      </c>
      <c r="T303" s="13">
        <v>41891.524837962963</v>
      </c>
    </row>
    <row r="304" spans="1:20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29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29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29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3">
        <v>42017.88045138889</v>
      </c>
      <c r="T307" s="13">
        <v>42044.1875</v>
      </c>
    </row>
    <row r="308" spans="1:20" ht="29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43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29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3">
        <v>41894.91375</v>
      </c>
      <c r="T311" s="13">
        <v>41938.029861111114</v>
      </c>
    </row>
    <row r="312" spans="1:20" ht="29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29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29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29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29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29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3">
        <v>42162.729548611111</v>
      </c>
      <c r="T317" s="13">
        <v>42192.729548611111</v>
      </c>
    </row>
    <row r="318" spans="1:20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29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29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29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29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29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29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29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3">
        <v>41753.515856481477</v>
      </c>
      <c r="T325" s="13">
        <v>41781.921527777777</v>
      </c>
    </row>
    <row r="326" spans="1:20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29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29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29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29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29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29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3">
        <v>42556.504490740743</v>
      </c>
      <c r="T333" s="13">
        <v>42595.290972222225</v>
      </c>
    </row>
    <row r="334" spans="1:20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29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3">
        <v>42443.802361111113</v>
      </c>
      <c r="T335" s="13">
        <v>42473.802361111113</v>
      </c>
    </row>
    <row r="336" spans="1:20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3">
        <v>41891.96503472222</v>
      </c>
      <c r="T336" s="13">
        <v>41901</v>
      </c>
    </row>
    <row r="337" spans="1:20" ht="29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29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29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29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29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29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29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3">
        <v>42011.202581018515</v>
      </c>
      <c r="T343" s="13">
        <v>42038.185416666667</v>
      </c>
    </row>
    <row r="344" spans="1:20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3">
        <v>42026.924976851849</v>
      </c>
      <c r="T344" s="13">
        <v>42052.207638888889</v>
      </c>
    </row>
    <row r="345" spans="1:20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29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29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29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29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29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29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3">
        <v>42572.61681712963</v>
      </c>
      <c r="T351" s="13">
        <v>42589.125</v>
      </c>
    </row>
    <row r="352" spans="1:20" ht="29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29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29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29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29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29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29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29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29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29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29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29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29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29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29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29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29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29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3">
        <v>42220.79487268519</v>
      </c>
      <c r="T370" s="13">
        <v>42246</v>
      </c>
    </row>
    <row r="371" spans="1:20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29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29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29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29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29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29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29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29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29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29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29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3">
        <v>42643.632858796293</v>
      </c>
      <c r="T382" s="13">
        <v>42672.125</v>
      </c>
    </row>
    <row r="383" spans="1:20" ht="29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29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29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29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29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29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29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29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3">
        <v>42232.702546296292</v>
      </c>
      <c r="T391" s="13">
        <v>42264.165972222225</v>
      </c>
    </row>
    <row r="392" spans="1:20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29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29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29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29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29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29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29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3">
        <v>42179.898472222223</v>
      </c>
      <c r="T399" s="13">
        <v>42195.75</v>
      </c>
    </row>
    <row r="400" spans="1:20" ht="29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29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29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3">
        <v>42689.214988425927</v>
      </c>
      <c r="T402" s="13">
        <v>42700.25</v>
      </c>
    </row>
    <row r="403" spans="1:20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29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29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29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3">
        <v>41921.279976851853</v>
      </c>
      <c r="T406" s="13">
        <v>41939.125</v>
      </c>
    </row>
    <row r="407" spans="1:20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29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29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29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29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29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3">
        <v>42649.54923611111</v>
      </c>
      <c r="T412" s="13">
        <v>42709.590902777782</v>
      </c>
    </row>
    <row r="413" spans="1:20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1:P1 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8511-A39C-4DA8-9816-F61834012AAB}">
  <dimension ref="A1:U251"/>
  <sheetViews>
    <sheetView topLeftCell="M1" workbookViewId="0">
      <selection activeCell="U3" sqref="U3"/>
    </sheetView>
  </sheetViews>
  <sheetFormatPr defaultRowHeight="14.5" x14ac:dyDescent="0.35"/>
  <cols>
    <col min="1" max="1" width="4.81640625" bestFit="1" customWidth="1"/>
    <col min="2" max="2" width="53.453125" bestFit="1" customWidth="1"/>
    <col min="3" max="3" width="79.179687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  <col min="21" max="21" width="8.7265625" style="30"/>
  </cols>
  <sheetData>
    <row r="1" spans="1:21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  <c r="U1" s="29" t="s">
        <v>8395</v>
      </c>
    </row>
    <row r="2" spans="1:21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3">
        <v>41990.584108796291</v>
      </c>
      <c r="T2" s="13">
        <v>42036.120833333334</v>
      </c>
      <c r="U2" s="30">
        <f>T2-S2</f>
        <v>45.536724537043483</v>
      </c>
    </row>
    <row r="3" spans="1:21" ht="29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3">
        <v>41779.657870370371</v>
      </c>
      <c r="T3" s="13">
        <v>41821.25</v>
      </c>
      <c r="U3" s="30">
        <f t="shared" ref="U3:U66" si="0">T3-S3</f>
        <v>41.592129629629198</v>
      </c>
    </row>
    <row r="4" spans="1:21" ht="29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3">
        <v>42618.827013888891</v>
      </c>
      <c r="T4" s="13">
        <v>42648.827013888891</v>
      </c>
      <c r="U4" s="30">
        <f t="shared" si="0"/>
        <v>30</v>
      </c>
    </row>
    <row r="5" spans="1:21" ht="29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3">
        <v>41766.617291666669</v>
      </c>
      <c r="T5" s="13">
        <v>41793.290972222225</v>
      </c>
      <c r="U5" s="30">
        <f t="shared" si="0"/>
        <v>26.67368055555562</v>
      </c>
    </row>
    <row r="6" spans="1:21" ht="29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3">
        <v>42469.68414351852</v>
      </c>
      <c r="T6" s="13">
        <v>42499.166666666672</v>
      </c>
      <c r="U6" s="30">
        <f t="shared" si="0"/>
        <v>29.482523148151813</v>
      </c>
    </row>
    <row r="7" spans="1:21" ht="29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3">
        <v>41747.86986111111</v>
      </c>
      <c r="T7" s="13">
        <v>41779.290972222225</v>
      </c>
      <c r="U7" s="30">
        <f t="shared" si="0"/>
        <v>31.421111111114442</v>
      </c>
    </row>
    <row r="8" spans="1:21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3">
        <v>41903.882951388885</v>
      </c>
      <c r="T8" s="13">
        <v>41933.882951388885</v>
      </c>
      <c r="U8" s="30">
        <f t="shared" si="0"/>
        <v>30</v>
      </c>
    </row>
    <row r="9" spans="1:21" ht="29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3">
        <v>42053.049375000002</v>
      </c>
      <c r="T9" s="13">
        <v>42096.041666666672</v>
      </c>
      <c r="U9" s="30">
        <f t="shared" si="0"/>
        <v>42.992291666669189</v>
      </c>
    </row>
    <row r="10" spans="1:21" ht="29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3">
        <v>41830.234166666669</v>
      </c>
      <c r="T10" s="13">
        <v>41860.234166666669</v>
      </c>
      <c r="U10" s="30">
        <f t="shared" si="0"/>
        <v>30</v>
      </c>
    </row>
    <row r="11" spans="1:21" ht="29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3">
        <v>42235.117476851854</v>
      </c>
      <c r="T11" s="13">
        <v>42275.117476851854</v>
      </c>
      <c r="U11" s="30">
        <f t="shared" si="0"/>
        <v>40</v>
      </c>
    </row>
    <row r="12" spans="1:21" ht="29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3">
        <v>41939.8122337963</v>
      </c>
      <c r="T12" s="13">
        <v>41969.853900462964</v>
      </c>
      <c r="U12" s="30">
        <f t="shared" si="0"/>
        <v>30.041666666664241</v>
      </c>
    </row>
    <row r="13" spans="1:21" ht="29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3">
        <v>41804.937083333331</v>
      </c>
      <c r="T13" s="13">
        <v>41821.9375</v>
      </c>
      <c r="U13" s="30">
        <f t="shared" si="0"/>
        <v>17.00041666666948</v>
      </c>
    </row>
    <row r="14" spans="1:21" ht="29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3">
        <v>42192.905694444446</v>
      </c>
      <c r="T14" s="13">
        <v>42236.711805555555</v>
      </c>
      <c r="U14" s="30">
        <f t="shared" si="0"/>
        <v>43.806111111109203</v>
      </c>
    </row>
    <row r="15" spans="1:21" ht="29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3">
        <v>42171.758611111116</v>
      </c>
      <c r="T15" s="13">
        <v>42231.758611111116</v>
      </c>
      <c r="U15" s="30">
        <f t="shared" si="0"/>
        <v>60</v>
      </c>
    </row>
    <row r="16" spans="1:21" ht="29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3">
        <v>42144.231527777782</v>
      </c>
      <c r="T16" s="13">
        <v>42203.125</v>
      </c>
      <c r="U16" s="30">
        <f t="shared" si="0"/>
        <v>58.893472222218406</v>
      </c>
    </row>
    <row r="17" spans="1:21" ht="29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3">
        <v>42534.631481481483</v>
      </c>
      <c r="T17" s="13">
        <v>42562.631481481483</v>
      </c>
      <c r="U17" s="30">
        <f t="shared" si="0"/>
        <v>28</v>
      </c>
    </row>
    <row r="18" spans="1:21" ht="29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3">
        <v>42103.016585648147</v>
      </c>
      <c r="T18" s="13">
        <v>42163.016585648147</v>
      </c>
      <c r="U18" s="30">
        <f t="shared" si="0"/>
        <v>60</v>
      </c>
    </row>
    <row r="19" spans="1:21" ht="29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3">
        <v>41786.959745370368</v>
      </c>
      <c r="T19" s="13">
        <v>41816.959745370368</v>
      </c>
      <c r="U19" s="30">
        <f t="shared" si="0"/>
        <v>30</v>
      </c>
    </row>
    <row r="20" spans="1:21" ht="29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3">
        <v>42265.817002314812</v>
      </c>
      <c r="T20" s="13">
        <v>42295.817002314812</v>
      </c>
      <c r="U20" s="30">
        <f t="shared" si="0"/>
        <v>30</v>
      </c>
    </row>
    <row r="21" spans="1:21" ht="29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3">
        <v>42354.131643518514</v>
      </c>
      <c r="T21" s="13">
        <v>42384.131643518514</v>
      </c>
      <c r="U21" s="30">
        <f t="shared" si="0"/>
        <v>30</v>
      </c>
    </row>
    <row r="22" spans="1:21" ht="29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3">
        <v>42370.90320601852</v>
      </c>
      <c r="T22" s="13">
        <v>42406.207638888889</v>
      </c>
      <c r="U22" s="30">
        <f t="shared" si="0"/>
        <v>35.304432870369055</v>
      </c>
    </row>
    <row r="23" spans="1:21" ht="29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3">
        <v>42205.171018518522</v>
      </c>
      <c r="T23" s="13">
        <v>42235.171018518522</v>
      </c>
      <c r="U23" s="30">
        <f t="shared" si="0"/>
        <v>30</v>
      </c>
    </row>
    <row r="24" spans="1:21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3">
        <v>42103.884930555556</v>
      </c>
      <c r="T24" s="13">
        <v>42133.884930555556</v>
      </c>
      <c r="U24" s="30">
        <f t="shared" si="0"/>
        <v>30</v>
      </c>
    </row>
    <row r="25" spans="1:21" ht="29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3">
        <v>42279.778564814813</v>
      </c>
      <c r="T25" s="13">
        <v>42310.701388888891</v>
      </c>
      <c r="U25" s="30">
        <f t="shared" si="0"/>
        <v>30.922824074077653</v>
      </c>
    </row>
    <row r="26" spans="1:21" ht="29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3">
        <v>41921.770439814813</v>
      </c>
      <c r="T26" s="13">
        <v>41938.770439814813</v>
      </c>
      <c r="U26" s="30">
        <f t="shared" si="0"/>
        <v>17</v>
      </c>
    </row>
    <row r="27" spans="1:21" ht="29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3">
        <v>42159.224432870367</v>
      </c>
      <c r="T27" s="13">
        <v>42204.224432870367</v>
      </c>
      <c r="U27" s="30">
        <f t="shared" si="0"/>
        <v>45</v>
      </c>
    </row>
    <row r="28" spans="1:21" ht="29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3">
        <v>42278.629710648151</v>
      </c>
      <c r="T28" s="13">
        <v>42306.629710648151</v>
      </c>
      <c r="U28" s="30">
        <f t="shared" si="0"/>
        <v>28</v>
      </c>
    </row>
    <row r="29" spans="1:21" ht="29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3">
        <v>42695.7105787037</v>
      </c>
      <c r="T29" s="13">
        <v>42725.7105787037</v>
      </c>
      <c r="U29" s="30">
        <f t="shared" si="0"/>
        <v>30</v>
      </c>
    </row>
    <row r="30" spans="1:21" ht="29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3">
        <v>42543.788564814815</v>
      </c>
      <c r="T30" s="13">
        <v>42573.788564814815</v>
      </c>
      <c r="U30" s="30">
        <f t="shared" si="0"/>
        <v>30</v>
      </c>
    </row>
    <row r="31" spans="1:21" ht="29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3">
        <v>42508.179965277777</v>
      </c>
      <c r="T31" s="13">
        <v>42568.179965277777</v>
      </c>
      <c r="U31" s="30">
        <f t="shared" si="0"/>
        <v>60</v>
      </c>
    </row>
    <row r="32" spans="1:21" ht="29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3">
        <v>41842.828680555554</v>
      </c>
      <c r="T32" s="13">
        <v>41882.827650462961</v>
      </c>
      <c r="U32" s="30">
        <f t="shared" si="0"/>
        <v>39.998969907406718</v>
      </c>
    </row>
    <row r="33" spans="1:21" ht="29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3">
        <v>41850.863252314812</v>
      </c>
      <c r="T33" s="13">
        <v>41880.863252314812</v>
      </c>
      <c r="U33" s="30">
        <f t="shared" si="0"/>
        <v>30</v>
      </c>
    </row>
    <row r="34" spans="1:21" ht="43.5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3">
        <v>41865.878657407404</v>
      </c>
      <c r="T34" s="13">
        <v>41925.878657407404</v>
      </c>
      <c r="U34" s="30">
        <f t="shared" si="0"/>
        <v>60</v>
      </c>
    </row>
    <row r="35" spans="1:21" ht="29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3">
        <v>42538.968310185184</v>
      </c>
      <c r="T35" s="13">
        <v>42568.029861111107</v>
      </c>
      <c r="U35" s="30">
        <f t="shared" si="0"/>
        <v>29.061550925922347</v>
      </c>
    </row>
    <row r="36" spans="1:21" ht="29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3">
        <v>41766.072500000002</v>
      </c>
      <c r="T36" s="13">
        <v>41791.072500000002</v>
      </c>
      <c r="U36" s="30">
        <f t="shared" si="0"/>
        <v>25</v>
      </c>
    </row>
    <row r="37" spans="1:21" ht="29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3">
        <v>41833.660995370366</v>
      </c>
      <c r="T37" s="13">
        <v>41863.660995370366</v>
      </c>
      <c r="U37" s="30">
        <f t="shared" si="0"/>
        <v>30</v>
      </c>
    </row>
    <row r="38" spans="1:21" ht="29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3">
        <v>42308.211215277777</v>
      </c>
      <c r="T38" s="13">
        <v>42338.252881944441</v>
      </c>
      <c r="U38" s="30">
        <f t="shared" si="0"/>
        <v>30.041666666664241</v>
      </c>
    </row>
    <row r="39" spans="1:21" ht="29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3">
        <v>42002.817488425921</v>
      </c>
      <c r="T39" s="13">
        <v>42032.817488425921</v>
      </c>
      <c r="U39" s="30">
        <f t="shared" si="0"/>
        <v>30</v>
      </c>
    </row>
    <row r="40" spans="1:21" ht="29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3">
        <v>41780.785729166666</v>
      </c>
      <c r="T40" s="13">
        <v>41840.785729166666</v>
      </c>
      <c r="U40" s="30">
        <f t="shared" si="0"/>
        <v>60</v>
      </c>
    </row>
    <row r="41" spans="1:21" ht="43.5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3">
        <v>42248.627013888887</v>
      </c>
      <c r="T41" s="13">
        <v>42278.627013888887</v>
      </c>
      <c r="U41" s="30">
        <f t="shared" si="0"/>
        <v>30</v>
      </c>
    </row>
    <row r="42" spans="1:21" ht="29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3">
        <v>42534.933321759265</v>
      </c>
      <c r="T42" s="13">
        <v>42554.832638888889</v>
      </c>
      <c r="U42" s="30">
        <f t="shared" si="0"/>
        <v>19.899317129624251</v>
      </c>
    </row>
    <row r="43" spans="1:21" ht="29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3">
        <v>42353.761759259258</v>
      </c>
      <c r="T43" s="13">
        <v>42383.761759259258</v>
      </c>
      <c r="U43" s="30">
        <f t="shared" si="0"/>
        <v>30</v>
      </c>
    </row>
    <row r="44" spans="1:21" ht="29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3">
        <v>41746.189409722225</v>
      </c>
      <c r="T44" s="13">
        <v>41776.189409722225</v>
      </c>
      <c r="U44" s="30">
        <f t="shared" si="0"/>
        <v>30</v>
      </c>
    </row>
    <row r="45" spans="1:21" ht="29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3">
        <v>41890.086805555555</v>
      </c>
      <c r="T45" s="13">
        <v>41934.207638888889</v>
      </c>
      <c r="U45" s="30">
        <f t="shared" si="0"/>
        <v>44.120833333334303</v>
      </c>
    </row>
    <row r="46" spans="1:21" ht="29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3">
        <v>42061.963263888887</v>
      </c>
      <c r="T46" s="13">
        <v>42091.921597222223</v>
      </c>
      <c r="U46" s="30">
        <f t="shared" si="0"/>
        <v>29.958333333335759</v>
      </c>
    </row>
    <row r="47" spans="1:21" ht="29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3">
        <v>42142.768819444449</v>
      </c>
      <c r="T47" s="13">
        <v>42182.768819444449</v>
      </c>
      <c r="U47" s="30">
        <f t="shared" si="0"/>
        <v>40</v>
      </c>
    </row>
    <row r="48" spans="1:21" ht="29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3">
        <v>42265.683182870373</v>
      </c>
      <c r="T48" s="13">
        <v>42293.207638888889</v>
      </c>
      <c r="U48" s="30">
        <f t="shared" si="0"/>
        <v>27.524456018516503</v>
      </c>
    </row>
    <row r="49" spans="1:21" ht="43.5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3">
        <v>42672.955138888887</v>
      </c>
      <c r="T49" s="13">
        <v>42704.708333333328</v>
      </c>
      <c r="U49" s="30">
        <f t="shared" si="0"/>
        <v>31.75319444444176</v>
      </c>
    </row>
    <row r="50" spans="1:21" ht="29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3">
        <v>41816.950370370374</v>
      </c>
      <c r="T50" s="13">
        <v>41853.583333333336</v>
      </c>
      <c r="U50" s="30">
        <f t="shared" si="0"/>
        <v>36.632962962961756</v>
      </c>
    </row>
    <row r="51" spans="1:21" ht="29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3">
        <v>42399.707407407404</v>
      </c>
      <c r="T51" s="13">
        <v>42420.878472222219</v>
      </c>
      <c r="U51" s="30">
        <f t="shared" si="0"/>
        <v>21.171064814814599</v>
      </c>
    </row>
    <row r="52" spans="1:21" ht="29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3">
        <v>42701.908807870372</v>
      </c>
      <c r="T52" s="13">
        <v>42716.25</v>
      </c>
      <c r="U52" s="30">
        <f t="shared" si="0"/>
        <v>14.341192129628325</v>
      </c>
    </row>
    <row r="53" spans="1:21" ht="29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3">
        <v>42606.056863425925</v>
      </c>
      <c r="T53" s="13">
        <v>42620.056863425925</v>
      </c>
      <c r="U53" s="30">
        <f t="shared" si="0"/>
        <v>14</v>
      </c>
    </row>
    <row r="54" spans="1:21" ht="29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3">
        <v>41983.752847222218</v>
      </c>
      <c r="T54" s="13">
        <v>42014.140972222223</v>
      </c>
      <c r="U54" s="30">
        <f t="shared" si="0"/>
        <v>30.388125000004948</v>
      </c>
    </row>
    <row r="55" spans="1:21" ht="29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3">
        <v>41830.858344907407</v>
      </c>
      <c r="T55" s="13">
        <v>41852.291666666664</v>
      </c>
      <c r="U55" s="30">
        <f t="shared" si="0"/>
        <v>21.433321759257524</v>
      </c>
    </row>
    <row r="56" spans="1:21" ht="29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3">
        <v>42199.648912037039</v>
      </c>
      <c r="T56" s="13">
        <v>42217.041666666672</v>
      </c>
      <c r="U56" s="30">
        <f t="shared" si="0"/>
        <v>17.392754629632691</v>
      </c>
    </row>
    <row r="57" spans="1:21" ht="29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3">
        <v>41765.938657407409</v>
      </c>
      <c r="T57" s="13">
        <v>41795.938657407409</v>
      </c>
      <c r="U57" s="30">
        <f t="shared" si="0"/>
        <v>30</v>
      </c>
    </row>
    <row r="58" spans="1:21" ht="29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3">
        <v>42258.646504629629</v>
      </c>
      <c r="T58" s="13">
        <v>42288.645196759258</v>
      </c>
      <c r="U58" s="30">
        <f t="shared" si="0"/>
        <v>29.99869212962949</v>
      </c>
    </row>
    <row r="59" spans="1:21" ht="29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3">
        <v>42233.671747685185</v>
      </c>
      <c r="T59" s="13">
        <v>42278.541666666672</v>
      </c>
      <c r="U59" s="30">
        <f t="shared" si="0"/>
        <v>44.86991898148699</v>
      </c>
    </row>
    <row r="60" spans="1:21" ht="29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3">
        <v>42289.94049768518</v>
      </c>
      <c r="T60" s="13">
        <v>42349.982164351852</v>
      </c>
      <c r="U60" s="30">
        <f t="shared" si="0"/>
        <v>60.041666666671517</v>
      </c>
    </row>
    <row r="61" spans="1:21" ht="29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3">
        <v>42452.815659722226</v>
      </c>
      <c r="T61" s="13">
        <v>42512.815659722226</v>
      </c>
      <c r="U61" s="30">
        <f t="shared" si="0"/>
        <v>60</v>
      </c>
    </row>
    <row r="62" spans="1:21" ht="29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3">
        <v>42679.958472222221</v>
      </c>
      <c r="T62" s="13">
        <v>42710.207638888889</v>
      </c>
      <c r="U62" s="30">
        <f t="shared" si="0"/>
        <v>30.249166666668316</v>
      </c>
    </row>
    <row r="63" spans="1:21" ht="29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3">
        <v>42531.195277777777</v>
      </c>
      <c r="T63" s="13">
        <v>42555.166666666672</v>
      </c>
      <c r="U63" s="30">
        <f t="shared" si="0"/>
        <v>23.97138888889458</v>
      </c>
    </row>
    <row r="64" spans="1:21" ht="29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3">
        <v>41869.714166666665</v>
      </c>
      <c r="T64" s="13">
        <v>41876.875</v>
      </c>
      <c r="U64" s="30">
        <f t="shared" si="0"/>
        <v>7.1608333333351766</v>
      </c>
    </row>
    <row r="65" spans="1:21" ht="29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3">
        <v>41950.26694444444</v>
      </c>
      <c r="T65" s="13">
        <v>41963.669444444444</v>
      </c>
      <c r="U65" s="30">
        <f t="shared" si="0"/>
        <v>13.402500000003783</v>
      </c>
    </row>
    <row r="66" spans="1:21" ht="29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3">
        <v>42523.739212962959</v>
      </c>
      <c r="T66" s="13">
        <v>42553.739212962959</v>
      </c>
      <c r="U66" s="30">
        <f t="shared" si="0"/>
        <v>30</v>
      </c>
    </row>
    <row r="67" spans="1:21" ht="29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3">
        <v>41974.738576388889</v>
      </c>
      <c r="T67" s="13">
        <v>41994.738576388889</v>
      </c>
      <c r="U67" s="30">
        <f t="shared" ref="U67:U130" si="1">T67-S67</f>
        <v>20</v>
      </c>
    </row>
    <row r="68" spans="1:21" ht="29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3">
        <v>41904.650578703702</v>
      </c>
      <c r="T68" s="13">
        <v>41934.650578703702</v>
      </c>
      <c r="U68" s="30">
        <f t="shared" si="1"/>
        <v>30</v>
      </c>
    </row>
    <row r="69" spans="1:21" ht="29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3">
        <v>42601.827141203699</v>
      </c>
      <c r="T69" s="13">
        <v>42631.827141203699</v>
      </c>
      <c r="U69" s="30">
        <f t="shared" si="1"/>
        <v>30</v>
      </c>
    </row>
    <row r="70" spans="1:21" ht="29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3">
        <v>41795.598923611113</v>
      </c>
      <c r="T70" s="13">
        <v>41825.598923611113</v>
      </c>
      <c r="U70" s="30">
        <f t="shared" si="1"/>
        <v>30</v>
      </c>
    </row>
    <row r="71" spans="1:21" ht="29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3">
        <v>42245.234340277777</v>
      </c>
      <c r="T71" s="13">
        <v>42263.234340277777</v>
      </c>
      <c r="U71" s="30">
        <f t="shared" si="1"/>
        <v>18</v>
      </c>
    </row>
    <row r="72" spans="1:21" ht="29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3">
        <v>42089.901574074072</v>
      </c>
      <c r="T72" s="13">
        <v>42149.901574074072</v>
      </c>
      <c r="U72" s="30">
        <f t="shared" si="1"/>
        <v>60</v>
      </c>
    </row>
    <row r="73" spans="1:21" ht="29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3">
        <v>42306.848854166667</v>
      </c>
      <c r="T73" s="13">
        <v>42336.890520833331</v>
      </c>
      <c r="U73" s="30">
        <f t="shared" si="1"/>
        <v>30.041666666664241</v>
      </c>
    </row>
    <row r="74" spans="1:21" ht="29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3">
        <v>42293.809212962966</v>
      </c>
      <c r="T74" s="13">
        <v>42353.85087962963</v>
      </c>
      <c r="U74" s="30">
        <f t="shared" si="1"/>
        <v>60.041666666664241</v>
      </c>
    </row>
    <row r="75" spans="1:21" ht="29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3">
        <v>42770.290590277778</v>
      </c>
      <c r="T75" s="13">
        <v>42800.290590277778</v>
      </c>
      <c r="U75" s="30">
        <f t="shared" si="1"/>
        <v>30</v>
      </c>
    </row>
    <row r="76" spans="1:21" ht="29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3">
        <v>42374.655081018514</v>
      </c>
      <c r="T76" s="13">
        <v>42403.784027777772</v>
      </c>
      <c r="U76" s="30">
        <f t="shared" si="1"/>
        <v>29.128946759257815</v>
      </c>
    </row>
    <row r="77" spans="1:21" ht="29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3">
        <v>42151.905717592599</v>
      </c>
      <c r="T77" s="13">
        <v>42182.905717592599</v>
      </c>
      <c r="U77" s="30">
        <f t="shared" si="1"/>
        <v>31</v>
      </c>
    </row>
    <row r="78" spans="1:21" ht="29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3">
        <v>42041.205000000002</v>
      </c>
      <c r="T78" s="13">
        <v>42086.16333333333</v>
      </c>
      <c r="U78" s="30">
        <f t="shared" si="1"/>
        <v>44.958333333328483</v>
      </c>
    </row>
    <row r="79" spans="1:21" ht="29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3">
        <v>41833.089756944442</v>
      </c>
      <c r="T79" s="13">
        <v>41863.079143518517</v>
      </c>
      <c r="U79" s="30">
        <f t="shared" si="1"/>
        <v>29.98938657407416</v>
      </c>
    </row>
    <row r="80" spans="1:21" ht="29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3">
        <v>42041.581307870365</v>
      </c>
      <c r="T80" s="13">
        <v>42071.539641203708</v>
      </c>
      <c r="U80" s="30">
        <f t="shared" si="1"/>
        <v>29.958333333343035</v>
      </c>
    </row>
    <row r="81" spans="1:21" ht="29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3">
        <v>42278.664965277778</v>
      </c>
      <c r="T81" s="13">
        <v>42308.664965277778</v>
      </c>
      <c r="U81" s="30">
        <f t="shared" si="1"/>
        <v>30</v>
      </c>
    </row>
    <row r="82" spans="1:21" ht="29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3">
        <v>41858.007071759261</v>
      </c>
      <c r="T82" s="13">
        <v>41888.007071759261</v>
      </c>
      <c r="U82" s="30">
        <f t="shared" si="1"/>
        <v>30</v>
      </c>
    </row>
    <row r="83" spans="1:21" ht="29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3">
        <v>41869.798726851855</v>
      </c>
      <c r="T83" s="13">
        <v>41929.798726851855</v>
      </c>
      <c r="U83" s="30">
        <f t="shared" si="1"/>
        <v>60</v>
      </c>
    </row>
    <row r="84" spans="1:21" ht="29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3">
        <v>42370.007766203707</v>
      </c>
      <c r="T84" s="13">
        <v>42398.981944444444</v>
      </c>
      <c r="U84" s="30">
        <f t="shared" si="1"/>
        <v>28.974178240736364</v>
      </c>
    </row>
    <row r="85" spans="1:21" ht="29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3">
        <v>42305.670914351853</v>
      </c>
      <c r="T85" s="13">
        <v>42339.249305555553</v>
      </c>
      <c r="U85" s="30">
        <f t="shared" si="1"/>
        <v>33.578391203700448</v>
      </c>
    </row>
    <row r="86" spans="1:21" ht="29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3">
        <v>41880.788842592592</v>
      </c>
      <c r="T86" s="13">
        <v>41910.788842592592</v>
      </c>
      <c r="U86" s="30">
        <f t="shared" si="1"/>
        <v>30</v>
      </c>
    </row>
    <row r="87" spans="1:21" ht="29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3">
        <v>42414.235879629632</v>
      </c>
      <c r="T87" s="13">
        <v>42474.194212962961</v>
      </c>
      <c r="U87" s="30">
        <f t="shared" si="1"/>
        <v>59.958333333328483</v>
      </c>
    </row>
    <row r="88" spans="1:21" ht="29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3">
        <v>42415.883425925931</v>
      </c>
      <c r="T88" s="13">
        <v>42475.84175925926</v>
      </c>
      <c r="U88" s="30">
        <f t="shared" si="1"/>
        <v>59.958333333328483</v>
      </c>
    </row>
    <row r="89" spans="1:21" ht="29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3">
        <v>42722.84474537037</v>
      </c>
      <c r="T89" s="13">
        <v>42752.84474537037</v>
      </c>
      <c r="U89" s="30">
        <f t="shared" si="1"/>
        <v>30</v>
      </c>
    </row>
    <row r="90" spans="1:21" ht="29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3">
        <v>42480.800648148142</v>
      </c>
      <c r="T90" s="13">
        <v>42540.800648148142</v>
      </c>
      <c r="U90" s="30">
        <f t="shared" si="1"/>
        <v>60</v>
      </c>
    </row>
    <row r="91" spans="1:21" ht="29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3">
        <v>42499.731701388882</v>
      </c>
      <c r="T91" s="13">
        <v>42529.731701388882</v>
      </c>
      <c r="U91" s="30">
        <f t="shared" si="1"/>
        <v>30</v>
      </c>
    </row>
    <row r="92" spans="1:21" ht="29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3">
        <v>41829.73715277778</v>
      </c>
      <c r="T92" s="13">
        <v>41852.716666666667</v>
      </c>
      <c r="U92" s="30">
        <f t="shared" si="1"/>
        <v>22.979513888887595</v>
      </c>
    </row>
    <row r="93" spans="1:21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3">
        <v>42056.1324537037</v>
      </c>
      <c r="T93" s="13">
        <v>42086.207638888889</v>
      </c>
      <c r="U93" s="30">
        <f t="shared" si="1"/>
        <v>30.075185185189184</v>
      </c>
    </row>
    <row r="94" spans="1:21" ht="29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3">
        <v>42461.596273148149</v>
      </c>
      <c r="T94" s="13">
        <v>42491.596273148149</v>
      </c>
      <c r="U94" s="30">
        <f t="shared" si="1"/>
        <v>30</v>
      </c>
    </row>
    <row r="95" spans="1:21" ht="29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3">
        <v>42509.814108796301</v>
      </c>
      <c r="T95" s="13">
        <v>42539.814108796301</v>
      </c>
      <c r="U95" s="30">
        <f t="shared" si="1"/>
        <v>30</v>
      </c>
    </row>
    <row r="96" spans="1:21" ht="29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3">
        <v>42122.732499999998</v>
      </c>
      <c r="T96" s="13">
        <v>42155.732638888891</v>
      </c>
      <c r="U96" s="30">
        <f t="shared" si="1"/>
        <v>33.000138888892252</v>
      </c>
    </row>
    <row r="97" spans="1:21" ht="29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3">
        <v>42074.219699074078</v>
      </c>
      <c r="T97" s="13">
        <v>42104.208333333328</v>
      </c>
      <c r="U97" s="30">
        <f t="shared" si="1"/>
        <v>29.98863425925083</v>
      </c>
    </row>
    <row r="98" spans="1:21" ht="29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3">
        <v>42768.97084490741</v>
      </c>
      <c r="T98" s="13">
        <v>42789.041666666672</v>
      </c>
      <c r="U98" s="30">
        <f t="shared" si="1"/>
        <v>20.070821759261889</v>
      </c>
    </row>
    <row r="99" spans="1:21" ht="29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3">
        <v>41975.642974537041</v>
      </c>
      <c r="T99" s="13">
        <v>42035.642974537041</v>
      </c>
      <c r="U99" s="30">
        <f t="shared" si="1"/>
        <v>60</v>
      </c>
    </row>
    <row r="100" spans="1:21" ht="29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3">
        <v>42601.854699074072</v>
      </c>
      <c r="T100" s="13">
        <v>42611.163194444445</v>
      </c>
      <c r="U100" s="30">
        <f t="shared" si="1"/>
        <v>9.3084953703728388</v>
      </c>
    </row>
    <row r="101" spans="1:21" ht="29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3">
        <v>41981.067523148144</v>
      </c>
      <c r="T101" s="13">
        <v>42041.067523148144</v>
      </c>
      <c r="U101" s="30">
        <f t="shared" si="1"/>
        <v>60</v>
      </c>
    </row>
    <row r="102" spans="1:21" ht="29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3">
        <v>41990.506377314814</v>
      </c>
      <c r="T102" s="13">
        <v>42020.506377314814</v>
      </c>
      <c r="U102" s="30">
        <f t="shared" si="1"/>
        <v>30</v>
      </c>
    </row>
    <row r="103" spans="1:21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3">
        <v>42621.389340277776</v>
      </c>
      <c r="T103" s="13">
        <v>42651.389340277776</v>
      </c>
      <c r="U103" s="30">
        <f t="shared" si="1"/>
        <v>30</v>
      </c>
    </row>
    <row r="104" spans="1:21" ht="29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3">
        <v>42020.587349537032</v>
      </c>
      <c r="T104" s="13">
        <v>42050.587349537032</v>
      </c>
      <c r="U104" s="30">
        <f t="shared" si="1"/>
        <v>30</v>
      </c>
    </row>
    <row r="105" spans="1:21" ht="29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3">
        <v>42067.947337962964</v>
      </c>
      <c r="T105" s="13">
        <v>42097.905671296292</v>
      </c>
      <c r="U105" s="30">
        <f t="shared" si="1"/>
        <v>29.958333333328483</v>
      </c>
    </row>
    <row r="106" spans="1:21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3">
        <v>42031.833587962959</v>
      </c>
      <c r="T106" s="13">
        <v>42063.333333333328</v>
      </c>
      <c r="U106" s="30">
        <f t="shared" si="1"/>
        <v>31.499745370369055</v>
      </c>
    </row>
    <row r="107" spans="1:21" ht="29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3">
        <v>41885.221550925926</v>
      </c>
      <c r="T107" s="13">
        <v>41916.290972222225</v>
      </c>
      <c r="U107" s="30">
        <f t="shared" si="1"/>
        <v>31.06942129629897</v>
      </c>
    </row>
    <row r="108" spans="1:21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3">
        <v>41948.727256944447</v>
      </c>
      <c r="T108" s="13">
        <v>41978.727256944447</v>
      </c>
      <c r="U108" s="30">
        <f t="shared" si="1"/>
        <v>30</v>
      </c>
    </row>
    <row r="109" spans="1:21" ht="29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3">
        <v>42224.756909722222</v>
      </c>
      <c r="T109" s="13">
        <v>42254.756909722222</v>
      </c>
      <c r="U109" s="30">
        <f t="shared" si="1"/>
        <v>30</v>
      </c>
    </row>
    <row r="110" spans="1:21" ht="29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3">
        <v>42540.593530092592</v>
      </c>
      <c r="T110" s="13">
        <v>42570.593530092592</v>
      </c>
      <c r="U110" s="30">
        <f t="shared" si="1"/>
        <v>30</v>
      </c>
    </row>
    <row r="111" spans="1:21" ht="29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3">
        <v>41793.191875000004</v>
      </c>
      <c r="T111" s="13">
        <v>41807.191875000004</v>
      </c>
      <c r="U111" s="30">
        <f t="shared" si="1"/>
        <v>14</v>
      </c>
    </row>
    <row r="112" spans="1:21" ht="29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3">
        <v>42031.666898148149</v>
      </c>
      <c r="T112" s="13">
        <v>42064.125</v>
      </c>
      <c r="U112" s="30">
        <f t="shared" si="1"/>
        <v>32.458101851851097</v>
      </c>
    </row>
    <row r="113" spans="1:21" ht="29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3">
        <v>41906.819513888891</v>
      </c>
      <c r="T113" s="13">
        <v>41938.838888888888</v>
      </c>
      <c r="U113" s="30">
        <f t="shared" si="1"/>
        <v>32.019374999996217</v>
      </c>
    </row>
    <row r="114" spans="1:21" ht="29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3">
        <v>42297.691006944442</v>
      </c>
      <c r="T114" s="13">
        <v>42320.290972222225</v>
      </c>
      <c r="U114" s="30">
        <f t="shared" si="1"/>
        <v>22.599965277782758</v>
      </c>
    </row>
    <row r="115" spans="1:21" ht="29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3">
        <v>42165.037581018521</v>
      </c>
      <c r="T115" s="13">
        <v>42224.898611111115</v>
      </c>
      <c r="U115" s="30">
        <f t="shared" si="1"/>
        <v>59.861030092593865</v>
      </c>
    </row>
    <row r="116" spans="1:21" ht="29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3">
        <v>42475.848067129627</v>
      </c>
      <c r="T116" s="13">
        <v>42505.848067129627</v>
      </c>
      <c r="U116" s="30">
        <f t="shared" si="1"/>
        <v>30</v>
      </c>
    </row>
    <row r="117" spans="1:21" ht="29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3">
        <v>41811.536180555559</v>
      </c>
      <c r="T117" s="13">
        <v>41841.536180555559</v>
      </c>
      <c r="U117" s="30">
        <f t="shared" si="1"/>
        <v>30</v>
      </c>
    </row>
    <row r="118" spans="1:21" ht="29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3">
        <v>42136.092488425929</v>
      </c>
      <c r="T118" s="13">
        <v>42166.092488425929</v>
      </c>
      <c r="U118" s="30">
        <f t="shared" si="1"/>
        <v>30</v>
      </c>
    </row>
    <row r="119" spans="1:21" ht="29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3">
        <v>41863.359282407408</v>
      </c>
      <c r="T119" s="13">
        <v>41893.359282407408</v>
      </c>
      <c r="U119" s="30">
        <f t="shared" si="1"/>
        <v>30</v>
      </c>
    </row>
    <row r="120" spans="1:21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3">
        <v>42047.07640046296</v>
      </c>
      <c r="T120" s="13">
        <v>42077.034733796296</v>
      </c>
      <c r="U120" s="30">
        <f t="shared" si="1"/>
        <v>29.958333333335759</v>
      </c>
    </row>
    <row r="121" spans="1:21" ht="29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3">
        <v>42053.722060185188</v>
      </c>
      <c r="T121" s="13">
        <v>42113.680393518516</v>
      </c>
      <c r="U121" s="30">
        <f t="shared" si="1"/>
        <v>59.958333333328483</v>
      </c>
    </row>
    <row r="122" spans="1:21" ht="29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3">
        <v>41843.775011574071</v>
      </c>
      <c r="T122" s="13">
        <v>41863.775011574071</v>
      </c>
      <c r="U122" s="30">
        <f t="shared" si="1"/>
        <v>20</v>
      </c>
    </row>
    <row r="123" spans="1:21" ht="29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3">
        <v>41878.911550925928</v>
      </c>
      <c r="T123" s="13">
        <v>41938.911550925928</v>
      </c>
      <c r="U123" s="30">
        <f t="shared" si="1"/>
        <v>60</v>
      </c>
    </row>
    <row r="124" spans="1:21" ht="29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3">
        <v>41977.004976851851</v>
      </c>
      <c r="T124" s="13">
        <v>42008.976388888885</v>
      </c>
      <c r="U124" s="30">
        <f t="shared" si="1"/>
        <v>31.971412037033588</v>
      </c>
    </row>
    <row r="125" spans="1:21" ht="29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3">
        <v>41991.022488425922</v>
      </c>
      <c r="T125" s="13">
        <v>42015.041666666672</v>
      </c>
      <c r="U125" s="30">
        <f t="shared" si="1"/>
        <v>24.01917824074917</v>
      </c>
    </row>
    <row r="126" spans="1:21" ht="29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3">
        <v>41856.672152777777</v>
      </c>
      <c r="T126" s="13">
        <v>41886.672152777777</v>
      </c>
      <c r="U126" s="30">
        <f t="shared" si="1"/>
        <v>30</v>
      </c>
    </row>
    <row r="127" spans="1:21" ht="29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3">
        <v>42615.142870370371</v>
      </c>
      <c r="T127" s="13">
        <v>42645.142870370371</v>
      </c>
      <c r="U127" s="30">
        <f t="shared" si="1"/>
        <v>30</v>
      </c>
    </row>
    <row r="128" spans="1:21" ht="29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3">
        <v>42203.677766203706</v>
      </c>
      <c r="T128" s="13">
        <v>42233.677766203706</v>
      </c>
      <c r="U128" s="30">
        <f t="shared" si="1"/>
        <v>30</v>
      </c>
    </row>
    <row r="129" spans="1:21" ht="29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3">
        <v>41858.214629629627</v>
      </c>
      <c r="T129" s="13">
        <v>41888.214629629627</v>
      </c>
      <c r="U129" s="30">
        <f t="shared" si="1"/>
        <v>30</v>
      </c>
    </row>
    <row r="130" spans="1:21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3">
        <v>41914.590011574073</v>
      </c>
      <c r="T130" s="13">
        <v>41955.907638888893</v>
      </c>
      <c r="U130" s="30">
        <f t="shared" si="1"/>
        <v>41.317627314820129</v>
      </c>
    </row>
    <row r="131" spans="1:21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3">
        <v>42125.644467592589</v>
      </c>
      <c r="T131" s="13">
        <v>42155.644467592589</v>
      </c>
      <c r="U131" s="30">
        <f t="shared" ref="U131:U194" si="2">T131-S131</f>
        <v>30</v>
      </c>
    </row>
    <row r="132" spans="1:21" ht="29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3">
        <v>42057.190960648149</v>
      </c>
      <c r="T132" s="13">
        <v>42087.149293981478</v>
      </c>
      <c r="U132" s="30">
        <f t="shared" si="2"/>
        <v>29.958333333328483</v>
      </c>
    </row>
    <row r="133" spans="1:21" ht="29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3">
        <v>42188.83293981482</v>
      </c>
      <c r="T133" s="13">
        <v>42242.772222222222</v>
      </c>
      <c r="U133" s="30">
        <f t="shared" si="2"/>
        <v>53.939282407402061</v>
      </c>
    </row>
    <row r="134" spans="1:21" ht="29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3">
        <v>41781.045173611114</v>
      </c>
      <c r="T134" s="13">
        <v>41811.045173611114</v>
      </c>
      <c r="U134" s="30">
        <f t="shared" si="2"/>
        <v>30</v>
      </c>
    </row>
    <row r="135" spans="1:21" ht="29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3">
        <v>42446.060694444444</v>
      </c>
      <c r="T135" s="13">
        <v>42461.165972222225</v>
      </c>
      <c r="U135" s="30">
        <f t="shared" si="2"/>
        <v>15.105277777780429</v>
      </c>
    </row>
    <row r="136" spans="1:21" ht="29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3">
        <v>42029.135879629626</v>
      </c>
      <c r="T136" s="13">
        <v>42059.135879629626</v>
      </c>
      <c r="U136" s="30">
        <f t="shared" si="2"/>
        <v>30</v>
      </c>
    </row>
    <row r="137" spans="1:21" ht="29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3">
        <v>42497.070775462969</v>
      </c>
      <c r="T137" s="13">
        <v>42514.600694444445</v>
      </c>
      <c r="U137" s="30">
        <f t="shared" si="2"/>
        <v>17.52991898147593</v>
      </c>
    </row>
    <row r="138" spans="1:21" ht="29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3">
        <v>42123.648831018523</v>
      </c>
      <c r="T138" s="13">
        <v>42153.648831018523</v>
      </c>
      <c r="U138" s="30">
        <f t="shared" si="2"/>
        <v>30</v>
      </c>
    </row>
    <row r="139" spans="1:21" ht="29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3">
        <v>41834.135370370372</v>
      </c>
      <c r="T139" s="13">
        <v>41849.135370370372</v>
      </c>
      <c r="U139" s="30">
        <f t="shared" si="2"/>
        <v>15</v>
      </c>
    </row>
    <row r="140" spans="1:21" ht="29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3">
        <v>42020.768634259264</v>
      </c>
      <c r="T140" s="13">
        <v>42065.958333333328</v>
      </c>
      <c r="U140" s="30">
        <f t="shared" si="2"/>
        <v>45.189699074064265</v>
      </c>
    </row>
    <row r="141" spans="1:21" ht="29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3">
        <v>42295.891828703709</v>
      </c>
      <c r="T141" s="13">
        <v>42325.933495370366</v>
      </c>
      <c r="U141" s="30">
        <f t="shared" si="2"/>
        <v>30.041666666656965</v>
      </c>
    </row>
    <row r="142" spans="1:21" ht="29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3">
        <v>42767.031678240746</v>
      </c>
      <c r="T142" s="13">
        <v>42797.208333333328</v>
      </c>
      <c r="U142" s="30">
        <f t="shared" si="2"/>
        <v>30.176655092582223</v>
      </c>
    </row>
    <row r="143" spans="1:21" ht="29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3">
        <v>41784.789687500001</v>
      </c>
      <c r="T143" s="13">
        <v>41814.789687500001</v>
      </c>
      <c r="U143" s="30">
        <f t="shared" si="2"/>
        <v>30</v>
      </c>
    </row>
    <row r="144" spans="1:21" ht="29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3">
        <v>41826.61954861111</v>
      </c>
      <c r="T144" s="13">
        <v>41856.61954861111</v>
      </c>
      <c r="U144" s="30">
        <f t="shared" si="2"/>
        <v>30</v>
      </c>
    </row>
    <row r="145" spans="1:21" ht="29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3">
        <v>42032.250208333338</v>
      </c>
      <c r="T145" s="13">
        <v>42063.250208333338</v>
      </c>
      <c r="U145" s="30">
        <f t="shared" si="2"/>
        <v>31</v>
      </c>
    </row>
    <row r="146" spans="1:21" ht="29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3">
        <v>41940.587233796294</v>
      </c>
      <c r="T146" s="13">
        <v>41968.041666666672</v>
      </c>
      <c r="U146" s="30">
        <f t="shared" si="2"/>
        <v>27.454432870377786</v>
      </c>
    </row>
    <row r="147" spans="1:21" ht="29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3">
        <v>42570.850381944445</v>
      </c>
      <c r="T147" s="13">
        <v>42615.850381944445</v>
      </c>
      <c r="U147" s="30">
        <f t="shared" si="2"/>
        <v>45</v>
      </c>
    </row>
    <row r="148" spans="1:21" ht="29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3">
        <v>42304.940960648149</v>
      </c>
      <c r="T148" s="13">
        <v>42329.166666666672</v>
      </c>
      <c r="U148" s="30">
        <f t="shared" si="2"/>
        <v>24.225706018522033</v>
      </c>
    </row>
    <row r="149" spans="1:21" ht="29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3">
        <v>42627.955104166671</v>
      </c>
      <c r="T149" s="13">
        <v>42657.916666666672</v>
      </c>
      <c r="U149" s="30">
        <f t="shared" si="2"/>
        <v>29.961562500000582</v>
      </c>
    </row>
    <row r="150" spans="1:21" ht="29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3">
        <v>42342.845555555556</v>
      </c>
      <c r="T150" s="13">
        <v>42372.845555555556</v>
      </c>
      <c r="U150" s="30">
        <f t="shared" si="2"/>
        <v>30</v>
      </c>
    </row>
    <row r="151" spans="1:21" ht="29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3">
        <v>41801.711550925924</v>
      </c>
      <c r="T151" s="13">
        <v>41844.124305555553</v>
      </c>
      <c r="U151" s="30">
        <f t="shared" si="2"/>
        <v>42.41275462962949</v>
      </c>
    </row>
    <row r="152" spans="1:21" ht="29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3">
        <v>41883.916678240741</v>
      </c>
      <c r="T152" s="13">
        <v>41906.916678240741</v>
      </c>
      <c r="U152" s="30">
        <f t="shared" si="2"/>
        <v>23</v>
      </c>
    </row>
    <row r="153" spans="1:21" ht="29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3">
        <v>41872.807696759257</v>
      </c>
      <c r="T153" s="13">
        <v>41932.807696759257</v>
      </c>
      <c r="U153" s="30">
        <f t="shared" si="2"/>
        <v>60</v>
      </c>
    </row>
    <row r="154" spans="1:21" ht="29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3">
        <v>42196.166874999995</v>
      </c>
      <c r="T154" s="13">
        <v>42256.166874999995</v>
      </c>
      <c r="U154" s="30">
        <f t="shared" si="2"/>
        <v>60</v>
      </c>
    </row>
    <row r="155" spans="1:21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3">
        <v>41975.124340277776</v>
      </c>
      <c r="T155" s="13">
        <v>42005.124340277776</v>
      </c>
      <c r="U155" s="30">
        <f t="shared" si="2"/>
        <v>30</v>
      </c>
    </row>
    <row r="156" spans="1:21" ht="29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3">
        <v>42078.34520833334</v>
      </c>
      <c r="T156" s="13">
        <v>42133.166666666672</v>
      </c>
      <c r="U156" s="30">
        <f t="shared" si="2"/>
        <v>54.821458333331975</v>
      </c>
    </row>
    <row r="157" spans="1:21" ht="29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3">
        <v>42718.963599537034</v>
      </c>
      <c r="T157" s="13">
        <v>42748.961805555555</v>
      </c>
      <c r="U157" s="30">
        <f t="shared" si="2"/>
        <v>29.998206018521159</v>
      </c>
    </row>
    <row r="158" spans="1:21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3">
        <v>42230.08116898148</v>
      </c>
      <c r="T158" s="13">
        <v>42245.08116898148</v>
      </c>
      <c r="U158" s="30">
        <f t="shared" si="2"/>
        <v>15</v>
      </c>
    </row>
    <row r="159" spans="1:21" ht="29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3">
        <v>42209.67288194444</v>
      </c>
      <c r="T159" s="13">
        <v>42223.625</v>
      </c>
      <c r="U159" s="30">
        <f t="shared" si="2"/>
        <v>13.952118055560277</v>
      </c>
    </row>
    <row r="160" spans="1:21" ht="29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3">
        <v>42359.725243055553</v>
      </c>
      <c r="T160" s="13">
        <v>42389.725243055553</v>
      </c>
      <c r="U160" s="30">
        <f t="shared" si="2"/>
        <v>30</v>
      </c>
    </row>
    <row r="161" spans="1:21" ht="29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3">
        <v>42417.675879629634</v>
      </c>
      <c r="T161" s="13">
        <v>42475.686111111107</v>
      </c>
      <c r="U161" s="30">
        <f t="shared" si="2"/>
        <v>58.010231481472147</v>
      </c>
    </row>
    <row r="162" spans="1:21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3">
        <v>41833.951516203706</v>
      </c>
      <c r="T162" s="13">
        <v>41863.951516203706</v>
      </c>
      <c r="U162" s="30">
        <f t="shared" si="2"/>
        <v>30</v>
      </c>
    </row>
    <row r="163" spans="1:21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3">
        <v>41848.84002314815</v>
      </c>
      <c r="T163" s="13">
        <v>41883.84002314815</v>
      </c>
      <c r="U163" s="30">
        <f t="shared" si="2"/>
        <v>35</v>
      </c>
    </row>
    <row r="164" spans="1:21" ht="29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3">
        <v>42021.301192129627</v>
      </c>
      <c r="T164" s="13">
        <v>42051.301192129627</v>
      </c>
      <c r="U164" s="30">
        <f t="shared" si="2"/>
        <v>30</v>
      </c>
    </row>
    <row r="165" spans="1:21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3">
        <v>41953.773090277777</v>
      </c>
      <c r="T165" s="13">
        <v>42013.083333333328</v>
      </c>
      <c r="U165" s="30">
        <f t="shared" si="2"/>
        <v>59.310243055551837</v>
      </c>
    </row>
    <row r="166" spans="1:21" ht="29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3">
        <v>42210.439768518518</v>
      </c>
      <c r="T166" s="13">
        <v>42240.439768518518</v>
      </c>
      <c r="U166" s="30">
        <f t="shared" si="2"/>
        <v>30</v>
      </c>
    </row>
    <row r="167" spans="1:21" ht="43.5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3">
        <v>42059.970729166671</v>
      </c>
      <c r="T167" s="13">
        <v>42089.929062499999</v>
      </c>
      <c r="U167" s="30">
        <f t="shared" si="2"/>
        <v>29.958333333328483</v>
      </c>
    </row>
    <row r="168" spans="1:21" ht="29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3">
        <v>42317.826377314821</v>
      </c>
      <c r="T168" s="13">
        <v>42357.826377314821</v>
      </c>
      <c r="U168" s="30">
        <f t="shared" si="2"/>
        <v>40</v>
      </c>
    </row>
    <row r="169" spans="1:21" ht="29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3">
        <v>42439.702314814815</v>
      </c>
      <c r="T169" s="13">
        <v>42468.774305555555</v>
      </c>
      <c r="U169" s="30">
        <f t="shared" si="2"/>
        <v>29.071990740740148</v>
      </c>
    </row>
    <row r="170" spans="1:21" ht="29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3">
        <v>42243.790393518517</v>
      </c>
      <c r="T170" s="13">
        <v>42303.790393518517</v>
      </c>
      <c r="U170" s="30">
        <f t="shared" si="2"/>
        <v>60</v>
      </c>
    </row>
    <row r="171" spans="1:21" ht="29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3">
        <v>42479.039212962962</v>
      </c>
      <c r="T171" s="13">
        <v>42509.039212962962</v>
      </c>
      <c r="U171" s="30">
        <f t="shared" si="2"/>
        <v>30</v>
      </c>
    </row>
    <row r="172" spans="1:21" ht="29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3">
        <v>41811.555462962962</v>
      </c>
      <c r="T172" s="13">
        <v>41812.875</v>
      </c>
      <c r="U172" s="30">
        <f t="shared" si="2"/>
        <v>1.3195370370376622</v>
      </c>
    </row>
    <row r="173" spans="1:21" ht="29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3">
        <v>41879.043530092589</v>
      </c>
      <c r="T173" s="13">
        <v>41909.043530092589</v>
      </c>
      <c r="U173" s="30">
        <f t="shared" si="2"/>
        <v>30</v>
      </c>
    </row>
    <row r="174" spans="1:21" ht="29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3">
        <v>41831.742962962962</v>
      </c>
      <c r="T174" s="13">
        <v>41860.125</v>
      </c>
      <c r="U174" s="30">
        <f t="shared" si="2"/>
        <v>28.382037037037662</v>
      </c>
    </row>
    <row r="175" spans="1:21" ht="29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3">
        <v>41995.084074074075</v>
      </c>
      <c r="T175" s="13">
        <v>42024.802777777775</v>
      </c>
      <c r="U175" s="30">
        <f t="shared" si="2"/>
        <v>29.718703703700157</v>
      </c>
    </row>
    <row r="176" spans="1:21" ht="29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3">
        <v>41831.675034722226</v>
      </c>
      <c r="T176" s="13">
        <v>41891.675034722226</v>
      </c>
      <c r="U176" s="30">
        <f t="shared" si="2"/>
        <v>60</v>
      </c>
    </row>
    <row r="177" spans="1:21" ht="29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3">
        <v>41929.266215277778</v>
      </c>
      <c r="T177" s="13">
        <v>41968.823611111111</v>
      </c>
      <c r="U177" s="30">
        <f t="shared" si="2"/>
        <v>39.55739583333343</v>
      </c>
    </row>
    <row r="178" spans="1:21" ht="29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3">
        <v>42065.190694444449</v>
      </c>
      <c r="T178" s="13">
        <v>42090.149027777778</v>
      </c>
      <c r="U178" s="30">
        <f t="shared" si="2"/>
        <v>24.958333333328483</v>
      </c>
    </row>
    <row r="179" spans="1:21" ht="29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3">
        <v>42039.194988425923</v>
      </c>
      <c r="T179" s="13">
        <v>42099.153321759266</v>
      </c>
      <c r="U179" s="30">
        <f t="shared" si="2"/>
        <v>59.958333333343035</v>
      </c>
    </row>
    <row r="180" spans="1:21" ht="29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3">
        <v>42169.958506944444</v>
      </c>
      <c r="T180" s="13">
        <v>42199.958506944444</v>
      </c>
      <c r="U180" s="30">
        <f t="shared" si="2"/>
        <v>30</v>
      </c>
    </row>
    <row r="181" spans="1:21" ht="29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3">
        <v>41820.870821759258</v>
      </c>
      <c r="T181" s="13">
        <v>41850.870821759258</v>
      </c>
      <c r="U181" s="30">
        <f t="shared" si="2"/>
        <v>30</v>
      </c>
    </row>
    <row r="182" spans="1:21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3">
        <v>42402.947002314817</v>
      </c>
      <c r="T182" s="13">
        <v>42452.145138888889</v>
      </c>
      <c r="U182" s="30">
        <f t="shared" si="2"/>
        <v>49.198136574072123</v>
      </c>
    </row>
    <row r="183" spans="1:21" ht="29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3">
        <v>41961.492488425924</v>
      </c>
      <c r="T183" s="13">
        <v>42006.492488425924</v>
      </c>
      <c r="U183" s="30">
        <f t="shared" si="2"/>
        <v>45</v>
      </c>
    </row>
    <row r="184" spans="1:21" ht="29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3">
        <v>42447.863553240735</v>
      </c>
      <c r="T184" s="13">
        <v>42477.863553240735</v>
      </c>
      <c r="U184" s="30">
        <f t="shared" si="2"/>
        <v>30</v>
      </c>
    </row>
    <row r="185" spans="1:21" ht="29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3">
        <v>42261.632916666669</v>
      </c>
      <c r="T185" s="13">
        <v>42266.165972222225</v>
      </c>
      <c r="U185" s="30">
        <f t="shared" si="2"/>
        <v>4.5330555555556202</v>
      </c>
    </row>
    <row r="186" spans="1:21" ht="29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3">
        <v>41831.697939814818</v>
      </c>
      <c r="T186" s="13">
        <v>41861.697939814818</v>
      </c>
      <c r="U186" s="30">
        <f t="shared" si="2"/>
        <v>30</v>
      </c>
    </row>
    <row r="187" spans="1:21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3">
        <v>42437.64534722222</v>
      </c>
      <c r="T187" s="13">
        <v>42497.603680555556</v>
      </c>
      <c r="U187" s="30">
        <f t="shared" si="2"/>
        <v>59.958333333335759</v>
      </c>
    </row>
    <row r="188" spans="1:21" ht="29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3">
        <v>42217.670104166667</v>
      </c>
      <c r="T188" s="13">
        <v>42247.670104166667</v>
      </c>
      <c r="U188" s="30">
        <f t="shared" si="2"/>
        <v>30</v>
      </c>
    </row>
    <row r="189" spans="1:21" ht="29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3">
        <v>42058.603877314818</v>
      </c>
      <c r="T189" s="13">
        <v>42087.165972222225</v>
      </c>
      <c r="U189" s="30">
        <f t="shared" si="2"/>
        <v>28.5620949074073</v>
      </c>
    </row>
    <row r="190" spans="1:21" ht="29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3">
        <v>42465.128391203703</v>
      </c>
      <c r="T190" s="13">
        <v>42495.128391203703</v>
      </c>
      <c r="U190" s="30">
        <f t="shared" si="2"/>
        <v>30</v>
      </c>
    </row>
    <row r="191" spans="1:21" ht="29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3">
        <v>42513.976319444439</v>
      </c>
      <c r="T191" s="13">
        <v>42559.976319444439</v>
      </c>
      <c r="U191" s="30">
        <f t="shared" si="2"/>
        <v>46</v>
      </c>
    </row>
    <row r="192" spans="1:21" ht="29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3">
        <v>41982.904386574075</v>
      </c>
      <c r="T192" s="13">
        <v>42042.904386574075</v>
      </c>
      <c r="U192" s="30">
        <f t="shared" si="2"/>
        <v>60</v>
      </c>
    </row>
    <row r="193" spans="1:21" ht="29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3">
        <v>41985.427361111113</v>
      </c>
      <c r="T193" s="13">
        <v>42015.427361111113</v>
      </c>
      <c r="U193" s="30">
        <f t="shared" si="2"/>
        <v>30</v>
      </c>
    </row>
    <row r="194" spans="1:21" ht="29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3">
        <v>42109.801712962959</v>
      </c>
      <c r="T194" s="13">
        <v>42139.801712962959</v>
      </c>
      <c r="U194" s="30">
        <f t="shared" si="2"/>
        <v>30</v>
      </c>
    </row>
    <row r="195" spans="1:21" ht="29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3">
        <v>41809.389930555553</v>
      </c>
      <c r="T195" s="13">
        <v>41839.389930555553</v>
      </c>
      <c r="U195" s="30">
        <f t="shared" ref="U195:U251" si="3">T195-S195</f>
        <v>30</v>
      </c>
    </row>
    <row r="196" spans="1:21" ht="29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3">
        <v>41848.772928240738</v>
      </c>
      <c r="T196" s="13">
        <v>41877.686111111114</v>
      </c>
      <c r="U196" s="30">
        <f t="shared" si="3"/>
        <v>28.913182870375749</v>
      </c>
    </row>
    <row r="197" spans="1:21" ht="29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3">
        <v>42510.938900462963</v>
      </c>
      <c r="T197" s="13">
        <v>42540.938900462963</v>
      </c>
      <c r="U197" s="30">
        <f t="shared" si="3"/>
        <v>30</v>
      </c>
    </row>
    <row r="198" spans="1:21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3">
        <v>42095.229166666672</v>
      </c>
      <c r="T198" s="13">
        <v>42109.211111111115</v>
      </c>
      <c r="U198" s="30">
        <f t="shared" si="3"/>
        <v>13.981944444443798</v>
      </c>
    </row>
    <row r="199" spans="1:21" ht="29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3">
        <v>42107.864722222221</v>
      </c>
      <c r="T199" s="13">
        <v>42137.864722222221</v>
      </c>
      <c r="U199" s="30">
        <f t="shared" si="3"/>
        <v>30</v>
      </c>
    </row>
    <row r="200" spans="1:21" ht="29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3">
        <v>42307.189270833333</v>
      </c>
      <c r="T200" s="13">
        <v>42322.958333333328</v>
      </c>
      <c r="U200" s="30">
        <f t="shared" si="3"/>
        <v>15.769062499995925</v>
      </c>
    </row>
    <row r="201" spans="1:21" ht="29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3">
        <v>42358.573182870372</v>
      </c>
      <c r="T201" s="13">
        <v>42377.273611111115</v>
      </c>
      <c r="U201" s="30">
        <f t="shared" si="3"/>
        <v>18.700428240743349</v>
      </c>
    </row>
    <row r="202" spans="1:21" ht="29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3">
        <v>42444.877743055549</v>
      </c>
      <c r="T202" s="13">
        <v>42504.877743055549</v>
      </c>
      <c r="U202" s="30">
        <f t="shared" si="3"/>
        <v>60</v>
      </c>
    </row>
    <row r="203" spans="1:21" ht="29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3">
        <v>41828.922905092593</v>
      </c>
      <c r="T203" s="13">
        <v>41888.922905092593</v>
      </c>
      <c r="U203" s="30">
        <f t="shared" si="3"/>
        <v>60</v>
      </c>
    </row>
    <row r="204" spans="1:21" ht="29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3">
        <v>42391.772997685184</v>
      </c>
      <c r="T204" s="13">
        <v>42416.772997685184</v>
      </c>
      <c r="U204" s="30">
        <f t="shared" si="3"/>
        <v>25</v>
      </c>
    </row>
    <row r="205" spans="1:21" ht="29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3">
        <v>42041.743090277778</v>
      </c>
      <c r="T205" s="13">
        <v>42071.701423611114</v>
      </c>
      <c r="U205" s="30">
        <f t="shared" si="3"/>
        <v>29.958333333335759</v>
      </c>
    </row>
    <row r="206" spans="1:21" ht="29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3">
        <v>41789.893599537041</v>
      </c>
      <c r="T206" s="13">
        <v>41815.875</v>
      </c>
      <c r="U206" s="30">
        <f t="shared" si="3"/>
        <v>25.981400462958845</v>
      </c>
    </row>
    <row r="207" spans="1:21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3">
        <v>42611.261064814811</v>
      </c>
      <c r="T207" s="13">
        <v>42625.707638888889</v>
      </c>
      <c r="U207" s="30">
        <f t="shared" si="3"/>
        <v>14.446574074077944</v>
      </c>
    </row>
    <row r="208" spans="1:21" ht="29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3">
        <v>42059.270023148143</v>
      </c>
      <c r="T208" s="13">
        <v>42119.190972222219</v>
      </c>
      <c r="U208" s="30">
        <f t="shared" si="3"/>
        <v>59.920949074075907</v>
      </c>
    </row>
    <row r="209" spans="1:21" ht="29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3">
        <v>42415.168564814812</v>
      </c>
      <c r="T209" s="13">
        <v>42445.126898148148</v>
      </c>
      <c r="U209" s="30">
        <f t="shared" si="3"/>
        <v>29.958333333335759</v>
      </c>
    </row>
    <row r="210" spans="1:21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3">
        <v>41890.16269675926</v>
      </c>
      <c r="T210" s="13">
        <v>41920.16269675926</v>
      </c>
      <c r="U210" s="30">
        <f t="shared" si="3"/>
        <v>30</v>
      </c>
    </row>
    <row r="211" spans="1:21" ht="29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3">
        <v>42174.780821759254</v>
      </c>
      <c r="T211" s="13">
        <v>42204.780821759254</v>
      </c>
      <c r="U211" s="30">
        <f t="shared" si="3"/>
        <v>30</v>
      </c>
    </row>
    <row r="212" spans="1:21" ht="29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3">
        <v>41905.636469907404</v>
      </c>
      <c r="T212" s="13">
        <v>41935.636469907404</v>
      </c>
      <c r="U212" s="30">
        <f t="shared" si="3"/>
        <v>30</v>
      </c>
    </row>
    <row r="213" spans="1:21" ht="29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3">
        <v>42492.737847222219</v>
      </c>
      <c r="T213" s="13">
        <v>42534.166666666672</v>
      </c>
      <c r="U213" s="30">
        <f t="shared" si="3"/>
        <v>41.428819444452529</v>
      </c>
    </row>
    <row r="214" spans="1:21" ht="29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3">
        <v>42108.692060185189</v>
      </c>
      <c r="T214" s="13">
        <v>42153.692060185189</v>
      </c>
      <c r="U214" s="30">
        <f t="shared" si="3"/>
        <v>45</v>
      </c>
    </row>
    <row r="215" spans="1:21" ht="29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3">
        <v>42453.806307870371</v>
      </c>
      <c r="T215" s="13">
        <v>42513.806307870371</v>
      </c>
      <c r="U215" s="30">
        <f t="shared" si="3"/>
        <v>60</v>
      </c>
    </row>
    <row r="216" spans="1:21" ht="29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3">
        <v>41950.114108796297</v>
      </c>
      <c r="T216" s="13">
        <v>42010.114108796297</v>
      </c>
      <c r="U216" s="30">
        <f t="shared" si="3"/>
        <v>60</v>
      </c>
    </row>
    <row r="217" spans="1:21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3">
        <v>42115.11618055556</v>
      </c>
      <c r="T217" s="13">
        <v>42175.11618055556</v>
      </c>
      <c r="U217" s="30">
        <f t="shared" si="3"/>
        <v>60</v>
      </c>
    </row>
    <row r="218" spans="1:21" ht="29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3">
        <v>42171.743969907402</v>
      </c>
      <c r="T218" s="13">
        <v>42201.743969907402</v>
      </c>
      <c r="U218" s="30">
        <f t="shared" si="3"/>
        <v>30</v>
      </c>
    </row>
    <row r="219" spans="1:21" ht="29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3">
        <v>41916.597638888888</v>
      </c>
      <c r="T219" s="13">
        <v>41976.639305555553</v>
      </c>
      <c r="U219" s="30">
        <f t="shared" si="3"/>
        <v>60.041666666664241</v>
      </c>
    </row>
    <row r="220" spans="1:21" ht="29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3">
        <v>41922.535185185188</v>
      </c>
      <c r="T220" s="13">
        <v>41930.207638888889</v>
      </c>
      <c r="U220" s="30">
        <f t="shared" si="3"/>
        <v>7.6724537037007394</v>
      </c>
    </row>
    <row r="221" spans="1:21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3">
        <v>42037.986284722225</v>
      </c>
      <c r="T221" s="13">
        <v>42097.944618055553</v>
      </c>
      <c r="U221" s="30">
        <f t="shared" si="3"/>
        <v>59.958333333328483</v>
      </c>
    </row>
    <row r="222" spans="1:21" ht="29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3">
        <v>42515.078217592592</v>
      </c>
      <c r="T222" s="13">
        <v>42575.078217592592</v>
      </c>
      <c r="U222" s="30">
        <f t="shared" si="3"/>
        <v>60</v>
      </c>
    </row>
    <row r="223" spans="1:21" ht="29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3">
        <v>42103.024398148147</v>
      </c>
      <c r="T223" s="13">
        <v>42112.9375</v>
      </c>
      <c r="U223" s="30">
        <f t="shared" si="3"/>
        <v>9.9131018518528435</v>
      </c>
    </row>
    <row r="224" spans="1:21" ht="29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3">
        <v>42325.920717592591</v>
      </c>
      <c r="T224" s="13">
        <v>42355.920717592591</v>
      </c>
      <c r="U224" s="30">
        <f t="shared" si="3"/>
        <v>30</v>
      </c>
    </row>
    <row r="225" spans="1:21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3">
        <v>41793.710231481484</v>
      </c>
      <c r="T225" s="13">
        <v>41823.710231481484</v>
      </c>
      <c r="U225" s="30">
        <f t="shared" si="3"/>
        <v>30</v>
      </c>
    </row>
    <row r="226" spans="1:21" ht="29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3">
        <v>41793.814259259263</v>
      </c>
      <c r="T226" s="13">
        <v>41825.165972222225</v>
      </c>
      <c r="U226" s="30">
        <f t="shared" si="3"/>
        <v>31.351712962961756</v>
      </c>
    </row>
    <row r="227" spans="1:21" ht="29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3">
        <v>42253.633159722223</v>
      </c>
      <c r="T227" s="13">
        <v>42313.674826388888</v>
      </c>
      <c r="U227" s="30">
        <f t="shared" si="3"/>
        <v>60.041666666664241</v>
      </c>
    </row>
    <row r="228" spans="1:21" ht="29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3">
        <v>41867.652280092596</v>
      </c>
      <c r="T228" s="13">
        <v>41875.291666666664</v>
      </c>
      <c r="U228" s="30">
        <f t="shared" si="3"/>
        <v>7.6393865740683395</v>
      </c>
    </row>
    <row r="229" spans="1:21" ht="29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3">
        <v>42186.01116898148</v>
      </c>
      <c r="T229" s="13">
        <v>42230.818055555559</v>
      </c>
      <c r="U229" s="30">
        <f t="shared" si="3"/>
        <v>44.806886574078817</v>
      </c>
    </row>
    <row r="230" spans="1:21" ht="29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3">
        <v>42228.151701388888</v>
      </c>
      <c r="T230" s="13">
        <v>42253.151701388888</v>
      </c>
      <c r="U230" s="30">
        <f t="shared" si="3"/>
        <v>25</v>
      </c>
    </row>
    <row r="231" spans="1:21" ht="29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3">
        <v>42675.262962962966</v>
      </c>
      <c r="T231" s="13">
        <v>42705.304629629631</v>
      </c>
      <c r="U231" s="30">
        <f t="shared" si="3"/>
        <v>30.041666666664241</v>
      </c>
    </row>
    <row r="232" spans="1:21" ht="29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3">
        <v>42111.904097222221</v>
      </c>
      <c r="T232" s="13">
        <v>42171.904097222221</v>
      </c>
      <c r="U232" s="30">
        <f t="shared" si="3"/>
        <v>60</v>
      </c>
    </row>
    <row r="233" spans="1:21" ht="29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3">
        <v>42213.662905092591</v>
      </c>
      <c r="T233" s="13">
        <v>42243.662905092591</v>
      </c>
      <c r="U233" s="30">
        <f t="shared" si="3"/>
        <v>30</v>
      </c>
    </row>
    <row r="234" spans="1:21" ht="29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3">
        <v>42550.048449074078</v>
      </c>
      <c r="T234" s="13">
        <v>42580.978472222225</v>
      </c>
      <c r="U234" s="30">
        <f t="shared" si="3"/>
        <v>30.930023148146574</v>
      </c>
    </row>
    <row r="235" spans="1:21" ht="29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3">
        <v>42457.932025462964</v>
      </c>
      <c r="T235" s="13">
        <v>42485.013888888891</v>
      </c>
      <c r="U235" s="30">
        <f t="shared" si="3"/>
        <v>27.081863425926713</v>
      </c>
    </row>
    <row r="236" spans="1:21" ht="29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3">
        <v>42534.866875</v>
      </c>
      <c r="T236" s="13">
        <v>42564.866875</v>
      </c>
      <c r="U236" s="30">
        <f t="shared" si="3"/>
        <v>30</v>
      </c>
    </row>
    <row r="237" spans="1:21" ht="29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3">
        <v>42286.749780092592</v>
      </c>
      <c r="T237" s="13">
        <v>42316.791446759264</v>
      </c>
      <c r="U237" s="30">
        <f t="shared" si="3"/>
        <v>30.041666666671517</v>
      </c>
    </row>
    <row r="238" spans="1:21" ht="29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3">
        <v>42419.246168981481</v>
      </c>
      <c r="T238" s="13">
        <v>42434.246168981481</v>
      </c>
      <c r="U238" s="30">
        <f t="shared" si="3"/>
        <v>15</v>
      </c>
    </row>
    <row r="239" spans="1:21" ht="29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3">
        <v>42408.999571759254</v>
      </c>
      <c r="T239" s="13">
        <v>42453.957905092597</v>
      </c>
      <c r="U239" s="30">
        <f t="shared" si="3"/>
        <v>44.958333333343035</v>
      </c>
    </row>
    <row r="240" spans="1:21" ht="29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3">
        <v>42282.655543981484</v>
      </c>
      <c r="T240" s="13">
        <v>42342.697210648148</v>
      </c>
      <c r="U240" s="30">
        <f t="shared" si="3"/>
        <v>60.041666666664241</v>
      </c>
    </row>
    <row r="241" spans="1:21" ht="29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3">
        <v>42322.025115740747</v>
      </c>
      <c r="T241" s="13">
        <v>42352.025115740747</v>
      </c>
      <c r="U241" s="30">
        <f t="shared" si="3"/>
        <v>30</v>
      </c>
    </row>
    <row r="242" spans="1:21" ht="29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3">
        <v>41941.585231481484</v>
      </c>
      <c r="T242" s="13">
        <v>41991.626898148148</v>
      </c>
      <c r="U242" s="30">
        <f t="shared" si="3"/>
        <v>50.041666666664241</v>
      </c>
    </row>
    <row r="243" spans="1:21" ht="29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3">
        <v>41761.810150462967</v>
      </c>
      <c r="T243" s="13">
        <v>41768.286805555559</v>
      </c>
      <c r="U243" s="30">
        <f t="shared" si="3"/>
        <v>6.4766550925924093</v>
      </c>
    </row>
    <row r="244" spans="1:21" ht="29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3">
        <v>42613.841261574074</v>
      </c>
      <c r="T244" s="13">
        <v>42644.166666666672</v>
      </c>
      <c r="U244" s="30">
        <f t="shared" si="3"/>
        <v>30.325405092597066</v>
      </c>
    </row>
    <row r="245" spans="1:21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3">
        <v>42421.141469907408</v>
      </c>
      <c r="T245" s="13">
        <v>42481.099803240737</v>
      </c>
      <c r="U245" s="30">
        <f t="shared" si="3"/>
        <v>59.958333333328483</v>
      </c>
    </row>
    <row r="246" spans="1:21" ht="29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3">
        <v>41905.795706018522</v>
      </c>
      <c r="T246" s="13">
        <v>41933.82708333333</v>
      </c>
      <c r="U246" s="30">
        <f t="shared" si="3"/>
        <v>28.031377314808196</v>
      </c>
    </row>
    <row r="247" spans="1:21" ht="29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3">
        <v>42511.698101851856</v>
      </c>
      <c r="T247" s="13">
        <v>42535.787500000006</v>
      </c>
      <c r="U247" s="30">
        <f t="shared" si="3"/>
        <v>24.089398148149485</v>
      </c>
    </row>
    <row r="248" spans="1:21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3">
        <v>42538.742893518516</v>
      </c>
      <c r="T248" s="13">
        <v>42568.742893518516</v>
      </c>
      <c r="U248" s="30">
        <f t="shared" si="3"/>
        <v>30</v>
      </c>
    </row>
    <row r="249" spans="1:21" ht="29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3">
        <v>42495.722187499996</v>
      </c>
      <c r="T249" s="13">
        <v>42525.722187499996</v>
      </c>
      <c r="U249" s="30">
        <f t="shared" si="3"/>
        <v>30</v>
      </c>
    </row>
    <row r="250" spans="1:21" ht="29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3">
        <v>41927.124884259261</v>
      </c>
      <c r="T250" s="13">
        <v>41937.124884259261</v>
      </c>
      <c r="U250" s="30">
        <f t="shared" si="3"/>
        <v>10</v>
      </c>
    </row>
    <row r="251" spans="1:21" ht="29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3">
        <v>42730.903726851851</v>
      </c>
      <c r="T251" s="13">
        <v>42760.903726851851</v>
      </c>
      <c r="U251" s="30">
        <f t="shared" si="3"/>
        <v>30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525DE-79B5-411A-B017-294C560480B9}">
  <dimension ref="A1:C14"/>
  <sheetViews>
    <sheetView workbookViewId="0"/>
  </sheetViews>
  <sheetFormatPr defaultRowHeight="14.5" x14ac:dyDescent="0.35"/>
  <cols>
    <col min="1" max="1" width="23.90625" bestFit="1" customWidth="1"/>
    <col min="2" max="2" width="9.36328125" style="19" bestFit="1" customWidth="1"/>
    <col min="3" max="3" width="7.26953125" style="19" bestFit="1" customWidth="1"/>
    <col min="4" max="4" width="29.81640625" bestFit="1" customWidth="1"/>
  </cols>
  <sheetData>
    <row r="1" spans="1:3" s="15" customFormat="1" x14ac:dyDescent="0.35">
      <c r="A1" s="20" t="s">
        <v>8390</v>
      </c>
      <c r="B1" s="21" t="s">
        <v>8388</v>
      </c>
      <c r="C1" s="22" t="s">
        <v>8389</v>
      </c>
    </row>
    <row r="2" spans="1:3" x14ac:dyDescent="0.35">
      <c r="A2" s="23" t="s">
        <v>8384</v>
      </c>
      <c r="B2" s="25">
        <f>AVERAGE('Successful US Kickstarters'!D:D)</f>
        <v>5048.8786407766993</v>
      </c>
      <c r="C2" s="26">
        <f>AVERAGE('Failed US Kickstarters'!D:D)</f>
        <v>10554.212</v>
      </c>
    </row>
    <row r="3" spans="1:3" x14ac:dyDescent="0.35">
      <c r="A3" s="23" t="s">
        <v>8385</v>
      </c>
      <c r="B3" s="25">
        <f>MEDIAN('Successful US Kickstarters'!D:D)</f>
        <v>3000</v>
      </c>
      <c r="C3" s="26">
        <f>MEDIAN('Failed US Kickstarters'!D:D)</f>
        <v>5000</v>
      </c>
    </row>
    <row r="4" spans="1:3" x14ac:dyDescent="0.35">
      <c r="A4" s="23" t="s">
        <v>8391</v>
      </c>
      <c r="B4" s="25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5">
      <c r="A5" s="23" t="s">
        <v>8393</v>
      </c>
      <c r="B5" s="25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35">
      <c r="A6" s="23" t="s">
        <v>8392</v>
      </c>
      <c r="B6" s="25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35">
      <c r="A7" s="23" t="s">
        <v>8394</v>
      </c>
      <c r="B7" s="25">
        <f>B5-B6</f>
        <v>3500</v>
      </c>
      <c r="C7" s="26">
        <f>C5-C6</f>
        <v>8000</v>
      </c>
    </row>
    <row r="8" spans="1:3" x14ac:dyDescent="0.35">
      <c r="A8" s="23"/>
      <c r="B8" s="25"/>
      <c r="C8" s="26"/>
    </row>
    <row r="9" spans="1:3" x14ac:dyDescent="0.35">
      <c r="A9" s="23" t="s">
        <v>8386</v>
      </c>
      <c r="B9" s="25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5">
      <c r="A10" s="23" t="s">
        <v>8387</v>
      </c>
      <c r="B10" s="25">
        <f>MEDIAN('Successful US Kickstarters'!E:E)</f>
        <v>3167.5</v>
      </c>
      <c r="C10" s="26">
        <f>MEDIAN('Failed US Kickstarters'!E:E)</f>
        <v>103</v>
      </c>
    </row>
    <row r="11" spans="1:3" x14ac:dyDescent="0.35">
      <c r="A11" s="23" t="s">
        <v>8391</v>
      </c>
      <c r="B11" s="25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5">
      <c r="A12" s="23" t="s">
        <v>8393</v>
      </c>
      <c r="B12" s="25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35">
      <c r="A13" s="23" t="s">
        <v>8392</v>
      </c>
      <c r="B13" s="25">
        <f>_xlfn.QUARTILE.EXC('Successful US Kickstarters'!E:E,1)</f>
        <v>1716.5074999999999</v>
      </c>
      <c r="C13" s="26">
        <f>_xlfn.QUARTILE.EXC('Failed US Kickstarters'!E:E,1)</f>
        <v>9.25</v>
      </c>
    </row>
    <row r="14" spans="1:3" ht="15" thickBot="1" x14ac:dyDescent="0.4">
      <c r="A14" s="24" t="s">
        <v>8394</v>
      </c>
      <c r="B14" s="27">
        <f>B12-B13</f>
        <v>3982.4925000000003</v>
      </c>
      <c r="C14" s="28">
        <f>C12-C13</f>
        <v>491.75</v>
      </c>
    </row>
  </sheetData>
  <pageMargins left="0.7" right="0.7" top="0.75" bottom="0.75" header="0.3" footer="0.3"/>
  <pageSetup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3737-1658-4897-BF87-30750A41E64E}">
  <dimension ref="A1:F6"/>
  <sheetViews>
    <sheetView workbookViewId="0">
      <selection activeCell="A2" sqref="A2"/>
    </sheetView>
  </sheetViews>
  <sheetFormatPr defaultRowHeight="14.5" x14ac:dyDescent="0.35"/>
  <cols>
    <col min="1" max="1" width="27.453125" bestFit="1" customWidth="1"/>
    <col min="2" max="2" width="47.90625" style="3" customWidth="1"/>
    <col min="3" max="3" width="4.81640625" bestFit="1" customWidth="1"/>
    <col min="4" max="4" width="7.36328125" bestFit="1" customWidth="1"/>
    <col min="5" max="5" width="12" bestFit="1" customWidth="1"/>
    <col min="6" max="6" width="10.81640625" bestFit="1" customWidth="1"/>
  </cols>
  <sheetData>
    <row r="1" spans="1:6" s="15" customFormat="1" x14ac:dyDescent="0.35">
      <c r="A1" s="15" t="s">
        <v>8379</v>
      </c>
      <c r="B1" s="18" t="s">
        <v>4110</v>
      </c>
      <c r="C1" s="15" t="s">
        <v>8380</v>
      </c>
      <c r="D1" s="15" t="s">
        <v>8381</v>
      </c>
      <c r="E1" s="15" t="s">
        <v>8382</v>
      </c>
      <c r="F1" s="15" t="s">
        <v>8383</v>
      </c>
    </row>
    <row r="2" spans="1:6" ht="43.5" x14ac:dyDescent="0.35">
      <c r="A2" s="17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s="17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5" x14ac:dyDescent="0.35">
      <c r="A4" s="17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9" x14ac:dyDescent="0.35">
      <c r="A5" s="17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5" x14ac:dyDescent="0.35">
      <c r="A6" s="17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5630B-A8F4-44E8-A002-E5834BE641BA}">
  <dimension ref="A1:E11"/>
  <sheetViews>
    <sheetView zoomScale="80" zoomScaleNormal="80" workbookViewId="0">
      <selection activeCell="A5" sqref="A5:A10"/>
      <pivotSelection pane="bottomRight" showHeader="1" activeRow="4" click="1" r:id="rId1">
        <pivotArea dataOnly="0" labelOnly="1" fieldPosition="0">
          <references count="1">
            <reference field="13" count="0"/>
          </references>
        </pivotArea>
      </pivotSelection>
    </sheetView>
  </sheetViews>
  <sheetFormatPr defaultRowHeight="14.5" x14ac:dyDescent="0.35"/>
  <cols>
    <col min="1" max="1" width="26.26953125" bestFit="1" customWidth="1"/>
    <col min="2" max="2" width="16.453125" bestFit="1" customWidth="1"/>
    <col min="3" max="3" width="5.81640625" bestFit="1" customWidth="1"/>
    <col min="4" max="4" width="9.6328125" bestFit="1" customWidth="1"/>
    <col min="5" max="5" width="11" bestFit="1" customWidth="1"/>
    <col min="6" max="6" width="10.7265625" bestFit="1" customWidth="1"/>
  </cols>
  <sheetData>
    <row r="1" spans="1:5" x14ac:dyDescent="0.35">
      <c r="A1" s="10" t="s">
        <v>8222</v>
      </c>
      <c r="B1" t="s">
        <v>8223</v>
      </c>
    </row>
    <row r="3" spans="1:5" x14ac:dyDescent="0.35">
      <c r="A3" s="10" t="s">
        <v>8363</v>
      </c>
      <c r="B3" s="10" t="s">
        <v>8362</v>
      </c>
    </row>
    <row r="4" spans="1:5" x14ac:dyDescent="0.35">
      <c r="A4" s="10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1" t="s">
        <v>8292</v>
      </c>
      <c r="B5" s="9"/>
      <c r="C5" s="9">
        <v>13</v>
      </c>
      <c r="D5" s="9"/>
      <c r="E5" s="9">
        <v>13</v>
      </c>
    </row>
    <row r="6" spans="1:5" x14ac:dyDescent="0.35">
      <c r="A6" s="11" t="s">
        <v>8293</v>
      </c>
      <c r="B6" s="9"/>
      <c r="C6" s="9"/>
      <c r="D6" s="9">
        <v>103</v>
      </c>
      <c r="E6" s="9">
        <v>103</v>
      </c>
    </row>
    <row r="7" spans="1:5" x14ac:dyDescent="0.35">
      <c r="A7" s="11" t="s">
        <v>8300</v>
      </c>
      <c r="B7" s="9"/>
      <c r="C7" s="9">
        <v>7</v>
      </c>
      <c r="D7" s="9">
        <v>7</v>
      </c>
      <c r="E7" s="9">
        <v>14</v>
      </c>
    </row>
    <row r="8" spans="1:5" x14ac:dyDescent="0.35">
      <c r="A8" s="11" t="s">
        <v>8299</v>
      </c>
      <c r="B8" s="9">
        <v>15</v>
      </c>
      <c r="C8" s="9">
        <v>1</v>
      </c>
      <c r="D8" s="9">
        <v>31</v>
      </c>
      <c r="E8" s="9">
        <v>47</v>
      </c>
    </row>
    <row r="9" spans="1:5" x14ac:dyDescent="0.35">
      <c r="A9" s="11" t="s">
        <v>8271</v>
      </c>
      <c r="B9" s="9">
        <v>47</v>
      </c>
      <c r="C9" s="9">
        <v>81</v>
      </c>
      <c r="D9" s="9">
        <v>17</v>
      </c>
      <c r="E9" s="9">
        <v>145</v>
      </c>
    </row>
    <row r="10" spans="1:5" x14ac:dyDescent="0.35">
      <c r="A10" s="11" t="s">
        <v>8270</v>
      </c>
      <c r="B10" s="9">
        <v>59</v>
      </c>
      <c r="C10" s="9">
        <v>36</v>
      </c>
      <c r="D10" s="9"/>
      <c r="E10" s="9">
        <v>95</v>
      </c>
    </row>
    <row r="11" spans="1:5" x14ac:dyDescent="0.35">
      <c r="A11" s="11" t="s">
        <v>8361</v>
      </c>
      <c r="B11" s="9">
        <v>121</v>
      </c>
      <c r="C11" s="9">
        <v>138</v>
      </c>
      <c r="D11" s="9">
        <v>158</v>
      </c>
      <c r="E11" s="9">
        <v>417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F493-1DB1-4515-915F-115415A7DC82}">
  <dimension ref="A1:F47"/>
  <sheetViews>
    <sheetView workbookViewId="0">
      <selection activeCell="A7" sqref="A7"/>
    </sheetView>
  </sheetViews>
  <sheetFormatPr defaultRowHeight="14.5" x14ac:dyDescent="0.35"/>
  <cols>
    <col min="1" max="1" width="22.7265625" bestFit="1" customWidth="1"/>
    <col min="2" max="5" width="11.3632812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2" spans="1:6" x14ac:dyDescent="0.35">
      <c r="A2" s="10" t="s">
        <v>8305</v>
      </c>
      <c r="B2" t="s">
        <v>8364</v>
      </c>
    </row>
    <row r="4" spans="1:6" x14ac:dyDescent="0.35">
      <c r="A4" s="10" t="s">
        <v>8363</v>
      </c>
      <c r="B4" s="10" t="s">
        <v>8304</v>
      </c>
    </row>
    <row r="5" spans="1:6" x14ac:dyDescent="0.35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t="s">
        <v>8339</v>
      </c>
      <c r="B6" s="9"/>
      <c r="C6" s="9">
        <v>100</v>
      </c>
      <c r="D6" s="9"/>
      <c r="E6" s="9"/>
      <c r="F6" s="9">
        <v>100</v>
      </c>
    </row>
    <row r="7" spans="1:6" x14ac:dyDescent="0.35">
      <c r="A7" t="s">
        <v>8349</v>
      </c>
      <c r="B7" s="9">
        <v>20</v>
      </c>
      <c r="C7" s="9"/>
      <c r="D7" s="9"/>
      <c r="E7" s="9"/>
      <c r="F7" s="9">
        <v>20</v>
      </c>
    </row>
    <row r="8" spans="1:6" x14ac:dyDescent="0.35">
      <c r="A8" t="s">
        <v>8347</v>
      </c>
      <c r="B8" s="9">
        <v>24</v>
      </c>
      <c r="C8" s="9"/>
      <c r="D8" s="9"/>
      <c r="E8" s="9"/>
      <c r="F8" s="9">
        <v>24</v>
      </c>
    </row>
    <row r="9" spans="1:6" x14ac:dyDescent="0.35">
      <c r="A9" t="s">
        <v>8356</v>
      </c>
      <c r="B9" s="9"/>
      <c r="C9" s="9">
        <v>40</v>
      </c>
      <c r="D9" s="9"/>
      <c r="E9" s="9"/>
      <c r="F9" s="9">
        <v>40</v>
      </c>
    </row>
    <row r="10" spans="1:6" x14ac:dyDescent="0.35">
      <c r="A10" t="s">
        <v>8341</v>
      </c>
      <c r="B10" s="9"/>
      <c r="C10" s="9"/>
      <c r="D10" s="9"/>
      <c r="E10" s="9">
        <v>40</v>
      </c>
      <c r="F10" s="9">
        <v>40</v>
      </c>
    </row>
    <row r="11" spans="1:6" x14ac:dyDescent="0.35">
      <c r="A11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35">
      <c r="A12" t="s">
        <v>8325</v>
      </c>
      <c r="B12" s="9"/>
      <c r="C12" s="9">
        <v>80</v>
      </c>
      <c r="D12" s="9"/>
      <c r="E12" s="9"/>
      <c r="F12" s="9">
        <v>80</v>
      </c>
    </row>
    <row r="13" spans="1:6" x14ac:dyDescent="0.35">
      <c r="A13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t="s">
        <v>8352</v>
      </c>
      <c r="B15" s="9"/>
      <c r="C15" s="9">
        <v>40</v>
      </c>
      <c r="D15" s="9"/>
      <c r="E15" s="9"/>
      <c r="F15" s="9">
        <v>40</v>
      </c>
    </row>
    <row r="16" spans="1:6" x14ac:dyDescent="0.35">
      <c r="A16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t="s">
        <v>8318</v>
      </c>
      <c r="B17" s="9"/>
      <c r="C17" s="9">
        <v>20</v>
      </c>
      <c r="D17" s="9"/>
      <c r="E17" s="9"/>
      <c r="F17" s="9">
        <v>20</v>
      </c>
    </row>
    <row r="18" spans="1:6" x14ac:dyDescent="0.35">
      <c r="A18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t="s">
        <v>8350</v>
      </c>
      <c r="B20" s="9"/>
      <c r="C20" s="9">
        <v>60</v>
      </c>
      <c r="D20" s="9"/>
      <c r="E20" s="9"/>
      <c r="F20" s="9">
        <v>60</v>
      </c>
    </row>
    <row r="21" spans="1:6" x14ac:dyDescent="0.35">
      <c r="A21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t="s">
        <v>8336</v>
      </c>
      <c r="B22" s="9"/>
      <c r="C22" s="9"/>
      <c r="D22" s="9"/>
      <c r="E22" s="9">
        <v>20</v>
      </c>
      <c r="F22" s="9">
        <v>20</v>
      </c>
    </row>
    <row r="23" spans="1:6" x14ac:dyDescent="0.35">
      <c r="A23" t="s">
        <v>8344</v>
      </c>
      <c r="B23" s="9"/>
      <c r="C23" s="9">
        <v>40</v>
      </c>
      <c r="D23" s="9"/>
      <c r="E23" s="9"/>
      <c r="F23" s="9">
        <v>40</v>
      </c>
    </row>
    <row r="24" spans="1:6" x14ac:dyDescent="0.35">
      <c r="A24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t="s">
        <v>8355</v>
      </c>
      <c r="B25" s="9"/>
      <c r="C25" s="9">
        <v>20</v>
      </c>
      <c r="D25" s="9"/>
      <c r="E25" s="9"/>
      <c r="F25" s="9">
        <v>20</v>
      </c>
    </row>
    <row r="26" spans="1:6" x14ac:dyDescent="0.35">
      <c r="A26" t="s">
        <v>8333</v>
      </c>
      <c r="B26" s="9"/>
      <c r="C26" s="9"/>
      <c r="D26" s="9"/>
      <c r="E26" s="9">
        <v>60</v>
      </c>
      <c r="F26" s="9">
        <v>60</v>
      </c>
    </row>
    <row r="27" spans="1:6" x14ac:dyDescent="0.35">
      <c r="A27" t="s">
        <v>8353</v>
      </c>
      <c r="B27" s="9"/>
      <c r="C27" s="9">
        <v>20</v>
      </c>
      <c r="D27" s="9"/>
      <c r="E27" s="9"/>
      <c r="F27" s="9">
        <v>20</v>
      </c>
    </row>
    <row r="28" spans="1:6" x14ac:dyDescent="0.35">
      <c r="A28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t="s">
        <v>8351</v>
      </c>
      <c r="B29" s="9"/>
      <c r="C29" s="9">
        <v>20</v>
      </c>
      <c r="D29" s="9"/>
      <c r="E29" s="9"/>
      <c r="F29" s="9">
        <v>20</v>
      </c>
    </row>
    <row r="30" spans="1:6" x14ac:dyDescent="0.35">
      <c r="A30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t="s">
        <v>8338</v>
      </c>
      <c r="B31" s="9"/>
      <c r="C31" s="9"/>
      <c r="D31" s="9"/>
      <c r="E31" s="9">
        <v>40</v>
      </c>
      <c r="F31" s="9">
        <v>40</v>
      </c>
    </row>
    <row r="32" spans="1:6" x14ac:dyDescent="0.35">
      <c r="A32" t="s">
        <v>8312</v>
      </c>
      <c r="B32" s="9"/>
      <c r="C32" s="9"/>
      <c r="D32" s="9"/>
      <c r="E32" s="9">
        <v>20</v>
      </c>
      <c r="F32" s="9">
        <v>20</v>
      </c>
    </row>
    <row r="33" spans="1:6" x14ac:dyDescent="0.35">
      <c r="A33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5">
      <c r="A34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35">
      <c r="A35" t="s">
        <v>8337</v>
      </c>
      <c r="B35" s="9">
        <v>40</v>
      </c>
      <c r="C35" s="9"/>
      <c r="D35" s="9"/>
      <c r="E35" s="9"/>
      <c r="F35" s="9">
        <v>40</v>
      </c>
    </row>
    <row r="36" spans="1:6" x14ac:dyDescent="0.35">
      <c r="A36" t="s">
        <v>8343</v>
      </c>
      <c r="B36" s="9"/>
      <c r="C36" s="9"/>
      <c r="D36" s="9"/>
      <c r="E36" s="9">
        <v>60</v>
      </c>
      <c r="F36" s="9">
        <v>60</v>
      </c>
    </row>
    <row r="37" spans="1:6" x14ac:dyDescent="0.35">
      <c r="A37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t="s">
        <v>8317</v>
      </c>
      <c r="B40" s="9"/>
      <c r="C40" s="9"/>
      <c r="D40" s="9"/>
      <c r="E40" s="9">
        <v>80</v>
      </c>
      <c r="F40" s="9">
        <v>80</v>
      </c>
    </row>
    <row r="41" spans="1:6" x14ac:dyDescent="0.35">
      <c r="A41" t="s">
        <v>8332</v>
      </c>
      <c r="B41" s="9"/>
      <c r="C41" s="9"/>
      <c r="D41" s="9"/>
      <c r="E41" s="9">
        <v>60</v>
      </c>
      <c r="F41" s="9">
        <v>60</v>
      </c>
    </row>
    <row r="42" spans="1:6" x14ac:dyDescent="0.35">
      <c r="A42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t="s">
        <v>8354</v>
      </c>
      <c r="B46" s="9">
        <v>20</v>
      </c>
      <c r="C46" s="9"/>
      <c r="D46" s="9"/>
      <c r="E46" s="9"/>
      <c r="F46" s="9">
        <v>20</v>
      </c>
    </row>
    <row r="47" spans="1:6" x14ac:dyDescent="0.35">
      <c r="A47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7A60D-DDD2-4CA6-B890-39DAB66938E3}">
  <dimension ref="A2:F18"/>
  <sheetViews>
    <sheetView workbookViewId="0">
      <selection activeCell="D9" sqref="D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2" spans="1:6" x14ac:dyDescent="0.35">
      <c r="A2" s="10" t="s">
        <v>8358</v>
      </c>
      <c r="B2" t="s">
        <v>8323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6E131-685F-4506-B46D-2D32D14E36B0}">
  <dimension ref="A3:F14"/>
  <sheetViews>
    <sheetView workbookViewId="0">
      <selection activeCell="B20" sqref="B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8418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35">
      <c r="A6" s="11" t="s">
        <v>8419</v>
      </c>
      <c r="B6" s="9">
        <v>1</v>
      </c>
      <c r="C6" s="9">
        <v>15</v>
      </c>
      <c r="D6" s="9"/>
      <c r="E6" s="9">
        <v>49</v>
      </c>
      <c r="F6" s="9">
        <v>65</v>
      </c>
    </row>
    <row r="7" spans="1:6" x14ac:dyDescent="0.35">
      <c r="A7" s="11" t="s">
        <v>8420</v>
      </c>
      <c r="B7" s="9">
        <v>7</v>
      </c>
      <c r="C7" s="9">
        <v>28</v>
      </c>
      <c r="D7" s="9"/>
      <c r="E7" s="9">
        <v>136</v>
      </c>
      <c r="F7" s="9">
        <v>171</v>
      </c>
    </row>
    <row r="8" spans="1:6" x14ac:dyDescent="0.35">
      <c r="A8" s="11" t="s">
        <v>8421</v>
      </c>
      <c r="B8" s="9">
        <v>6</v>
      </c>
      <c r="C8" s="9">
        <v>60</v>
      </c>
      <c r="D8" s="9"/>
      <c r="E8" s="9">
        <v>216</v>
      </c>
      <c r="F8" s="9">
        <v>282</v>
      </c>
    </row>
    <row r="9" spans="1:6" x14ac:dyDescent="0.35">
      <c r="A9" s="11" t="s">
        <v>8422</v>
      </c>
      <c r="B9" s="9">
        <v>7</v>
      </c>
      <c r="C9" s="9">
        <v>67</v>
      </c>
      <c r="D9" s="9"/>
      <c r="E9" s="9">
        <v>200</v>
      </c>
      <c r="F9" s="9">
        <v>274</v>
      </c>
    </row>
    <row r="10" spans="1:6" x14ac:dyDescent="0.35">
      <c r="A10" s="11" t="s">
        <v>8423</v>
      </c>
      <c r="B10" s="9">
        <v>80</v>
      </c>
      <c r="C10" s="9">
        <v>422</v>
      </c>
      <c r="D10" s="9"/>
      <c r="E10" s="9">
        <v>474</v>
      </c>
      <c r="F10" s="9">
        <v>976</v>
      </c>
    </row>
    <row r="11" spans="1:6" x14ac:dyDescent="0.35">
      <c r="A11" s="11" t="s">
        <v>8424</v>
      </c>
      <c r="B11" s="9">
        <v>131</v>
      </c>
      <c r="C11" s="9">
        <v>527</v>
      </c>
      <c r="D11" s="9"/>
      <c r="E11" s="9">
        <v>567</v>
      </c>
      <c r="F11" s="9">
        <v>1225</v>
      </c>
    </row>
    <row r="12" spans="1:6" x14ac:dyDescent="0.35">
      <c r="A12" s="11" t="s">
        <v>8425</v>
      </c>
      <c r="B12" s="9">
        <v>99</v>
      </c>
      <c r="C12" s="9">
        <v>376</v>
      </c>
      <c r="D12" s="9"/>
      <c r="E12" s="9">
        <v>475</v>
      </c>
      <c r="F12" s="9">
        <v>950</v>
      </c>
    </row>
    <row r="13" spans="1:6" x14ac:dyDescent="0.35">
      <c r="A13" s="11" t="s">
        <v>8426</v>
      </c>
      <c r="B13" s="9">
        <v>17</v>
      </c>
      <c r="C13" s="9">
        <v>31</v>
      </c>
      <c r="D13" s="9">
        <v>50</v>
      </c>
      <c r="E13" s="9">
        <v>59</v>
      </c>
      <c r="F13" s="9">
        <v>157</v>
      </c>
    </row>
    <row r="14" spans="1:6" x14ac:dyDescent="0.35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Outcomes Based on Launch Date</vt:lpstr>
      <vt:lpstr>PT - Outcomes Based on Goals</vt:lpstr>
      <vt:lpstr>Successful US Kickstarters</vt:lpstr>
      <vt:lpstr>Failed US Kickstarters</vt:lpstr>
      <vt:lpstr>Descriptive Statistics</vt:lpstr>
      <vt:lpstr>Edinburgh Research</vt:lpstr>
      <vt:lpstr>PT-PCO</vt:lpstr>
      <vt:lpstr>PT-Subcategory Statistics</vt:lpstr>
      <vt:lpstr>PT - Theather</vt:lpstr>
      <vt:lpstr>All Types by Year</vt:lpstr>
      <vt:lpstr>GB Theater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Doris Cohen</cp:lastModifiedBy>
  <dcterms:created xsi:type="dcterms:W3CDTF">2017-04-20T15:17:24Z</dcterms:created>
  <dcterms:modified xsi:type="dcterms:W3CDTF">2020-03-14T22:19:27Z</dcterms:modified>
</cp:coreProperties>
</file>