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10" windowWidth="18195" windowHeight="8130" firstSheet="2" activeTab="2"/>
  </bookViews>
  <sheets>
    <sheet name="Sheet3" sheetId="3" state="hidden" r:id="rId1"/>
    <sheet name="DV-IDENTITY-0" sheetId="6" state="veryHidden" r:id="rId2"/>
    <sheet name="Order1" sheetId="12" r:id="rId3"/>
    <sheet name="Order2" sheetId="8" r:id="rId4"/>
    <sheet name="Order3" sheetId="11" r:id="rId5"/>
  </sheets>
  <definedNames>
    <definedName name="cityList">Sheet3!$K$2:$K$3</definedName>
    <definedName name="cityLookup">Sheet3!$K$2:$L$3</definedName>
    <definedName name="DeliveryOptionList">Table1[DeliveryOption]</definedName>
    <definedName name="districtList">#REF!</definedName>
    <definedName name="GoVap">Sheet3!$U$2:$U$3</definedName>
    <definedName name="govapList">Sheet3!$U$2:$U$3</definedName>
    <definedName name="HaDong">Sheet3!$W$2:$W$3</definedName>
    <definedName name="hadongList">Sheet3!$W$2:$W$3</definedName>
    <definedName name="HaNoi">Sheet3!$Q$2</definedName>
    <definedName name="hanoiList">Sheet3!$Q$2</definedName>
    <definedName name="hanoiLookup">Sheet3!$Q$2:$Q$2</definedName>
    <definedName name="HasHighValue">Table4[HasHighValue]</definedName>
    <definedName name="HoChiMinh">Sheet3!$N$2:$N$5</definedName>
    <definedName name="hochiminhList">Sheet3!#REF!</definedName>
    <definedName name="hochiminhLookup">Sheet3!$N$2:$O$5</definedName>
    <definedName name="IsFragile">Table3[IsFragile]</definedName>
    <definedName name="PaymentType">Table2[PaymentType]</definedName>
    <definedName name="Quan">Sheet3!#REF!</definedName>
    <definedName name="Quan12">Sheet3!$S$2:$S$4</definedName>
    <definedName name="quan12List">Sheet3!#REF!</definedName>
    <definedName name="Quan5">Sheet3!$Y$2</definedName>
    <definedName name="Size">Table5[Size]</definedName>
    <definedName name="TanBinh">Sheet3!$W$2:$W$4</definedName>
    <definedName name="TanPhu">Sheet3!$Q$2:$Q$4</definedName>
  </definedNames>
  <calcPr calcId="145621"/>
</workbook>
</file>

<file path=xl/calcChain.xml><?xml version="1.0" encoding="utf-8"?>
<calcChain xmlns="http://schemas.openxmlformats.org/spreadsheetml/2006/main">
  <c r="A13" i="6" l="1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A12" i="6" l="1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7" i="6" l="1"/>
  <c r="B7" i="6"/>
  <c r="C7" i="6"/>
  <c r="D7" i="6"/>
  <c r="E7" i="6"/>
  <c r="F7" i="6"/>
  <c r="G7" i="6"/>
  <c r="H7" i="6"/>
  <c r="I7" i="6"/>
  <c r="J7" i="6"/>
  <c r="K7" i="6"/>
  <c r="L7" i="6"/>
  <c r="M7" i="6"/>
  <c r="A6" i="6" l="1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A5" i="6" l="1"/>
  <c r="B5" i="6"/>
  <c r="C5" i="6"/>
  <c r="D5" i="6"/>
  <c r="E5" i="6"/>
  <c r="F5" i="6"/>
  <c r="G5" i="6"/>
  <c r="A4" i="6" l="1"/>
  <c r="B4" i="6"/>
  <c r="C4" i="6"/>
  <c r="D4" i="6"/>
  <c r="E4" i="6"/>
  <c r="F4" i="6"/>
  <c r="A3" i="6" l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A2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A1" i="6" l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X1" i="6"/>
  <c r="FY1" i="6"/>
  <c r="FZ1" i="6"/>
  <c r="GA1" i="6"/>
  <c r="GB1" i="6"/>
  <c r="GC1" i="6"/>
</calcChain>
</file>

<file path=xl/sharedStrings.xml><?xml version="1.0" encoding="utf-8"?>
<sst xmlns="http://schemas.openxmlformats.org/spreadsheetml/2006/main" count="152" uniqueCount="80">
  <si>
    <t>Name</t>
  </si>
  <si>
    <t>Quantity</t>
  </si>
  <si>
    <t>IsFragile</t>
  </si>
  <si>
    <t>HasHighValue</t>
  </si>
  <si>
    <t>Size</t>
  </si>
  <si>
    <t>Weight</t>
  </si>
  <si>
    <t>Note</t>
  </si>
  <si>
    <t>Small</t>
  </si>
  <si>
    <t>Big</t>
  </si>
  <si>
    <t>Medium</t>
  </si>
  <si>
    <t>DeliveryOption</t>
  </si>
  <si>
    <t>District</t>
  </si>
  <si>
    <t>Amount</t>
  </si>
  <si>
    <t>Normal</t>
  </si>
  <si>
    <t>Fast</t>
  </si>
  <si>
    <t>Quận Gò Vấp</t>
  </si>
  <si>
    <t>Quận 12</t>
  </si>
  <si>
    <t>COD</t>
  </si>
  <si>
    <t>Pre-Paid</t>
  </si>
  <si>
    <t>False</t>
  </si>
  <si>
    <t>True</t>
  </si>
  <si>
    <t>PaymentType</t>
  </si>
  <si>
    <t>Post-Paid</t>
  </si>
  <si>
    <t>Receiver Name</t>
  </si>
  <si>
    <t>Receiver Phone</t>
  </si>
  <si>
    <t>Receiver Address</t>
  </si>
  <si>
    <t>Delivery Option</t>
  </si>
  <si>
    <t>Order Payment Type</t>
  </si>
  <si>
    <t>Has High Value</t>
  </si>
  <si>
    <t>AAAAAHz377I=</t>
  </si>
  <si>
    <t>1</t>
  </si>
  <si>
    <t>CityList</t>
  </si>
  <si>
    <t>HoChiMinh</t>
  </si>
  <si>
    <t>Quan12</t>
  </si>
  <si>
    <t>GoVap</t>
  </si>
  <si>
    <t>Hồ Chí Minh</t>
  </si>
  <si>
    <t>Phường Tân Chánh Hiệp</t>
  </si>
  <si>
    <t>City</t>
  </si>
  <si>
    <t>Ward</t>
  </si>
  <si>
    <t>Phường 12</t>
  </si>
  <si>
    <t>Items Information</t>
  </si>
  <si>
    <t>Phường 15</t>
  </si>
  <si>
    <t>Phường Hiệp Thành</t>
  </si>
  <si>
    <t>Phường Thới An</t>
  </si>
  <si>
    <t>Quận Tân Bình</t>
  </si>
  <si>
    <t>TanBinh</t>
  </si>
  <si>
    <t>Phường 7</t>
  </si>
  <si>
    <t>TanPhu</t>
  </si>
  <si>
    <t>Phường Tân Sơn Nhì</t>
  </si>
  <si>
    <t>Phường Tân Qúy</t>
  </si>
  <si>
    <t>Phường Phú Thạnh</t>
  </si>
  <si>
    <t>Lương Sơn Dương</t>
  </si>
  <si>
    <t>0946328456</t>
  </si>
  <si>
    <t>45 Cộng Hòa</t>
  </si>
  <si>
    <t>Phường 4</t>
  </si>
  <si>
    <t>500g</t>
  </si>
  <si>
    <t>Màu đen</t>
  </si>
  <si>
    <t>5 x 5 x 5 cm</t>
  </si>
  <si>
    <t>250g</t>
  </si>
  <si>
    <t>60000</t>
  </si>
  <si>
    <t>Gọi điện trước khi giao</t>
  </si>
  <si>
    <t>80000</t>
  </si>
  <si>
    <t>15 x 15 x 10 cm</t>
  </si>
  <si>
    <t>Đỗ Thu Hà</t>
  </si>
  <si>
    <t>013344567</t>
  </si>
  <si>
    <t>30 Lê Đức Thọ</t>
  </si>
  <si>
    <t>Giao vào buổi chiều</t>
  </si>
  <si>
    <t>Quận 5</t>
  </si>
  <si>
    <t>Quan5</t>
  </si>
  <si>
    <t>Phường 9</t>
  </si>
  <si>
    <t>47 Nguyễn Chí Thanh</t>
  </si>
  <si>
    <t>Vương Kim Long</t>
  </si>
  <si>
    <t>Bộ truyện Jindo</t>
  </si>
  <si>
    <t>25 x 15 x 25 cm</t>
  </si>
  <si>
    <t>1 Kg</t>
  </si>
  <si>
    <t>59 Quyển</t>
  </si>
  <si>
    <t>Giao gấp</t>
  </si>
  <si>
    <t>Harry Potter</t>
  </si>
  <si>
    <t>Mật mã Tây Tạng</t>
  </si>
  <si>
    <t>Tập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</si>
</sst>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DeliveryO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C4" totalsRowShown="0">
  <autoFilter ref="C1:C4"/>
  <tableColumns count="1">
    <tableColumn id="1" name="Payment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E3" totalsRowShown="0" headerRowDxfId="3">
  <autoFilter ref="E1:E3"/>
  <tableColumns count="1">
    <tableColumn id="1" name="IsFragil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G1:G3" totalsRowShown="0" headerRowDxfId="1">
  <autoFilter ref="G1:G3"/>
  <tableColumns count="1">
    <tableColumn id="1" name="HasHighValue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I1:I4" totalsRowShown="0">
  <autoFilter ref="I1:I4"/>
  <tableColumns count="1">
    <tableColumn id="1" name="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5"/>
  <sheetViews>
    <sheetView topLeftCell="K1" workbookViewId="0">
      <selection activeCell="Y2" sqref="Y2"/>
    </sheetView>
  </sheetViews>
  <sheetFormatPr defaultRowHeight="15" x14ac:dyDescent="0.25"/>
  <cols>
    <col min="1" max="1" width="16.7109375" customWidth="1"/>
    <col min="3" max="3" width="15.28515625" customWidth="1"/>
    <col min="5" max="5" width="10.5703125" style="1" customWidth="1"/>
    <col min="7" max="7" width="15.42578125" style="1" customWidth="1"/>
    <col min="11" max="11" width="12.42578125" bestFit="1" customWidth="1"/>
    <col min="12" max="12" width="10.85546875" bestFit="1" customWidth="1"/>
    <col min="14" max="14" width="13.7109375" bestFit="1" customWidth="1"/>
    <col min="17" max="17" width="19.140625" bestFit="1" customWidth="1"/>
    <col min="19" max="19" width="22.5703125" bestFit="1" customWidth="1"/>
    <col min="21" max="21" width="10.42578125" bestFit="1" customWidth="1"/>
    <col min="23" max="23" width="10.42578125" bestFit="1" customWidth="1"/>
    <col min="25" max="25" width="9.42578125" bestFit="1" customWidth="1"/>
  </cols>
  <sheetData>
    <row r="1" spans="1:25" x14ac:dyDescent="0.25">
      <c r="A1" t="s">
        <v>10</v>
      </c>
      <c r="C1" t="s">
        <v>21</v>
      </c>
      <c r="E1" s="1" t="s">
        <v>2</v>
      </c>
      <c r="G1" s="1" t="s">
        <v>3</v>
      </c>
      <c r="I1" t="s">
        <v>4</v>
      </c>
      <c r="K1" s="5" t="s">
        <v>31</v>
      </c>
      <c r="L1" s="5"/>
      <c r="M1" s="5"/>
      <c r="N1" s="5" t="s">
        <v>32</v>
      </c>
      <c r="O1" s="5"/>
      <c r="P1" s="5"/>
      <c r="Q1" s="5" t="s">
        <v>47</v>
      </c>
      <c r="R1" s="5"/>
      <c r="S1" s="5" t="s">
        <v>33</v>
      </c>
      <c r="T1" s="5"/>
      <c r="U1" s="5" t="s">
        <v>34</v>
      </c>
      <c r="V1" s="5"/>
      <c r="W1" s="5" t="s">
        <v>45</v>
      </c>
      <c r="Y1" t="s">
        <v>68</v>
      </c>
    </row>
    <row r="2" spans="1:25" x14ac:dyDescent="0.25">
      <c r="A2" t="s">
        <v>13</v>
      </c>
      <c r="C2" t="s">
        <v>17</v>
      </c>
      <c r="E2" s="1" t="s">
        <v>20</v>
      </c>
      <c r="G2" s="1" t="s">
        <v>20</v>
      </c>
      <c r="I2" t="s">
        <v>7</v>
      </c>
      <c r="K2" s="5" t="s">
        <v>35</v>
      </c>
      <c r="L2" s="5" t="s">
        <v>32</v>
      </c>
      <c r="M2" s="5"/>
      <c r="N2" t="s">
        <v>67</v>
      </c>
      <c r="O2" t="s">
        <v>68</v>
      </c>
      <c r="P2" s="5"/>
      <c r="Q2" s="5" t="s">
        <v>48</v>
      </c>
      <c r="R2" s="5"/>
      <c r="S2" s="5" t="s">
        <v>42</v>
      </c>
      <c r="T2" s="5"/>
      <c r="U2" s="5" t="s">
        <v>39</v>
      </c>
      <c r="V2" s="5"/>
      <c r="W2" s="5" t="s">
        <v>54</v>
      </c>
      <c r="Y2" t="s">
        <v>69</v>
      </c>
    </row>
    <row r="3" spans="1:25" x14ac:dyDescent="0.25">
      <c r="A3" t="s">
        <v>14</v>
      </c>
      <c r="C3" t="s">
        <v>18</v>
      </c>
      <c r="E3" s="1" t="s">
        <v>19</v>
      </c>
      <c r="G3" s="1" t="s">
        <v>19</v>
      </c>
      <c r="I3" t="s">
        <v>9</v>
      </c>
      <c r="K3" s="5"/>
      <c r="L3" s="5"/>
      <c r="M3" s="5"/>
      <c r="N3" s="5" t="s">
        <v>44</v>
      </c>
      <c r="O3" s="5" t="s">
        <v>45</v>
      </c>
      <c r="P3" s="5"/>
      <c r="Q3" s="5" t="s">
        <v>49</v>
      </c>
      <c r="R3" s="5"/>
      <c r="S3" t="s">
        <v>43</v>
      </c>
      <c r="T3" s="5"/>
      <c r="U3" s="5" t="s">
        <v>41</v>
      </c>
      <c r="V3" s="5"/>
      <c r="W3" s="5" t="s">
        <v>41</v>
      </c>
    </row>
    <row r="4" spans="1:25" x14ac:dyDescent="0.25">
      <c r="C4" t="s">
        <v>22</v>
      </c>
      <c r="I4" t="s">
        <v>8</v>
      </c>
      <c r="N4" s="5" t="s">
        <v>16</v>
      </c>
      <c r="O4" s="5" t="s">
        <v>33</v>
      </c>
      <c r="Q4" t="s">
        <v>50</v>
      </c>
      <c r="S4" t="s">
        <v>36</v>
      </c>
      <c r="W4" t="s">
        <v>46</v>
      </c>
    </row>
    <row r="5" spans="1:25" x14ac:dyDescent="0.25">
      <c r="N5" s="5" t="s">
        <v>15</v>
      </c>
      <c r="O5" s="5" t="s">
        <v>34</v>
      </c>
    </row>
  </sheetData>
  <pageMargins left="0.7" right="0.7" top="0.75" bottom="0.75" header="0.3" footer="0.3"/>
  <pageSetup orientation="portrait" r:id="rId1"/>
  <customProperties>
    <customPr name="DVSECTIONID" r:id="rId2"/>
  </customProperties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C13"/>
  <sheetViews>
    <sheetView workbookViewId="0"/>
  </sheetViews>
  <sheetFormatPr defaultRowHeight="15" x14ac:dyDescent="0.25"/>
  <sheetData>
    <row r="1" spans="1:185" x14ac:dyDescent="0.25">
      <c r="A1" t="e">
        <f>IF(#REF!,"AAAAAHz37wA=",0)</f>
        <v>#REF!</v>
      </c>
      <c r="B1" t="e">
        <f>AND(#REF!,"AAAAAHz37wE=")</f>
        <v>#REF!</v>
      </c>
      <c r="C1" t="e">
        <f>AND(#REF!,"AAAAAHz37wI=")</f>
        <v>#REF!</v>
      </c>
      <c r="D1" t="e">
        <f>AND(#REF!,"AAAAAHz37wM=")</f>
        <v>#REF!</v>
      </c>
      <c r="E1" t="e">
        <f>AND(#REF!,"AAAAAHz37wQ=")</f>
        <v>#REF!</v>
      </c>
      <c r="F1" t="e">
        <f>AND(#REF!,"AAAAAHz37wU=")</f>
        <v>#REF!</v>
      </c>
      <c r="G1" t="e">
        <f>AND(#REF!,"AAAAAHz37wY=")</f>
        <v>#REF!</v>
      </c>
      <c r="H1" t="e">
        <f>AND(#REF!,"AAAAAHz37wc=")</f>
        <v>#REF!</v>
      </c>
      <c r="I1" t="e">
        <f>AND(#REF!,"AAAAAHz37wg=")</f>
        <v>#REF!</v>
      </c>
      <c r="J1" t="e">
        <f>AND(#REF!,"AAAAAHz37wk=")</f>
        <v>#REF!</v>
      </c>
      <c r="K1" t="e">
        <f>AND(#REF!,"AAAAAHz37wo=")</f>
        <v>#REF!</v>
      </c>
      <c r="L1" t="e">
        <f>AND(#REF!,"AAAAAHz37ws=")</f>
        <v>#REF!</v>
      </c>
      <c r="M1" t="e">
        <f>AND(#REF!,"AAAAAHz37ww=")</f>
        <v>#REF!</v>
      </c>
      <c r="N1" t="e">
        <f>AND(#REF!,"AAAAAHz37w0=")</f>
        <v>#REF!</v>
      </c>
      <c r="O1" t="e">
        <f>AND(#REF!,"AAAAAHz37w4=")</f>
        <v>#REF!</v>
      </c>
      <c r="P1" t="e">
        <f>AND(#REF!,"AAAAAHz37w8=")</f>
        <v>#REF!</v>
      </c>
      <c r="Q1" t="e">
        <f>AND(#REF!,"AAAAAHz37xA=")</f>
        <v>#REF!</v>
      </c>
      <c r="R1" t="e">
        <f>IF(#REF!,"AAAAAHz37xE=",0)</f>
        <v>#REF!</v>
      </c>
      <c r="S1" t="e">
        <f>AND(#REF!,"AAAAAHz37xI=")</f>
        <v>#REF!</v>
      </c>
      <c r="T1" t="e">
        <f>AND(#REF!,"AAAAAHz37xM=")</f>
        <v>#REF!</v>
      </c>
      <c r="U1" t="e">
        <f>AND(#REF!,"AAAAAHz37xQ=")</f>
        <v>#REF!</v>
      </c>
      <c r="V1" t="e">
        <f>AND(#REF!,"AAAAAHz37xU=")</f>
        <v>#REF!</v>
      </c>
      <c r="W1" t="e">
        <f>AND(#REF!,"AAAAAHz37xY=")</f>
        <v>#REF!</v>
      </c>
      <c r="X1" t="e">
        <f>AND(#REF!,"AAAAAHz37xc=")</f>
        <v>#REF!</v>
      </c>
      <c r="Y1" t="e">
        <f>AND(#REF!,"AAAAAHz37xg=")</f>
        <v>#REF!</v>
      </c>
      <c r="Z1" t="e">
        <f>AND(#REF!,"AAAAAHz37xk=")</f>
        <v>#REF!</v>
      </c>
      <c r="AA1" t="e">
        <f>AND(#REF!,"AAAAAHz37xo=")</f>
        <v>#REF!</v>
      </c>
      <c r="AB1" t="e">
        <f>AND(#REF!,"AAAAAHz37xs=")</f>
        <v>#REF!</v>
      </c>
      <c r="AC1" t="e">
        <f>AND(#REF!,"AAAAAHz37xw=")</f>
        <v>#REF!</v>
      </c>
      <c r="AD1" t="e">
        <f>AND(#REF!,"AAAAAHz37x0=")</f>
        <v>#REF!</v>
      </c>
      <c r="AE1" t="e">
        <f>AND(#REF!,"AAAAAHz37x4=")</f>
        <v>#REF!</v>
      </c>
      <c r="AF1" t="e">
        <f>AND(#REF!,"AAAAAHz37x8=")</f>
        <v>#REF!</v>
      </c>
      <c r="AG1" t="e">
        <f>AND(#REF!,"AAAAAHz37yA=")</f>
        <v>#REF!</v>
      </c>
      <c r="AH1" t="e">
        <f>AND(#REF!,"AAAAAHz37yE=")</f>
        <v>#REF!</v>
      </c>
      <c r="AI1" t="e">
        <f>IF(#REF!,"AAAAAHz37yI=",0)</f>
        <v>#REF!</v>
      </c>
      <c r="AJ1" t="e">
        <f>AND(#REF!,"AAAAAHz37yM=")</f>
        <v>#REF!</v>
      </c>
      <c r="AK1" t="e">
        <f>AND(#REF!,"AAAAAHz37yQ=")</f>
        <v>#REF!</v>
      </c>
      <c r="AL1" t="e">
        <f>AND(#REF!,"AAAAAHz37yU=")</f>
        <v>#REF!</v>
      </c>
      <c r="AM1" t="e">
        <f>AND(#REF!,"AAAAAHz37yY=")</f>
        <v>#REF!</v>
      </c>
      <c r="AN1" t="e">
        <f>AND(#REF!,"AAAAAHz37yc=")</f>
        <v>#REF!</v>
      </c>
      <c r="AO1" t="e">
        <f>AND(#REF!,"AAAAAHz37yg=")</f>
        <v>#REF!</v>
      </c>
      <c r="AP1" t="e">
        <f>AND(#REF!,"AAAAAHz37yk=")</f>
        <v>#REF!</v>
      </c>
      <c r="AQ1" t="e">
        <f>AND(#REF!,"AAAAAHz37yo=")</f>
        <v>#REF!</v>
      </c>
      <c r="AR1" t="e">
        <f>AND(#REF!,"AAAAAHz37ys=")</f>
        <v>#REF!</v>
      </c>
      <c r="AS1" t="e">
        <f>AND(#REF!,"AAAAAHz37yw=")</f>
        <v>#REF!</v>
      </c>
      <c r="AT1" t="e">
        <f>AND(#REF!,"AAAAAHz37y0=")</f>
        <v>#REF!</v>
      </c>
      <c r="AU1" t="e">
        <f>AND(#REF!,"AAAAAHz37y4=")</f>
        <v>#REF!</v>
      </c>
      <c r="AV1" t="e">
        <f>AND(#REF!,"AAAAAHz37y8=")</f>
        <v>#REF!</v>
      </c>
      <c r="AW1" t="e">
        <f>AND(#REF!,"AAAAAHz37zA=")</f>
        <v>#REF!</v>
      </c>
      <c r="AX1" t="e">
        <f>AND(#REF!,"AAAAAHz37zE=")</f>
        <v>#REF!</v>
      </c>
      <c r="AY1" t="e">
        <f>AND(#REF!,"AAAAAHz37zI=")</f>
        <v>#REF!</v>
      </c>
      <c r="AZ1" t="e">
        <f>IF(#REF!,"AAAAAHz37zM=",0)</f>
        <v>#REF!</v>
      </c>
      <c r="BA1" t="e">
        <f>IF(#REF!,"AAAAAHz37zQ=",0)</f>
        <v>#REF!</v>
      </c>
      <c r="BB1" t="e">
        <f>IF(#REF!,"AAAAAHz37zU=",0)</f>
        <v>#REF!</v>
      </c>
      <c r="BC1" t="e">
        <f>IF(#REF!,"AAAAAHz37zY=",0)</f>
        <v>#REF!</v>
      </c>
      <c r="BD1" t="e">
        <f>IF(#REF!,"AAAAAHz37zc=",0)</f>
        <v>#REF!</v>
      </c>
      <c r="BE1" t="e">
        <f>IF(#REF!,"AAAAAHz37zg=",0)</f>
        <v>#REF!</v>
      </c>
      <c r="BF1" t="e">
        <f>IF(#REF!,"AAAAAHz37zk=",0)</f>
        <v>#REF!</v>
      </c>
      <c r="BG1" t="e">
        <f>IF(#REF!,"AAAAAHz37zo=",0)</f>
        <v>#REF!</v>
      </c>
      <c r="BH1" t="e">
        <f>IF(#REF!,"AAAAAHz37zs=",0)</f>
        <v>#REF!</v>
      </c>
      <c r="BI1" t="e">
        <f>IF(#REF!,"AAAAAHz37zw=",0)</f>
        <v>#REF!</v>
      </c>
      <c r="BJ1" t="e">
        <f>IF(#REF!,"AAAAAHz37z0=",0)</f>
        <v>#REF!</v>
      </c>
      <c r="BK1" t="e">
        <f>IF(#REF!,"AAAAAHz37z4=",0)</f>
        <v>#REF!</v>
      </c>
      <c r="BL1" t="e">
        <f>IF(#REF!,"AAAAAHz37z8=",0)</f>
        <v>#REF!</v>
      </c>
      <c r="BM1" t="e">
        <f>IF(#REF!,"AAAAAHz370A=",0)</f>
        <v>#REF!</v>
      </c>
      <c r="BN1" t="e">
        <f>IF(#REF!,"AAAAAHz370E=",0)</f>
        <v>#REF!</v>
      </c>
      <c r="BO1" t="e">
        <f>IF(#REF!,"AAAAAHz370I=",0)</f>
        <v>#REF!</v>
      </c>
      <c r="BP1" t="e">
        <f>IF(#REF!,"AAAAAHz370M=",0)</f>
        <v>#REF!</v>
      </c>
      <c r="BQ1" t="e">
        <f>AND(#REF!,"AAAAAHz370Q=")</f>
        <v>#REF!</v>
      </c>
      <c r="BR1" t="e">
        <f>AND(#REF!,"AAAAAHz370U=")</f>
        <v>#REF!</v>
      </c>
      <c r="BS1" t="e">
        <f>AND(#REF!,"AAAAAHz370Y=")</f>
        <v>#REF!</v>
      </c>
      <c r="BT1" t="e">
        <f>AND(#REF!,"AAAAAHz370c=")</f>
        <v>#REF!</v>
      </c>
      <c r="BU1" t="e">
        <f>AND(#REF!,"AAAAAHz370g=")</f>
        <v>#REF!</v>
      </c>
      <c r="BV1" t="e">
        <f>AND(#REF!,"AAAAAHz370k=")</f>
        <v>#REF!</v>
      </c>
      <c r="BW1" t="e">
        <f>AND(#REF!,"AAAAAHz370o=")</f>
        <v>#REF!</v>
      </c>
      <c r="BX1" t="e">
        <f>AND(#REF!,"AAAAAHz370s=")</f>
        <v>#REF!</v>
      </c>
      <c r="BY1" t="e">
        <f>AND(#REF!,"AAAAAHz370w=")</f>
        <v>#REF!</v>
      </c>
      <c r="BZ1" t="e">
        <f>AND(#REF!,"AAAAAHz3700=")</f>
        <v>#REF!</v>
      </c>
      <c r="CA1" t="e">
        <f>AND(#REF!,"AAAAAHz3704=")</f>
        <v>#REF!</v>
      </c>
      <c r="CB1" t="e">
        <f>AND(#REF!,"AAAAAHz3708=")</f>
        <v>#REF!</v>
      </c>
      <c r="CC1" t="e">
        <f>AND(#REF!,"AAAAAHz371A=")</f>
        <v>#REF!</v>
      </c>
      <c r="CD1" t="e">
        <f>AND(#REF!,"AAAAAHz371E=")</f>
        <v>#REF!</v>
      </c>
      <c r="CE1" t="e">
        <f>AND(#REF!,"AAAAAHz371I=")</f>
        <v>#REF!</v>
      </c>
      <c r="CF1" t="e">
        <f>AND(#REF!,"AAAAAHz371M=")</f>
        <v>#REF!</v>
      </c>
      <c r="CG1" t="e">
        <f>AND(#REF!,"AAAAAHz371Q=")</f>
        <v>#REF!</v>
      </c>
      <c r="CH1" t="e">
        <f>IF(#REF!,"AAAAAHz371U=",0)</f>
        <v>#REF!</v>
      </c>
      <c r="CI1" t="e">
        <f>AND(#REF!,"AAAAAHz371Y=")</f>
        <v>#REF!</v>
      </c>
      <c r="CJ1" t="e">
        <f>AND(#REF!,"AAAAAHz371c=")</f>
        <v>#REF!</v>
      </c>
      <c r="CK1" t="e">
        <f>AND(#REF!,"AAAAAHz371g=")</f>
        <v>#REF!</v>
      </c>
      <c r="CL1" t="e">
        <f>AND(#REF!,"AAAAAHz371k=")</f>
        <v>#REF!</v>
      </c>
      <c r="CM1" t="e">
        <f>AND(#REF!,"AAAAAHz371o=")</f>
        <v>#REF!</v>
      </c>
      <c r="CN1" t="e">
        <f>AND(#REF!,"AAAAAHz371s=")</f>
        <v>#REF!</v>
      </c>
      <c r="CO1" t="e">
        <f>AND(#REF!,"AAAAAHz371w=")</f>
        <v>#REF!</v>
      </c>
      <c r="CP1" t="e">
        <f>AND(#REF!,"AAAAAHz3710=")</f>
        <v>#REF!</v>
      </c>
      <c r="CQ1" t="e">
        <f>AND(#REF!,"AAAAAHz3714=")</f>
        <v>#REF!</v>
      </c>
      <c r="CR1" t="e">
        <f>AND(#REF!,"AAAAAHz3718=")</f>
        <v>#REF!</v>
      </c>
      <c r="CS1" t="e">
        <f>AND(#REF!,"AAAAAHz372A=")</f>
        <v>#REF!</v>
      </c>
      <c r="CT1" t="e">
        <f>AND(#REF!,"AAAAAHz372E=")</f>
        <v>#REF!</v>
      </c>
      <c r="CU1" t="e">
        <f>AND(#REF!,"AAAAAHz372I=")</f>
        <v>#REF!</v>
      </c>
      <c r="CV1" t="e">
        <f>AND(#REF!,"AAAAAHz372M=")</f>
        <v>#REF!</v>
      </c>
      <c r="CW1" t="e">
        <f>AND(#REF!,"AAAAAHz372Q=")</f>
        <v>#REF!</v>
      </c>
      <c r="CX1" t="e">
        <f>AND(#REF!,"AAAAAHz372U=")</f>
        <v>#REF!</v>
      </c>
      <c r="CY1" t="e">
        <f>AND(#REF!,"AAAAAHz372Y=")</f>
        <v>#REF!</v>
      </c>
      <c r="CZ1" t="e">
        <f>IF(#REF!,"AAAAAHz372c=",0)</f>
        <v>#REF!</v>
      </c>
      <c r="DA1" t="e">
        <f>IF(#REF!,"AAAAAHz372g=",0)</f>
        <v>#REF!</v>
      </c>
      <c r="DB1" t="e">
        <f>IF(#REF!,"AAAAAHz372k=",0)</f>
        <v>#REF!</v>
      </c>
      <c r="DC1" t="e">
        <f>IF(#REF!,"AAAAAHz372o=",0)</f>
        <v>#REF!</v>
      </c>
      <c r="DD1" t="e">
        <f>IF(#REF!,"AAAAAHz372s=",0)</f>
        <v>#REF!</v>
      </c>
      <c r="DE1" t="e">
        <f>IF(#REF!,"AAAAAHz372w=",0)</f>
        <v>#REF!</v>
      </c>
      <c r="DF1" t="e">
        <f>IF(#REF!,"AAAAAHz3720=",0)</f>
        <v>#REF!</v>
      </c>
      <c r="DG1" t="e">
        <f>IF(#REF!,"AAAAAHz3724=",0)</f>
        <v>#REF!</v>
      </c>
      <c r="DH1" t="e">
        <f>IF(#REF!,"AAAAAHz3728=",0)</f>
        <v>#REF!</v>
      </c>
      <c r="DI1" t="e">
        <f>IF(#REF!,"AAAAAHz373A=",0)</f>
        <v>#REF!</v>
      </c>
      <c r="DJ1" t="e">
        <f>IF(#REF!,"AAAAAHz373E=",0)</f>
        <v>#REF!</v>
      </c>
      <c r="DK1" t="e">
        <f>IF(#REF!,"AAAAAHz373I=",0)</f>
        <v>#REF!</v>
      </c>
      <c r="DL1" t="e">
        <f>IF(#REF!,"AAAAAHz373M=",0)</f>
        <v>#REF!</v>
      </c>
      <c r="DM1" t="e">
        <f>IF(#REF!,"AAAAAHz373Q=",0)</f>
        <v>#REF!</v>
      </c>
      <c r="DN1" t="e">
        <f>IF(#REF!,"AAAAAHz373U=",0)</f>
        <v>#REF!</v>
      </c>
      <c r="DO1" t="e">
        <f>IF(#REF!,"AAAAAHz373Y=",0)</f>
        <v>#REF!</v>
      </c>
      <c r="DP1" t="e">
        <f>IF(#REF!,"AAAAAHz373c=",0)</f>
        <v>#REF!</v>
      </c>
      <c r="DQ1" t="e">
        <f>IF(#REF!,"AAAAAHz373g=",0)</f>
        <v>#REF!</v>
      </c>
      <c r="DR1">
        <f>IF(Sheet3!1:1,"AAAAAHz373k=",0)</f>
        <v>0</v>
      </c>
      <c r="DS1" t="e">
        <f>AND(Sheet3!A1,"AAAAAHz373o=")</f>
        <v>#VALUE!</v>
      </c>
      <c r="DT1" t="e">
        <f>AND(Sheet3!B1,"AAAAAHz373s=")</f>
        <v>#VALUE!</v>
      </c>
      <c r="DU1" t="e">
        <f>AND(Sheet3!C1,"AAAAAHz373w=")</f>
        <v>#VALUE!</v>
      </c>
      <c r="DV1" t="e">
        <f>AND(Sheet3!D1,"AAAAAHz3730=")</f>
        <v>#VALUE!</v>
      </c>
      <c r="DW1" t="e">
        <f>AND(Sheet3!E1,"AAAAAHz3734=")</f>
        <v>#VALUE!</v>
      </c>
      <c r="DX1" t="e">
        <f>AND(Sheet3!F1,"AAAAAHz3738=")</f>
        <v>#VALUE!</v>
      </c>
      <c r="DY1" t="e">
        <f>AND(Sheet3!G1,"AAAAAHz374A=")</f>
        <v>#VALUE!</v>
      </c>
      <c r="DZ1" t="e">
        <f>AND(Sheet3!H1,"AAAAAHz374E=")</f>
        <v>#VALUE!</v>
      </c>
      <c r="EA1" t="e">
        <f>AND(Sheet3!I1,"AAAAAHz374I=")</f>
        <v>#VALUE!</v>
      </c>
      <c r="EB1" t="e">
        <f>AND(Sheet3!J1,"AAAAAHz374M=")</f>
        <v>#VALUE!</v>
      </c>
      <c r="EC1" t="e">
        <f>AND(Sheet3!K1,"AAAAAHz374Q=")</f>
        <v>#VALUE!</v>
      </c>
      <c r="ED1">
        <f>IF(Sheet3!2:2,"AAAAAHz374U=",0)</f>
        <v>0</v>
      </c>
      <c r="EE1" t="e">
        <f>AND(Sheet3!A2,"AAAAAHz374Y=")</f>
        <v>#VALUE!</v>
      </c>
      <c r="EF1" t="e">
        <f>AND(Sheet3!B2,"AAAAAHz374c=")</f>
        <v>#VALUE!</v>
      </c>
      <c r="EG1" t="e">
        <f>AND(Sheet3!C2,"AAAAAHz374g=")</f>
        <v>#VALUE!</v>
      </c>
      <c r="EH1" t="e">
        <f>AND(Sheet3!D2,"AAAAAHz374k=")</f>
        <v>#VALUE!</v>
      </c>
      <c r="EI1" t="e">
        <f>AND(Sheet3!E2,"AAAAAHz374o=")</f>
        <v>#VALUE!</v>
      </c>
      <c r="EJ1" t="e">
        <f>AND(Sheet3!F2,"AAAAAHz374s=")</f>
        <v>#VALUE!</v>
      </c>
      <c r="EK1" t="e">
        <f>AND(Sheet3!G2,"AAAAAHz374w=")</f>
        <v>#VALUE!</v>
      </c>
      <c r="EL1" t="e">
        <f>AND(Sheet3!H2,"AAAAAHz3740=")</f>
        <v>#VALUE!</v>
      </c>
      <c r="EM1" t="e">
        <f>AND(Sheet3!I2,"AAAAAHz3744=")</f>
        <v>#VALUE!</v>
      </c>
      <c r="EN1" t="e">
        <f>AND(Sheet3!J2,"AAAAAHz3748=")</f>
        <v>#VALUE!</v>
      </c>
      <c r="EO1" t="e">
        <f>AND(Sheet3!K2,"AAAAAHz375A=")</f>
        <v>#VALUE!</v>
      </c>
      <c r="EP1">
        <f>IF(Sheet3!3:3,"AAAAAHz375E=",0)</f>
        <v>0</v>
      </c>
      <c r="EQ1" t="e">
        <f>AND(Sheet3!A3,"AAAAAHz375I=")</f>
        <v>#VALUE!</v>
      </c>
      <c r="ER1" t="e">
        <f>AND(Sheet3!B3,"AAAAAHz375M=")</f>
        <v>#VALUE!</v>
      </c>
      <c r="ES1" t="e">
        <f>AND(Sheet3!C3,"AAAAAHz375Q=")</f>
        <v>#VALUE!</v>
      </c>
      <c r="ET1" t="e">
        <f>AND(Sheet3!D3,"AAAAAHz375U=")</f>
        <v>#VALUE!</v>
      </c>
      <c r="EU1" t="e">
        <f>AND(Sheet3!E3,"AAAAAHz375Y=")</f>
        <v>#VALUE!</v>
      </c>
      <c r="EV1" t="e">
        <f>AND(Sheet3!F3,"AAAAAHz375c=")</f>
        <v>#VALUE!</v>
      </c>
      <c r="EW1" t="e">
        <f>AND(Sheet3!G3,"AAAAAHz375g=")</f>
        <v>#VALUE!</v>
      </c>
      <c r="EX1" t="e">
        <f>AND(Sheet3!H3,"AAAAAHz375k=")</f>
        <v>#VALUE!</v>
      </c>
      <c r="EY1" t="e">
        <f>AND(Sheet3!I3,"AAAAAHz375o=")</f>
        <v>#VALUE!</v>
      </c>
      <c r="EZ1" t="e">
        <f>AND(Sheet3!J3,"AAAAAHz375s=")</f>
        <v>#VALUE!</v>
      </c>
      <c r="FA1" t="e">
        <f>AND(Sheet3!K3,"AAAAAHz375w=")</f>
        <v>#VALUE!</v>
      </c>
      <c r="FB1">
        <f>IF(Sheet3!4:4,"AAAAAHz3750=",0)</f>
        <v>0</v>
      </c>
      <c r="FC1" t="e">
        <f>AND(Sheet3!A4,"AAAAAHz3754=")</f>
        <v>#VALUE!</v>
      </c>
      <c r="FD1" t="e">
        <f>AND(Sheet3!B4,"AAAAAHz3758=")</f>
        <v>#VALUE!</v>
      </c>
      <c r="FE1" t="e">
        <f>AND(Sheet3!C4,"AAAAAHz376A=")</f>
        <v>#VALUE!</v>
      </c>
      <c r="FF1" t="e">
        <f>AND(Sheet3!D4,"AAAAAHz376E=")</f>
        <v>#VALUE!</v>
      </c>
      <c r="FG1" t="e">
        <f>AND(Sheet3!E4,"AAAAAHz376I=")</f>
        <v>#VALUE!</v>
      </c>
      <c r="FH1" t="e">
        <f>AND(Sheet3!F4,"AAAAAHz376M=")</f>
        <v>#VALUE!</v>
      </c>
      <c r="FI1" t="e">
        <f>AND(Sheet3!G4,"AAAAAHz376Q=")</f>
        <v>#VALUE!</v>
      </c>
      <c r="FJ1" t="e">
        <f>AND(Sheet3!H4,"AAAAAHz376U=")</f>
        <v>#VALUE!</v>
      </c>
      <c r="FK1" t="e">
        <f>AND(Sheet3!I4,"AAAAAHz376Y=")</f>
        <v>#VALUE!</v>
      </c>
      <c r="FL1" t="e">
        <f>IF(Sheet3!A:A,"AAAAAHz376c=",0)</f>
        <v>#VALUE!</v>
      </c>
      <c r="FM1">
        <f>IF(Sheet3!B:B,"AAAAAHz376g=",0)</f>
        <v>0</v>
      </c>
      <c r="FN1" t="e">
        <f>IF(Sheet3!C:C,"AAAAAHz376k=",0)</f>
        <v>#VALUE!</v>
      </c>
      <c r="FO1">
        <f>IF(Sheet3!D:D,"AAAAAHz376o=",0)</f>
        <v>0</v>
      </c>
      <c r="FP1" t="e">
        <f>IF(Sheet3!E:E,"AAAAAHz376s=",0)</f>
        <v>#VALUE!</v>
      </c>
      <c r="FQ1">
        <f>IF(Sheet3!F:F,"AAAAAHz376w=",0)</f>
        <v>0</v>
      </c>
      <c r="FR1" t="e">
        <f>IF(Sheet3!G:G,"AAAAAHz3760=",0)</f>
        <v>#VALUE!</v>
      </c>
      <c r="FS1">
        <f>IF(Sheet3!H:H,"AAAAAHz3764=",0)</f>
        <v>0</v>
      </c>
      <c r="FT1" t="e">
        <f>IF(Sheet3!I:I,"AAAAAHz3768=",0)</f>
        <v>#VALUE!</v>
      </c>
      <c r="FU1">
        <f>IF(Sheet3!J:J,"AAAAAHz377A=",0)</f>
        <v>0</v>
      </c>
      <c r="FV1" t="e">
        <f>IF(Sheet3!K:K,"AAAAAHz377E=",0)</f>
        <v>#VALUE!</v>
      </c>
      <c r="FW1" t="s">
        <v>29</v>
      </c>
      <c r="FX1" t="e">
        <f>IF("N",DeliveryOptionList,"AAAAAHz377M=")</f>
        <v>#VALUE!</v>
      </c>
      <c r="FY1" t="e">
        <f>IF("N",districtList,"AAAAAHz377Q=")</f>
        <v>#VALUE!</v>
      </c>
      <c r="FZ1" t="e">
        <f>IF("N",HasHighValue,"AAAAAHz377U=")</f>
        <v>#VALUE!</v>
      </c>
      <c r="GA1" t="e">
        <f>IF("N",IsFragile,"AAAAAHz377Y=")</f>
        <v>#VALUE!</v>
      </c>
      <c r="GB1" t="e">
        <f>IF("N",PaymentType,"AAAAAHz377c=")</f>
        <v>#VALUE!</v>
      </c>
      <c r="GC1" t="e">
        <f>IF("N",Size,"AAAAAHz377g=")</f>
        <v>#VALUE!</v>
      </c>
    </row>
    <row r="2" spans="1:185" x14ac:dyDescent="0.25">
      <c r="A2" t="e">
        <f>AND(#REF!,"AAAAAGrm9gA=")</f>
        <v>#REF!</v>
      </c>
      <c r="B2" t="e">
        <f>AND(#REF!,"AAAAAGrm9gE=")</f>
        <v>#REF!</v>
      </c>
      <c r="C2" t="e">
        <f>AND(#REF!,"AAAAAGrm9gI=")</f>
        <v>#REF!</v>
      </c>
      <c r="D2" t="e">
        <f>AND(#REF!,"AAAAAGrm9gM=")</f>
        <v>#REF!</v>
      </c>
      <c r="E2" t="e">
        <f>AND(#REF!,"AAAAAGrm9gQ=")</f>
        <v>#REF!</v>
      </c>
      <c r="F2" t="e">
        <f>AND(#REF!,"AAAAAGrm9gU=")</f>
        <v>#REF!</v>
      </c>
      <c r="G2" t="e">
        <f>AND(#REF!,"AAAAAGrm9gY=")</f>
        <v>#REF!</v>
      </c>
      <c r="H2" t="e">
        <f>AND(#REF!,"AAAAAGrm9gc=")</f>
        <v>#REF!</v>
      </c>
      <c r="I2" t="e">
        <f>AND(#REF!,"AAAAAGrm9gg=")</f>
        <v>#REF!</v>
      </c>
      <c r="J2" t="e">
        <f>AND(#REF!,"AAAAAGrm9gk=")</f>
        <v>#REF!</v>
      </c>
      <c r="K2" t="e">
        <f>AND(#REF!,"AAAAAGrm9go=")</f>
        <v>#REF!</v>
      </c>
      <c r="L2" t="e">
        <f>AND(#REF!,"AAAAAGrm9gs=")</f>
        <v>#REF!</v>
      </c>
      <c r="M2" t="e">
        <f>AND(#REF!,"AAAAAGrm9gw=")</f>
        <v>#REF!</v>
      </c>
      <c r="N2" t="e">
        <f>AND(#REF!,"AAAAAGrm9g0=")</f>
        <v>#REF!</v>
      </c>
      <c r="O2" t="e">
        <f>AND(#REF!,"AAAAAGrm9g4=")</f>
        <v>#REF!</v>
      </c>
      <c r="P2" t="e">
        <f>AND(#REF!,"AAAAAGrm9g8=")</f>
        <v>#REF!</v>
      </c>
    </row>
    <row r="3" spans="1:185" x14ac:dyDescent="0.25">
      <c r="A3" t="e">
        <f>AND(#REF!,"AAAAAH/7fwA=")</f>
        <v>#REF!</v>
      </c>
      <c r="B3" t="e">
        <f>AND(#REF!,"AAAAAH/7fwE=")</f>
        <v>#REF!</v>
      </c>
      <c r="C3" t="e">
        <f>AND(#REF!,"AAAAAH/7fwI=")</f>
        <v>#REF!</v>
      </c>
      <c r="D3" t="e">
        <f>AND(#REF!,"AAAAAH/7fwM=")</f>
        <v>#REF!</v>
      </c>
      <c r="E3" t="e">
        <f>AND(#REF!,"AAAAAH/7fwQ=")</f>
        <v>#REF!</v>
      </c>
      <c r="F3" t="e">
        <f>AND(#REF!,"AAAAAH/7fwU=")</f>
        <v>#REF!</v>
      </c>
      <c r="G3" t="e">
        <f>IF(#REF!,"AAAAAH/7fwY=",0)</f>
        <v>#REF!</v>
      </c>
      <c r="H3" t="e">
        <f>IF(#REF!,"AAAAAH/7fwc=",0)</f>
        <v>#REF!</v>
      </c>
      <c r="I3" t="e">
        <f>IF(#REF!,"AAAAAH/7fwg=",0)</f>
        <v>#REF!</v>
      </c>
      <c r="J3" t="e">
        <f>AND(#REF!,"AAAAAH/7fwk=")</f>
        <v>#REF!</v>
      </c>
      <c r="K3" t="e">
        <f>AND(#REF!,"AAAAAH/7fwo=")</f>
        <v>#REF!</v>
      </c>
      <c r="L3" t="e">
        <f>AND(#REF!,"AAAAAH/7fws=")</f>
        <v>#REF!</v>
      </c>
      <c r="M3" t="e">
        <f>AND(#REF!,"AAAAAH/7fww=")</f>
        <v>#REF!</v>
      </c>
      <c r="N3" t="e">
        <f>AND(#REF!,"AAAAAH/7fw0=")</f>
        <v>#REF!</v>
      </c>
      <c r="O3" t="e">
        <f>AND(#REF!,"AAAAAH/7fw4=")</f>
        <v>#REF!</v>
      </c>
      <c r="P3" t="e">
        <f>AND(#REF!,"AAAAAH/7fw8=")</f>
        <v>#REF!</v>
      </c>
      <c r="Q3" t="e">
        <f>AND(#REF!,"AAAAAH/7fxA=")</f>
        <v>#REF!</v>
      </c>
      <c r="R3" t="e">
        <f>AND(#REF!,"AAAAAH/7fxE=")</f>
        <v>#REF!</v>
      </c>
      <c r="S3" t="e">
        <f>AND(#REF!,"AAAAAH/7fxI=")</f>
        <v>#REF!</v>
      </c>
      <c r="T3" t="e">
        <f>AND(#REF!,"AAAAAH/7fxM=")</f>
        <v>#REF!</v>
      </c>
      <c r="U3" t="e">
        <f>AND(#REF!,"AAAAAH/7fxQ=")</f>
        <v>#REF!</v>
      </c>
      <c r="V3" t="e">
        <f>AND(#REF!,"AAAAAH/7fxU=")</f>
        <v>#REF!</v>
      </c>
      <c r="W3" t="e">
        <f>AND(#REF!,"AAAAAH/7fxY=")</f>
        <v>#REF!</v>
      </c>
      <c r="X3" t="e">
        <f>AND(#REF!,"AAAAAH/7fxc=")</f>
        <v>#REF!</v>
      </c>
      <c r="Y3" t="e">
        <f>AND(#REF!,"AAAAAH/7fxg=")</f>
        <v>#REF!</v>
      </c>
      <c r="Z3" t="e">
        <f>AND(#REF!,"AAAAAH/7fxk=")</f>
        <v>#REF!</v>
      </c>
      <c r="AA3" t="e">
        <f>AND(#REF!,"AAAAAH/7fxo=")</f>
        <v>#REF!</v>
      </c>
      <c r="AB3" t="e">
        <f>IF(#REF!,"AAAAAH/7fxs=",0)</f>
        <v>#REF!</v>
      </c>
      <c r="AC3" t="e">
        <f>AND(#REF!,"AAAAAH/7fxw=")</f>
        <v>#REF!</v>
      </c>
      <c r="AD3" t="e">
        <f>AND(#REF!,"AAAAAH/7fx0=")</f>
        <v>#REF!</v>
      </c>
      <c r="AE3" t="e">
        <f>AND(#REF!,"AAAAAH/7fx4=")</f>
        <v>#REF!</v>
      </c>
      <c r="AF3" t="e">
        <f>AND(#REF!,"AAAAAH/7fx8=")</f>
        <v>#REF!</v>
      </c>
      <c r="AG3" t="e">
        <f>AND(#REF!,"AAAAAH/7fyA=")</f>
        <v>#REF!</v>
      </c>
      <c r="AH3" t="e">
        <f>AND(#REF!,"AAAAAH/7fyE=")</f>
        <v>#REF!</v>
      </c>
      <c r="AI3" t="e">
        <f>AND(#REF!,"AAAAAH/7fyI=")</f>
        <v>#REF!</v>
      </c>
      <c r="AJ3" t="e">
        <f>AND(#REF!,"AAAAAH/7fyM=")</f>
        <v>#REF!</v>
      </c>
      <c r="AK3" t="e">
        <f>AND(#REF!,"AAAAAH/7fyQ=")</f>
        <v>#REF!</v>
      </c>
      <c r="AL3" t="e">
        <f>AND(#REF!,"AAAAAH/7fyU=")</f>
        <v>#REF!</v>
      </c>
      <c r="AM3" t="e">
        <f>AND(#REF!,"AAAAAH/7fyY=")</f>
        <v>#REF!</v>
      </c>
      <c r="AN3" t="e">
        <f>AND(#REF!,"AAAAAH/7fyc=")</f>
        <v>#REF!</v>
      </c>
      <c r="AO3" t="e">
        <f>AND(#REF!,"AAAAAH/7fyg=")</f>
        <v>#REF!</v>
      </c>
      <c r="AP3" t="e">
        <f>AND(#REF!,"AAAAAH/7fyk=")</f>
        <v>#REF!</v>
      </c>
      <c r="AQ3" t="e">
        <f>AND(#REF!,"AAAAAH/7fyo=")</f>
        <v>#REF!</v>
      </c>
      <c r="AR3" t="e">
        <f>AND(#REF!,"AAAAAH/7fys=")</f>
        <v>#REF!</v>
      </c>
      <c r="AS3" t="e">
        <f>AND(#REF!,"AAAAAH/7fyw=")</f>
        <v>#REF!</v>
      </c>
      <c r="AT3" t="e">
        <f>AND(#REF!,"AAAAAH/7fy0=")</f>
        <v>#REF!</v>
      </c>
      <c r="AU3" t="e">
        <f>IF(#REF!,"AAAAAH/7fy4=",0)</f>
        <v>#REF!</v>
      </c>
      <c r="AV3" t="e">
        <f>AND(#REF!,"AAAAAH/7fy8=")</f>
        <v>#REF!</v>
      </c>
      <c r="AW3" t="e">
        <f>AND(#REF!,"AAAAAH/7fzA=")</f>
        <v>#REF!</v>
      </c>
      <c r="AX3" t="e">
        <f>AND(#REF!,"AAAAAH/7fzE=")</f>
        <v>#REF!</v>
      </c>
      <c r="AY3" t="e">
        <f>AND(#REF!,"AAAAAH/7fzI=")</f>
        <v>#REF!</v>
      </c>
      <c r="AZ3" t="e">
        <f>AND(#REF!,"AAAAAH/7fzM=")</f>
        <v>#REF!</v>
      </c>
      <c r="BA3" t="e">
        <f>AND(#REF!,"AAAAAH/7fzQ=")</f>
        <v>#REF!</v>
      </c>
      <c r="BB3" t="e">
        <f>AND(#REF!,"AAAAAH/7fzU=")</f>
        <v>#REF!</v>
      </c>
      <c r="BC3" t="e">
        <f>AND(#REF!,"AAAAAH/7fzY=")</f>
        <v>#REF!</v>
      </c>
      <c r="BD3" t="e">
        <f>AND(#REF!,"AAAAAH/7fzc=")</f>
        <v>#REF!</v>
      </c>
      <c r="BE3" t="e">
        <f>AND(#REF!,"AAAAAH/7fzg=")</f>
        <v>#REF!</v>
      </c>
      <c r="BF3" t="e">
        <f>AND(#REF!,"AAAAAH/7fzk=")</f>
        <v>#REF!</v>
      </c>
      <c r="BG3" t="e">
        <f>AND(#REF!,"AAAAAH/7fzo=")</f>
        <v>#REF!</v>
      </c>
      <c r="BH3" t="e">
        <f>AND(#REF!,"AAAAAH/7fzs=")</f>
        <v>#REF!</v>
      </c>
      <c r="BI3" t="e">
        <f>AND(#REF!,"AAAAAH/7fzw=")</f>
        <v>#REF!</v>
      </c>
      <c r="BJ3" t="e">
        <f>AND(#REF!,"AAAAAH/7fz0=")</f>
        <v>#REF!</v>
      </c>
      <c r="BK3" t="e">
        <f>AND(#REF!,"AAAAAH/7fz4=")</f>
        <v>#REF!</v>
      </c>
      <c r="BL3" t="e">
        <f>AND(#REF!,"AAAAAH/7fz8=")</f>
        <v>#REF!</v>
      </c>
      <c r="BM3" t="e">
        <f>AND(#REF!,"AAAAAH/7f0A=")</f>
        <v>#REF!</v>
      </c>
      <c r="BN3" t="e">
        <f>IF(#REF!,"AAAAAH/7f0E=",0)</f>
        <v>#REF!</v>
      </c>
      <c r="BO3" t="e">
        <f>IF(#REF!,"AAAAAH/7f0I=",0)</f>
        <v>#REF!</v>
      </c>
      <c r="BP3" t="e">
        <f>IF(#REF!,"AAAAAH/7f0M=",0)</f>
        <v>#REF!</v>
      </c>
      <c r="BQ3" t="e">
        <f>IF(#REF!,"AAAAAH/7f0Q=",0)</f>
        <v>#REF!</v>
      </c>
      <c r="BR3" t="e">
        <f>IF(#REF!,"AAAAAH/7f0U=",0)</f>
        <v>#REF!</v>
      </c>
      <c r="BS3" t="e">
        <f>IF(#REF!,"AAAAAH/7f0Y=",0)</f>
        <v>#REF!</v>
      </c>
      <c r="BT3" t="e">
        <f>IF(#REF!,"AAAAAH/7f0c=",0)</f>
        <v>#REF!</v>
      </c>
      <c r="BU3" t="e">
        <f>IF(#REF!,"AAAAAH/7f0g=",0)</f>
        <v>#REF!</v>
      </c>
      <c r="BV3" t="e">
        <f>IF(#REF!,"AAAAAH/7f0k=",0)</f>
        <v>#REF!</v>
      </c>
      <c r="BW3" t="e">
        <f>IF(#REF!,"AAAAAH/7f0o=",0)</f>
        <v>#REF!</v>
      </c>
      <c r="BX3" t="e">
        <f>IF(#REF!,"AAAAAH/7f0s=",0)</f>
        <v>#REF!</v>
      </c>
      <c r="BY3" t="e">
        <f>IF(#REF!,"AAAAAH/7f0w=",0)</f>
        <v>#REF!</v>
      </c>
      <c r="BZ3" t="e">
        <f>IF(#REF!,"AAAAAH/7f00=",0)</f>
        <v>#REF!</v>
      </c>
      <c r="CA3" t="e">
        <f>IF(#REF!,"AAAAAH/7f04=",0)</f>
        <v>#REF!</v>
      </c>
      <c r="CB3" t="e">
        <f>IF(#REF!,"AAAAAH/7f08=",0)</f>
        <v>#REF!</v>
      </c>
      <c r="CC3" t="e">
        <f>IF(#REF!,"AAAAAH/7f1A=",0)</f>
        <v>#REF!</v>
      </c>
      <c r="CD3" t="e">
        <f>IF(#REF!,"AAAAAH/7f1E=",0)</f>
        <v>#REF!</v>
      </c>
      <c r="CE3" t="e">
        <f>IF(#REF!,"AAAAAH/7f1I=",0)</f>
        <v>#REF!</v>
      </c>
      <c r="CF3" t="e">
        <f>AND(Sheet3!L1,"AAAAAH/7f1M=")</f>
        <v>#VALUE!</v>
      </c>
      <c r="CG3" t="e">
        <f>AND(Sheet3!M1,"AAAAAH/7f1Q=")</f>
        <v>#VALUE!</v>
      </c>
      <c r="CH3" t="e">
        <f>AND(Sheet3!N1,"AAAAAH/7f1U=")</f>
        <v>#VALUE!</v>
      </c>
      <c r="CI3" t="e">
        <f>AND(Sheet3!O1,"AAAAAH/7f1Y=")</f>
        <v>#VALUE!</v>
      </c>
      <c r="CJ3" t="e">
        <f>AND(Sheet3!P1,"AAAAAH/7f1c=")</f>
        <v>#VALUE!</v>
      </c>
      <c r="CK3" t="e">
        <f>AND(Sheet3!Q1,"AAAAAH/7f1g=")</f>
        <v>#VALUE!</v>
      </c>
      <c r="CL3" t="e">
        <f>AND(Sheet3!#REF!,"AAAAAH/7f1k=")</f>
        <v>#REF!</v>
      </c>
      <c r="CM3" t="e">
        <f>AND(Sheet3!R1,"AAAAAH/7f1o=")</f>
        <v>#VALUE!</v>
      </c>
      <c r="CN3" t="e">
        <f>AND(Sheet3!S1,"AAAAAH/7f1s=")</f>
        <v>#VALUE!</v>
      </c>
      <c r="CO3" t="e">
        <f>AND(Sheet3!T1,"AAAAAH/7f1w=")</f>
        <v>#VALUE!</v>
      </c>
      <c r="CP3" t="e">
        <f>AND(Sheet3!U1,"AAAAAH/7f10=")</f>
        <v>#VALUE!</v>
      </c>
      <c r="CQ3" t="e">
        <f>AND(Sheet3!V1,"AAAAAH/7f14=")</f>
        <v>#VALUE!</v>
      </c>
      <c r="CR3" t="e">
        <f>AND(Sheet3!W1,"AAAAAH/7f18=")</f>
        <v>#VALUE!</v>
      </c>
      <c r="CS3" t="e">
        <f>AND(Sheet3!L2,"AAAAAH/7f2A=")</f>
        <v>#VALUE!</v>
      </c>
      <c r="CT3" t="e">
        <f>AND(Sheet3!M2,"AAAAAH/7f2E=")</f>
        <v>#VALUE!</v>
      </c>
      <c r="CU3" t="e">
        <f>AND(Sheet3!#REF!,"AAAAAH/7f2I=")</f>
        <v>#REF!</v>
      </c>
      <c r="CV3" t="e">
        <f>AND(Sheet3!#REF!,"AAAAAH/7f2M=")</f>
        <v>#REF!</v>
      </c>
      <c r="CW3" t="e">
        <f>AND(Sheet3!P2,"AAAAAH/7f2Q=")</f>
        <v>#VALUE!</v>
      </c>
      <c r="CX3" t="e">
        <f>AND(Sheet3!Q2,"AAAAAH/7f2U=")</f>
        <v>#VALUE!</v>
      </c>
      <c r="CY3" t="e">
        <f>AND(Sheet3!#REF!,"AAAAAH/7f2Y=")</f>
        <v>#REF!</v>
      </c>
      <c r="CZ3" t="e">
        <f>AND(Sheet3!R2,"AAAAAH/7f2c=")</f>
        <v>#VALUE!</v>
      </c>
      <c r="DA3" t="e">
        <f>AND(Sheet3!#REF!,"AAAAAH/7f2g=")</f>
        <v>#REF!</v>
      </c>
      <c r="DB3" t="e">
        <f>AND(Sheet3!T2,"AAAAAH/7f2k=")</f>
        <v>#VALUE!</v>
      </c>
      <c r="DC3" t="e">
        <f>AND(Sheet3!U2,"AAAAAH/7f2o=")</f>
        <v>#VALUE!</v>
      </c>
      <c r="DD3" t="e">
        <f>AND(Sheet3!V2,"AAAAAH/7f2s=")</f>
        <v>#VALUE!</v>
      </c>
      <c r="DE3" t="e">
        <f>AND(Sheet3!W2,"AAAAAH/7f2w=")</f>
        <v>#VALUE!</v>
      </c>
      <c r="DF3" t="e">
        <f>AND(Sheet3!L3,"AAAAAH/7f20=")</f>
        <v>#VALUE!</v>
      </c>
      <c r="DG3" t="e">
        <f>AND(Sheet3!M3,"AAAAAH/7f24=")</f>
        <v>#VALUE!</v>
      </c>
      <c r="DH3" t="e">
        <f>AND(Sheet3!#REF!,"AAAAAH/7f28=")</f>
        <v>#REF!</v>
      </c>
      <c r="DI3" t="e">
        <f>AND(Sheet3!#REF!,"AAAAAH/7f3A=")</f>
        <v>#REF!</v>
      </c>
      <c r="DJ3" t="e">
        <f>AND(Sheet3!P3,"AAAAAH/7f3E=")</f>
        <v>#VALUE!</v>
      </c>
      <c r="DK3" t="e">
        <f>AND(Sheet3!Q3,"AAAAAH/7f3I=")</f>
        <v>#VALUE!</v>
      </c>
      <c r="DL3" t="e">
        <f>AND(Sheet3!#REF!,"AAAAAH/7f3M=")</f>
        <v>#REF!</v>
      </c>
      <c r="DM3" t="e">
        <f>AND(Sheet3!R3,"AAAAAH/7f3Q=")</f>
        <v>#VALUE!</v>
      </c>
      <c r="DN3" t="e">
        <f>AND(Sheet3!S2,"AAAAAH/7f3U=")</f>
        <v>#VALUE!</v>
      </c>
      <c r="DO3" t="e">
        <f>AND(Sheet3!T3,"AAAAAH/7f3Y=")</f>
        <v>#VALUE!</v>
      </c>
      <c r="DP3" t="e">
        <f>AND(Sheet3!U3,"AAAAAH/7f3c=")</f>
        <v>#VALUE!</v>
      </c>
      <c r="DQ3" t="e">
        <f>AND(Sheet3!V3,"AAAAAH/7f3g=")</f>
        <v>#VALUE!</v>
      </c>
      <c r="DR3" t="e">
        <f>AND(Sheet3!W3,"AAAAAH/7f3k=")</f>
        <v>#VALUE!</v>
      </c>
      <c r="DS3">
        <f>IF(Sheet3!L:L,"AAAAAH/7f3o=",0)</f>
        <v>0</v>
      </c>
      <c r="DT3">
        <f>IF(Sheet3!M:M,"AAAAAH/7f3s=",0)</f>
        <v>0</v>
      </c>
      <c r="DU3" t="e">
        <f>IF(Sheet3!N:N,"AAAAAH/7f3w=",0)</f>
        <v>#VALUE!</v>
      </c>
      <c r="DV3" t="e">
        <f>IF(Sheet3!O:O,"AAAAAH/7f30=",0)</f>
        <v>#VALUE!</v>
      </c>
      <c r="DW3">
        <f>IF(Sheet3!P:P,"AAAAAH/7f34=",0)</f>
        <v>0</v>
      </c>
      <c r="DX3" t="e">
        <f>IF(Sheet3!Q:Q,"AAAAAH/7f38=",0)</f>
        <v>#VALUE!</v>
      </c>
      <c r="DY3" t="e">
        <f>IF(Sheet3!#REF!,"AAAAAH/7f4A=",0)</f>
        <v>#REF!</v>
      </c>
      <c r="DZ3">
        <f>IF(Sheet3!R:R,"AAAAAH/7f4E=",0)</f>
        <v>0</v>
      </c>
      <c r="EA3" t="e">
        <f>IF(Sheet3!S:S,"AAAAAH/7f4I=",0)</f>
        <v>#VALUE!</v>
      </c>
      <c r="EB3">
        <f>IF(Sheet3!T:T,"AAAAAH/7f4M=",0)</f>
        <v>0</v>
      </c>
      <c r="EC3" t="e">
        <f>IF(Sheet3!U:U,"AAAAAH/7f4Q=",0)</f>
        <v>#VALUE!</v>
      </c>
      <c r="ED3">
        <f>IF(Sheet3!V:V,"AAAAAH/7f4U=",0)</f>
        <v>0</v>
      </c>
      <c r="EE3" t="e">
        <f>IF(Sheet3!W:W,"AAAAAH/7f4Y=",0)</f>
        <v>#VALUE!</v>
      </c>
      <c r="EF3" t="e">
        <f>IF("N",cityList,"AAAAAH/7f4c=")</f>
        <v>#VALUE!</v>
      </c>
      <c r="EG3" t="e">
        <f>IF("N",cityLookup,"AAAAAH/7f4g=")</f>
        <v>#VALUE!</v>
      </c>
      <c r="EH3" t="e">
        <f>IF("N",[0]!DeliveryOptionList,"AAAAAH/7f4k=")</f>
        <v>#VALUE!</v>
      </c>
      <c r="EI3" t="e">
        <f>IF("N",GoVap,"AAAAAH/7f4o=")</f>
        <v>#VALUE!</v>
      </c>
      <c r="EJ3" t="e">
        <f>IF("N",govapList,"AAAAAH/7f4s=")</f>
        <v>#VALUE!</v>
      </c>
      <c r="EK3" t="e">
        <f>IF("N",HaDong,"AAAAAH/7f4w=")</f>
        <v>#VALUE!</v>
      </c>
      <c r="EL3" t="e">
        <f>IF("N",hadongList,"AAAAAH/7f40=")</f>
        <v>#VALUE!</v>
      </c>
      <c r="EM3" t="e">
        <f>IF("N",HaNoi,"AAAAAH/7f44=")</f>
        <v>#VALUE!</v>
      </c>
      <c r="EN3" t="e">
        <f>IF("N",hanoiList,"AAAAAH/7f48=")</f>
        <v>#VALUE!</v>
      </c>
      <c r="EO3" t="e">
        <f>IF("N",hanoiLookup,"AAAAAH/7f5A=")</f>
        <v>#VALUE!</v>
      </c>
      <c r="EP3" t="e">
        <f>IF("N",[0]!HasHighValue,"AAAAAH/7f5E=")</f>
        <v>#VALUE!</v>
      </c>
      <c r="EQ3" t="e">
        <f>IF("N",HoChiMinh,"AAAAAH/7f5I=")</f>
        <v>#VALUE!</v>
      </c>
      <c r="ER3" t="e">
        <f>IF("N",hochiminhList,"AAAAAH/7f5M=")</f>
        <v>#VALUE!</v>
      </c>
      <c r="ES3" t="e">
        <f>IF("N",hochiminhLookup,"AAAAAH/7f5Q=")</f>
        <v>#VALUE!</v>
      </c>
      <c r="ET3" t="e">
        <f>IF("N",[0]!IsFragile,"AAAAAH/7f5U=")</f>
        <v>#VALUE!</v>
      </c>
      <c r="EU3" t="e">
        <f>IF("N",[0]!PaymentType,"AAAAAH/7f5Y=")</f>
        <v>#VALUE!</v>
      </c>
      <c r="EV3" t="e">
        <f>IF("N",Quan12,"AAAAAH/7f5c=")</f>
        <v>#VALUE!</v>
      </c>
      <c r="EW3" t="e">
        <f>IF("N",quan12List,"AAAAAH/7f5g=")</f>
        <v>#VALUE!</v>
      </c>
      <c r="EX3" t="e">
        <f>IF("N",[0]!Size,"AAAAAH/7f5k=")</f>
        <v>#VALUE!</v>
      </c>
    </row>
    <row r="4" spans="1:185" x14ac:dyDescent="0.25">
      <c r="A4" t="e">
        <f>IF(#REF!,"AAAAAF/P8wA=",0)</f>
        <v>#REF!</v>
      </c>
      <c r="B4" t="e">
        <f>IF(#REF!,"AAAAAF/P8wE=",0)</f>
        <v>#REF!</v>
      </c>
      <c r="C4" t="e">
        <f>IF(#REF!,"AAAAAF/P8wI=",0)</f>
        <v>#REF!</v>
      </c>
      <c r="D4" t="e">
        <f>IF(#REF!,"AAAAAF/P8wM=",0)</f>
        <v>#REF!</v>
      </c>
      <c r="E4" t="e">
        <f>IF(#REF!,"AAAAAF/P8wQ=",0)</f>
        <v>#REF!</v>
      </c>
      <c r="F4" t="e">
        <f>IF(#REF!,"AAAAAF/P8wU=",0)</f>
        <v>#REF!</v>
      </c>
    </row>
    <row r="5" spans="1:185" x14ac:dyDescent="0.25">
      <c r="A5" t="e">
        <f>AND(#REF!,"AAAAACpb1wA=")</f>
        <v>#REF!</v>
      </c>
      <c r="B5" t="e">
        <f>AND(#REF!,"AAAAACpb1wE=")</f>
        <v>#REF!</v>
      </c>
      <c r="C5" t="e">
        <f>AND(#REF!,"AAAAACpb1wI=")</f>
        <v>#REF!</v>
      </c>
      <c r="D5" t="e">
        <f>AND(#REF!,"AAAAACpb1wM=")</f>
        <v>#REF!</v>
      </c>
      <c r="E5" t="e">
        <f>AND(#REF!,"AAAAACpb1wQ=")</f>
        <v>#REF!</v>
      </c>
      <c r="F5" t="e">
        <f>AND(#REF!,"AAAAACpb1wU=")</f>
        <v>#REF!</v>
      </c>
      <c r="G5" t="e">
        <f>AND(#REF!,"AAAAACpb1wY=")</f>
        <v>#REF!</v>
      </c>
    </row>
    <row r="6" spans="1:185" x14ac:dyDescent="0.25">
      <c r="A6" t="e">
        <f>IF(#REF!,"AAAAAG5u7wA=",0)</f>
        <v>#REF!</v>
      </c>
      <c r="B6" t="e">
        <f>AND(#REF!,"AAAAAG5u7wE=")</f>
        <v>#REF!</v>
      </c>
      <c r="C6" t="e">
        <f>AND(#REF!,"AAAAAG5u7wI=")</f>
        <v>#REF!</v>
      </c>
      <c r="D6" t="e">
        <f>AND(#REF!,"AAAAAG5u7wM=")</f>
        <v>#REF!</v>
      </c>
      <c r="E6" t="e">
        <f>AND(#REF!,"AAAAAG5u7wQ=")</f>
        <v>#REF!</v>
      </c>
      <c r="F6" t="e">
        <f>AND(#REF!,"AAAAAG5u7wU=")</f>
        <v>#REF!</v>
      </c>
      <c r="G6" t="e">
        <f>AND(#REF!,"AAAAAG5u7wY=")</f>
        <v>#REF!</v>
      </c>
      <c r="H6" t="e">
        <f>AND(#REF!,"AAAAAG5u7wc=")</f>
        <v>#REF!</v>
      </c>
      <c r="I6" t="e">
        <f>IF(#REF!,"AAAAAG5u7wg=",0)</f>
        <v>#REF!</v>
      </c>
      <c r="J6" t="e">
        <f>AND(#REF!,"AAAAAG5u7wk=")</f>
        <v>#REF!</v>
      </c>
      <c r="K6" t="e">
        <f>AND(#REF!,"AAAAAG5u7wo=")</f>
        <v>#REF!</v>
      </c>
      <c r="L6" t="e">
        <f>AND(#REF!,"AAAAAG5u7ws=")</f>
        <v>#REF!</v>
      </c>
      <c r="M6" t="e">
        <f>AND(#REF!,"AAAAAG5u7ww=")</f>
        <v>#REF!</v>
      </c>
      <c r="N6" t="e">
        <f>AND(#REF!,"AAAAAG5u7w0=")</f>
        <v>#REF!</v>
      </c>
      <c r="O6" t="e">
        <f>AND(#REF!,"AAAAAG5u7w4=")</f>
        <v>#REF!</v>
      </c>
      <c r="P6" t="e">
        <f>AND(#REF!,"AAAAAG5u7w8=")</f>
        <v>#REF!</v>
      </c>
    </row>
    <row r="7" spans="1:185" x14ac:dyDescent="0.25">
      <c r="A7" t="e">
        <f>AND(Sheet3!S3,"AAAAAD3dfwA=")</f>
        <v>#VALUE!</v>
      </c>
      <c r="B7" t="e">
        <f>AND(Sheet3!J4,"AAAAAD3dfwE=")</f>
        <v>#VALUE!</v>
      </c>
      <c r="C7" t="e">
        <f>AND(Sheet3!K4,"AAAAAD3dfwI=")</f>
        <v>#VALUE!</v>
      </c>
      <c r="D7" t="e">
        <f>AND(Sheet3!L4,"AAAAAD3dfwM=")</f>
        <v>#VALUE!</v>
      </c>
      <c r="E7" t="e">
        <f>AND(Sheet3!M4,"AAAAAD3dfwQ=")</f>
        <v>#VALUE!</v>
      </c>
      <c r="F7" t="e">
        <f>AND(Sheet3!#REF!,"AAAAAD3dfwU=")</f>
        <v>#REF!</v>
      </c>
      <c r="G7" t="e">
        <f>AND(Sheet3!#REF!,"AAAAAD3dfwY=")</f>
        <v>#REF!</v>
      </c>
      <c r="H7" t="e">
        <f>AND(Sheet3!P4,"AAAAAD3dfwc=")</f>
        <v>#VALUE!</v>
      </c>
      <c r="I7" t="e">
        <f>AND(Sheet3!Q4,"AAAAAD3dfwg=")</f>
        <v>#VALUE!</v>
      </c>
      <c r="J7" t="e">
        <f>AND(Sheet3!#REF!,"AAAAAD3dfwk=")</f>
        <v>#REF!</v>
      </c>
      <c r="K7" t="e">
        <f>AND(Sheet3!R4,"AAAAAD3dfwo=")</f>
        <v>#VALUE!</v>
      </c>
      <c r="L7" t="e">
        <f>AND(Sheet3!S4,"AAAAAD3dfws=")</f>
        <v>#VALUE!</v>
      </c>
      <c r="M7" t="e">
        <f>IF("N",Quan,"AAAAAD3dfww=")</f>
        <v>#VALUE!</v>
      </c>
    </row>
    <row r="8" spans="1:185" x14ac:dyDescent="0.25">
      <c r="A8" t="e">
        <f>AND(Sheet3!N2,"AAAAAHt/TwA=")</f>
        <v>#VALUE!</v>
      </c>
      <c r="B8" t="e">
        <f>AND(Sheet3!O2,"AAAAAHt/TwE=")</f>
        <v>#VALUE!</v>
      </c>
      <c r="C8" t="e">
        <f>AND(Sheet3!N3,"AAAAAHt/TwI=")</f>
        <v>#VALUE!</v>
      </c>
      <c r="D8" t="e">
        <f>AND(Sheet3!O3,"AAAAAHt/TwM=")</f>
        <v>#VALUE!</v>
      </c>
      <c r="E8" t="e">
        <f>AND(Sheet3!N4,"AAAAAHt/TwQ=")</f>
        <v>#VALUE!</v>
      </c>
      <c r="F8" t="e">
        <f>AND(Sheet3!O4,"AAAAAHt/TwU=")</f>
        <v>#VALUE!</v>
      </c>
      <c r="G8" t="e">
        <f>AND(Sheet3!T4,"AAAAAHt/TwY=")</f>
        <v>#VALUE!</v>
      </c>
      <c r="H8" t="e">
        <f>AND(Sheet3!U4,"AAAAAHt/Twc=")</f>
        <v>#VALUE!</v>
      </c>
      <c r="I8" t="e">
        <f>AND(Sheet3!V4,"AAAAAHt/Twg=")</f>
        <v>#VALUE!</v>
      </c>
      <c r="J8" t="e">
        <f>AND(Sheet3!W4,"AAAAAHt/Twk=")</f>
        <v>#VALUE!</v>
      </c>
      <c r="K8">
        <f>IF(Sheet3!5:5,"AAAAAHt/Two=",0)</f>
        <v>0</v>
      </c>
      <c r="L8" t="e">
        <f>AND(Sheet3!A5,"AAAAAHt/Tws=")</f>
        <v>#VALUE!</v>
      </c>
      <c r="M8" t="e">
        <f>AND(Sheet3!B5,"AAAAAHt/Tww=")</f>
        <v>#VALUE!</v>
      </c>
      <c r="N8" t="e">
        <f>AND(Sheet3!C5,"AAAAAHt/Tw0=")</f>
        <v>#VALUE!</v>
      </c>
      <c r="O8" t="e">
        <f>AND(Sheet3!D5,"AAAAAHt/Tw4=")</f>
        <v>#VALUE!</v>
      </c>
      <c r="P8" t="e">
        <f>AND(Sheet3!E5,"AAAAAHt/Tw8=")</f>
        <v>#VALUE!</v>
      </c>
      <c r="Q8" t="e">
        <f>AND(Sheet3!F5,"AAAAAHt/TxA=")</f>
        <v>#VALUE!</v>
      </c>
      <c r="R8" t="e">
        <f>AND(Sheet3!G5,"AAAAAHt/TxE=")</f>
        <v>#VALUE!</v>
      </c>
      <c r="S8" t="e">
        <f>AND(Sheet3!H5,"AAAAAHt/TxI=")</f>
        <v>#VALUE!</v>
      </c>
      <c r="T8" t="e">
        <f>AND(Sheet3!I5,"AAAAAHt/TxM=")</f>
        <v>#VALUE!</v>
      </c>
      <c r="U8" t="e">
        <f>AND(Sheet3!J5,"AAAAAHt/TxQ=")</f>
        <v>#VALUE!</v>
      </c>
      <c r="V8" t="e">
        <f>AND(Sheet3!K5,"AAAAAHt/TxU=")</f>
        <v>#VALUE!</v>
      </c>
      <c r="W8" t="e">
        <f>AND(Sheet3!L5,"AAAAAHt/TxY=")</f>
        <v>#VALUE!</v>
      </c>
      <c r="X8" t="e">
        <f>AND(Sheet3!M5,"AAAAAHt/Txc=")</f>
        <v>#VALUE!</v>
      </c>
      <c r="Y8" t="e">
        <f>AND(Sheet3!N5,"AAAAAHt/Txg=")</f>
        <v>#VALUE!</v>
      </c>
      <c r="Z8" t="e">
        <f>AND(Sheet3!O5,"AAAAAHt/Txk=")</f>
        <v>#VALUE!</v>
      </c>
      <c r="AA8" t="e">
        <f>IF("N",TanBinh,"AAAAAHt/Txo=")</f>
        <v>#VALUE!</v>
      </c>
      <c r="AB8" t="e">
        <f>IF("N",TanPhu,"AAAAAHt/Txs=")</f>
        <v>#VALUE!</v>
      </c>
    </row>
    <row r="9" spans="1:185" x14ac:dyDescent="0.25">
      <c r="A9" t="e">
        <f>IF(Order2!1:1,"AAAAAG+++QA=",0)</f>
        <v>#VALUE!</v>
      </c>
      <c r="B9" t="e">
        <f>AND(Order2!A1,"AAAAAG+++QE=")</f>
        <v>#VALUE!</v>
      </c>
      <c r="C9" t="e">
        <f>AND(Order2!B1,"AAAAAG+++QI=")</f>
        <v>#VALUE!</v>
      </c>
      <c r="D9" t="e">
        <f>AND(Order2!C1,"AAAAAG+++QM=")</f>
        <v>#VALUE!</v>
      </c>
      <c r="E9" t="e">
        <f>AND(Order2!D1,"AAAAAG+++QQ=")</f>
        <v>#VALUE!</v>
      </c>
      <c r="F9" t="e">
        <f>AND(Order2!E1,"AAAAAG+++QU=")</f>
        <v>#VALUE!</v>
      </c>
      <c r="G9" t="e">
        <f>AND(Order2!F1,"AAAAAG+++QY=")</f>
        <v>#VALUE!</v>
      </c>
      <c r="H9" t="e">
        <f>AND(Order2!G1,"AAAAAG+++Qc=")</f>
        <v>#VALUE!</v>
      </c>
      <c r="I9" t="e">
        <f>AND(Order2!H1,"AAAAAG+++Qg=")</f>
        <v>#VALUE!</v>
      </c>
      <c r="J9" t="e">
        <f>AND(Order2!I1,"AAAAAG+++Qk=")</f>
        <v>#VALUE!</v>
      </c>
      <c r="K9" t="e">
        <f>AND(Order2!J1,"AAAAAG+++Qo=")</f>
        <v>#VALUE!</v>
      </c>
      <c r="L9">
        <f>IF(Order2!2:2,"AAAAAG+++Qs=",0)</f>
        <v>0</v>
      </c>
      <c r="M9" t="e">
        <f>AND(Order2!A2,"AAAAAG+++Qw=")</f>
        <v>#VALUE!</v>
      </c>
      <c r="N9" t="e">
        <f>AND(Order2!B2,"AAAAAG+++Q0=")</f>
        <v>#VALUE!</v>
      </c>
      <c r="O9" t="e">
        <f>AND(Order2!C2,"AAAAAG+++Q4=")</f>
        <v>#VALUE!</v>
      </c>
      <c r="P9" t="e">
        <f>AND(Order2!D2,"AAAAAG+++Q8=")</f>
        <v>#VALUE!</v>
      </c>
      <c r="Q9" t="e">
        <f>AND(Order2!E2,"AAAAAG+++RA=")</f>
        <v>#VALUE!</v>
      </c>
      <c r="R9" t="e">
        <f>AND(Order2!F2,"AAAAAG+++RE=")</f>
        <v>#VALUE!</v>
      </c>
      <c r="S9" t="e">
        <f>AND(Order2!G2,"AAAAAG+++RI=")</f>
        <v>#VALUE!</v>
      </c>
      <c r="T9" t="e">
        <f>AND(Order2!H2,"AAAAAG+++RM=")</f>
        <v>#VALUE!</v>
      </c>
      <c r="U9" t="e">
        <f>AND(Order2!I2,"AAAAAG+++RQ=")</f>
        <v>#VALUE!</v>
      </c>
      <c r="V9" t="e">
        <f>AND(Order2!J2,"AAAAAG+++RU=")</f>
        <v>#VALUE!</v>
      </c>
      <c r="W9">
        <f>IF(Order2!3:3,"AAAAAG+++RY=",0)</f>
        <v>0</v>
      </c>
      <c r="X9" t="e">
        <f>AND(Order2!A3,"AAAAAG+++Rc=")</f>
        <v>#VALUE!</v>
      </c>
      <c r="Y9" t="e">
        <f>AND(Order2!B3,"AAAAAG+++Rg=")</f>
        <v>#VALUE!</v>
      </c>
      <c r="Z9" t="e">
        <f>AND(Order2!C3,"AAAAAG+++Rk=")</f>
        <v>#VALUE!</v>
      </c>
      <c r="AA9" t="e">
        <f>AND(Order2!D3,"AAAAAG+++Ro=")</f>
        <v>#VALUE!</v>
      </c>
      <c r="AB9" t="e">
        <f>AND(Order2!E3,"AAAAAG+++Rs=")</f>
        <v>#VALUE!</v>
      </c>
      <c r="AC9" t="e">
        <f>AND(Order2!F3,"AAAAAG+++Rw=")</f>
        <v>#VALUE!</v>
      </c>
      <c r="AD9" t="e">
        <f>AND(Order2!G3,"AAAAAG+++R0=")</f>
        <v>#VALUE!</v>
      </c>
      <c r="AE9">
        <f>IF(Order2!4:4,"AAAAAG+++R4=",0)</f>
        <v>0</v>
      </c>
      <c r="AF9" t="e">
        <f>AND(Order2!A4,"AAAAAG+++R8=")</f>
        <v>#VALUE!</v>
      </c>
      <c r="AG9" t="e">
        <f>AND(Order2!B4,"AAAAAG+++SA=")</f>
        <v>#VALUE!</v>
      </c>
      <c r="AH9" t="e">
        <f>AND(Order2!C4,"AAAAAG+++SE=")</f>
        <v>#VALUE!</v>
      </c>
      <c r="AI9" t="e">
        <f>AND(Order2!D4,"AAAAAG+++SI=")</f>
        <v>#VALUE!</v>
      </c>
      <c r="AJ9" t="e">
        <f>AND(Order2!E4,"AAAAAG+++SM=")</f>
        <v>#VALUE!</v>
      </c>
      <c r="AK9" t="e">
        <f>AND(Order2!F4,"AAAAAG+++SQ=")</f>
        <v>#VALUE!</v>
      </c>
      <c r="AL9" t="e">
        <f>AND(Order2!G4,"AAAAAG+++SU=")</f>
        <v>#VALUE!</v>
      </c>
      <c r="AM9">
        <f>IF(Order2!5:5,"AAAAAG+++SY=",0)</f>
        <v>0</v>
      </c>
      <c r="AN9" t="e">
        <f>AND(Order2!A5,"AAAAAG+++Sc=")</f>
        <v>#VALUE!</v>
      </c>
      <c r="AO9" t="e">
        <f>AND(Order2!B5,"AAAAAG+++Sg=")</f>
        <v>#VALUE!</v>
      </c>
      <c r="AP9" t="e">
        <f>AND(Order2!C5,"AAAAAG+++Sk=")</f>
        <v>#VALUE!</v>
      </c>
      <c r="AQ9" t="e">
        <f>AND(Order2!D5,"AAAAAG+++So=")</f>
        <v>#VALUE!</v>
      </c>
      <c r="AR9" t="e">
        <f>AND(Order2!E5,"AAAAAG+++Ss=")</f>
        <v>#VALUE!</v>
      </c>
      <c r="AS9" t="e">
        <f>AND(Order2!F5,"AAAAAG+++Sw=")</f>
        <v>#VALUE!</v>
      </c>
      <c r="AT9" t="e">
        <f>AND(Order2!G5,"AAAAAG+++S0=")</f>
        <v>#VALUE!</v>
      </c>
      <c r="AU9">
        <f>IF(Order2!6:6,"AAAAAG+++S4=",0)</f>
        <v>0</v>
      </c>
      <c r="AV9" t="e">
        <f>AND(Order2!A6,"AAAAAG+++S8=")</f>
        <v>#VALUE!</v>
      </c>
      <c r="AW9" t="e">
        <f>AND(Order2!B6,"AAAAAG+++TA=")</f>
        <v>#VALUE!</v>
      </c>
      <c r="AX9" t="e">
        <f>AND(Order2!C6,"AAAAAG+++TE=")</f>
        <v>#VALUE!</v>
      </c>
      <c r="AY9" t="e">
        <f>AND(Order2!D6,"AAAAAG+++TI=")</f>
        <v>#VALUE!</v>
      </c>
      <c r="AZ9" t="e">
        <f>AND(Order2!E6,"AAAAAG+++TM=")</f>
        <v>#VALUE!</v>
      </c>
      <c r="BA9" t="e">
        <f>AND(Order2!F6,"AAAAAG+++TQ=")</f>
        <v>#VALUE!</v>
      </c>
      <c r="BB9" t="e">
        <f>AND(Order2!G6,"AAAAAG+++TU=")</f>
        <v>#VALUE!</v>
      </c>
      <c r="BC9">
        <f>IF(Order2!A:A,"AAAAAG+++TY=",0)</f>
        <v>0</v>
      </c>
      <c r="BD9">
        <f>IF(Order2!B:B,"AAAAAG+++Tc=",0)</f>
        <v>0</v>
      </c>
      <c r="BE9">
        <f>IF(Order2!C:C,"AAAAAG+++Tg=",0)</f>
        <v>0</v>
      </c>
      <c r="BF9">
        <f>IF(Order2!D:D,"AAAAAG+++Tk=",0)</f>
        <v>0</v>
      </c>
      <c r="BG9">
        <f>IF(Order2!E:E,"AAAAAG+++To=",0)</f>
        <v>0</v>
      </c>
      <c r="BH9">
        <f>IF(Order2!F:F,"AAAAAG+++Ts=",0)</f>
        <v>0</v>
      </c>
      <c r="BI9">
        <f>IF(Order2!G:G,"AAAAAG+++Tw=",0)</f>
        <v>0</v>
      </c>
      <c r="BJ9">
        <f>IF(Order2!H:H,"AAAAAG+++T0=",0)</f>
        <v>0</v>
      </c>
      <c r="BK9">
        <f>IF(Order2!I:I,"AAAAAG+++T4=",0)</f>
        <v>0</v>
      </c>
      <c r="BL9">
        <f>IF(Order2!J:J,"AAAAAG+++T8=",0)</f>
        <v>0</v>
      </c>
      <c r="BM9" t="e">
        <f>IF(#REF!,"AAAAAG+++UA=",0)</f>
        <v>#REF!</v>
      </c>
      <c r="BN9" t="e">
        <f>AND(#REF!,"AAAAAG+++UE=")</f>
        <v>#REF!</v>
      </c>
      <c r="BO9" t="e">
        <f>IF(#REF!,"AAAAAG+++UI=",0)</f>
        <v>#REF!</v>
      </c>
    </row>
    <row r="10" spans="1:185" x14ac:dyDescent="0.25">
      <c r="A10" t="e">
        <f>AND(#REF!,"AAAAAD331AA=")</f>
        <v>#REF!</v>
      </c>
      <c r="B10" t="e">
        <f>AND(#REF!,"AAAAAD331AE=")</f>
        <v>#REF!</v>
      </c>
      <c r="C10" t="e">
        <f>AND(#REF!,"AAAAAD331AI=")</f>
        <v>#REF!</v>
      </c>
      <c r="D10" t="e">
        <f>AND(#REF!,"AAAAAD331AM=")</f>
        <v>#REF!</v>
      </c>
      <c r="E10" t="e">
        <f>AND(#REF!,"AAAAAD331AQ=")</f>
        <v>#REF!</v>
      </c>
      <c r="F10" t="e">
        <f>AND(#REF!,"AAAAAD331AU=")</f>
        <v>#REF!</v>
      </c>
      <c r="G10" t="e">
        <f>AND(#REF!,"AAAAAD331AY=")</f>
        <v>#REF!</v>
      </c>
      <c r="H10" t="e">
        <f>AND(#REF!,"AAAAAD331Ac=")</f>
        <v>#REF!</v>
      </c>
      <c r="I10" t="e">
        <f>AND(#REF!,"AAAAAD331Ag=")</f>
        <v>#REF!</v>
      </c>
      <c r="J10" t="e">
        <f>IF(#REF!,"AAAAAD331Ak=",0)</f>
        <v>#REF!</v>
      </c>
      <c r="K10" t="e">
        <f>AND(#REF!,"AAAAAD331Ao=")</f>
        <v>#REF!</v>
      </c>
      <c r="L10" t="e">
        <f>AND(#REF!,"AAAAAD331As=")</f>
        <v>#REF!</v>
      </c>
      <c r="M10" t="e">
        <f>AND(#REF!,"AAAAAD331Aw=")</f>
        <v>#REF!</v>
      </c>
      <c r="N10" t="e">
        <f>AND(#REF!,"AAAAAD331A0=")</f>
        <v>#REF!</v>
      </c>
      <c r="O10" t="e">
        <f>AND(#REF!,"AAAAAD331A4=")</f>
        <v>#REF!</v>
      </c>
      <c r="P10" t="e">
        <f>AND(#REF!,"AAAAAD331A8=")</f>
        <v>#REF!</v>
      </c>
      <c r="Q10" t="e">
        <f>AND(#REF!,"AAAAAD331BA=")</f>
        <v>#REF!</v>
      </c>
      <c r="R10" t="e">
        <f>AND(#REF!,"AAAAAD331BE=")</f>
        <v>#REF!</v>
      </c>
      <c r="S10" t="e">
        <f>AND(#REF!,"AAAAAD331BI=")</f>
        <v>#REF!</v>
      </c>
      <c r="T10" t="e">
        <f>AND(#REF!,"AAAAAD331BM=")</f>
        <v>#REF!</v>
      </c>
      <c r="U10" t="e">
        <f>IF(#REF!,"AAAAAD331BQ=",0)</f>
        <v>#REF!</v>
      </c>
      <c r="V10" t="e">
        <f>AND(#REF!,"AAAAAD331BU=")</f>
        <v>#REF!</v>
      </c>
      <c r="W10" t="e">
        <f>AND(#REF!,"AAAAAD331BY=")</f>
        <v>#REF!</v>
      </c>
      <c r="X10" t="e">
        <f>AND(#REF!,"AAAAAD331Bc=")</f>
        <v>#REF!</v>
      </c>
      <c r="Y10" t="e">
        <f>AND(#REF!,"AAAAAD331Bg=")</f>
        <v>#REF!</v>
      </c>
      <c r="Z10" t="e">
        <f>AND(#REF!,"AAAAAD331Bk=")</f>
        <v>#REF!</v>
      </c>
      <c r="AA10" t="e">
        <f>AND(#REF!,"AAAAAD331Bo=")</f>
        <v>#REF!</v>
      </c>
      <c r="AB10" t="e">
        <f>AND(#REF!,"AAAAAD331Bs=")</f>
        <v>#REF!</v>
      </c>
      <c r="AC10" t="e">
        <f>IF(#REF!,"AAAAAD331Bw=",0)</f>
        <v>#REF!</v>
      </c>
      <c r="AD10" t="e">
        <f>AND(#REF!,"AAAAAD331B0=")</f>
        <v>#REF!</v>
      </c>
      <c r="AE10" t="e">
        <f>AND(#REF!,"AAAAAD331B4=")</f>
        <v>#REF!</v>
      </c>
      <c r="AF10" t="e">
        <f>AND(#REF!,"AAAAAD331B8=")</f>
        <v>#REF!</v>
      </c>
      <c r="AG10" t="e">
        <f>AND(#REF!,"AAAAAD331CA=")</f>
        <v>#REF!</v>
      </c>
      <c r="AH10" t="e">
        <f>AND(#REF!,"AAAAAD331CE=")</f>
        <v>#REF!</v>
      </c>
      <c r="AI10" t="e">
        <f>AND(#REF!,"AAAAAD331CI=")</f>
        <v>#REF!</v>
      </c>
      <c r="AJ10" t="e">
        <f>AND(#REF!,"AAAAAD331CM=")</f>
        <v>#REF!</v>
      </c>
      <c r="AK10" t="e">
        <f>IF(#REF!,"AAAAAD331CQ=",0)</f>
        <v>#REF!</v>
      </c>
      <c r="AL10" t="e">
        <f>AND(#REF!,"AAAAAD331CU=")</f>
        <v>#REF!</v>
      </c>
      <c r="AM10" t="e">
        <f>AND(#REF!,"AAAAAD331CY=")</f>
        <v>#REF!</v>
      </c>
      <c r="AN10" t="e">
        <f>AND(#REF!,"AAAAAD331Cc=")</f>
        <v>#REF!</v>
      </c>
      <c r="AO10" t="e">
        <f>AND(#REF!,"AAAAAD331Cg=")</f>
        <v>#REF!</v>
      </c>
      <c r="AP10" t="e">
        <f>AND(#REF!,"AAAAAD331Ck=")</f>
        <v>#REF!</v>
      </c>
      <c r="AQ10" t="e">
        <f>AND(#REF!,"AAAAAD331Co=")</f>
        <v>#REF!</v>
      </c>
      <c r="AR10" t="e">
        <f>AND(#REF!,"AAAAAD331Cs=")</f>
        <v>#REF!</v>
      </c>
      <c r="AS10" t="e">
        <f>IF(#REF!,"AAAAAD331Cw=",0)</f>
        <v>#REF!</v>
      </c>
      <c r="AT10" t="e">
        <f>AND(#REF!,"AAAAAD331C0=")</f>
        <v>#REF!</v>
      </c>
      <c r="AU10" t="e">
        <f>AND(#REF!,"AAAAAD331C4=")</f>
        <v>#REF!</v>
      </c>
      <c r="AV10" t="e">
        <f>AND(#REF!,"AAAAAD331C8=")</f>
        <v>#REF!</v>
      </c>
      <c r="AW10" t="e">
        <f>AND(#REF!,"AAAAAD331DA=")</f>
        <v>#REF!</v>
      </c>
      <c r="AX10" t="e">
        <f>AND(#REF!,"AAAAAD331DE=")</f>
        <v>#REF!</v>
      </c>
      <c r="AY10" t="e">
        <f>AND(#REF!,"AAAAAD331DI=")</f>
        <v>#REF!</v>
      </c>
      <c r="AZ10" t="e">
        <f>AND(#REF!,"AAAAAD331DM=")</f>
        <v>#REF!</v>
      </c>
      <c r="BA10" t="e">
        <f>IF(#REF!,"AAAAAD331DQ=",0)</f>
        <v>#REF!</v>
      </c>
      <c r="BB10" t="e">
        <f>IF(#REF!,"AAAAAD331DU=",0)</f>
        <v>#REF!</v>
      </c>
      <c r="BC10" t="e">
        <f>IF(#REF!,"AAAAAD331DY=",0)</f>
        <v>#REF!</v>
      </c>
      <c r="BD10" t="e">
        <f>IF(#REF!,"AAAAAD331Dc=",0)</f>
        <v>#REF!</v>
      </c>
      <c r="BE10" t="e">
        <f>IF(#REF!,"AAAAAD331Dg=",0)</f>
        <v>#REF!</v>
      </c>
      <c r="BF10" t="e">
        <f>IF(#REF!,"AAAAAD331Dk=",0)</f>
        <v>#REF!</v>
      </c>
      <c r="BG10" t="e">
        <f>IF(#REF!,"AAAAAD331Do=",0)</f>
        <v>#REF!</v>
      </c>
      <c r="BH10" t="e">
        <f>IF(#REF!,"AAAAAD331Ds=",0)</f>
        <v>#REF!</v>
      </c>
      <c r="BI10" t="e">
        <f>IF(#REF!,"AAAAAD331Dw=",0)</f>
        <v>#REF!</v>
      </c>
    </row>
    <row r="11" spans="1:185" x14ac:dyDescent="0.25">
      <c r="A11" t="e">
        <f>IF(#REF!,"AAAAAHn+3wA=",0)</f>
        <v>#REF!</v>
      </c>
      <c r="B11" t="e">
        <f>AND(#REF!,"AAAAAHn+3wE=")</f>
        <v>#REF!</v>
      </c>
      <c r="C11" t="e">
        <f>AND(#REF!,"AAAAAHn+3wI=")</f>
        <v>#REF!</v>
      </c>
      <c r="D11" t="e">
        <f>AND(#REF!,"AAAAAHn+3wM=")</f>
        <v>#REF!</v>
      </c>
      <c r="E11" t="e">
        <f>AND(#REF!,"AAAAAHn+3wQ=")</f>
        <v>#REF!</v>
      </c>
      <c r="F11" t="e">
        <f>AND(#REF!,"AAAAAHn+3wU=")</f>
        <v>#REF!</v>
      </c>
      <c r="G11" t="e">
        <f>AND(#REF!,"AAAAAHn+3wY=")</f>
        <v>#REF!</v>
      </c>
      <c r="H11" t="e">
        <f>AND(#REF!,"AAAAAHn+3wc=")</f>
        <v>#REF!</v>
      </c>
      <c r="I11" t="e">
        <f>AND(#REF!,"AAAAAHn+3wg=")</f>
        <v>#REF!</v>
      </c>
      <c r="J11" t="e">
        <f>AND(#REF!,"AAAAAHn+3wk=")</f>
        <v>#REF!</v>
      </c>
      <c r="K11" t="e">
        <f>AND(#REF!,"AAAAAHn+3wo=")</f>
        <v>#REF!</v>
      </c>
      <c r="L11" t="e">
        <f>IF(#REF!,"AAAAAHn+3ws=",0)</f>
        <v>#REF!</v>
      </c>
      <c r="M11" t="e">
        <f>AND(#REF!,"AAAAAHn+3ww=")</f>
        <v>#REF!</v>
      </c>
      <c r="N11" t="e">
        <f>AND(#REF!,"AAAAAHn+3w0=")</f>
        <v>#REF!</v>
      </c>
      <c r="O11" t="e">
        <f>AND(#REF!,"AAAAAHn+3w4=")</f>
        <v>#REF!</v>
      </c>
      <c r="P11" t="e">
        <f>AND(#REF!,"AAAAAHn+3w8=")</f>
        <v>#REF!</v>
      </c>
      <c r="Q11" t="e">
        <f>AND(#REF!,"AAAAAHn+3xA=")</f>
        <v>#REF!</v>
      </c>
      <c r="R11" t="e">
        <f>AND(#REF!,"AAAAAHn+3xE=")</f>
        <v>#REF!</v>
      </c>
      <c r="S11" t="e">
        <f>AND(#REF!,"AAAAAHn+3xI=")</f>
        <v>#REF!</v>
      </c>
      <c r="T11" t="e">
        <f>AND(#REF!,"AAAAAHn+3xM=")</f>
        <v>#REF!</v>
      </c>
      <c r="U11" t="e">
        <f>AND(#REF!,"AAAAAHn+3xQ=")</f>
        <v>#REF!</v>
      </c>
      <c r="V11" t="e">
        <f>AND(#REF!,"AAAAAHn+3xU=")</f>
        <v>#REF!</v>
      </c>
      <c r="W11" t="e">
        <f>IF(#REF!,"AAAAAHn+3xY=",0)</f>
        <v>#REF!</v>
      </c>
      <c r="X11" t="e">
        <f>AND(#REF!,"AAAAAHn+3xc=")</f>
        <v>#REF!</v>
      </c>
      <c r="Y11" t="e">
        <f>AND(#REF!,"AAAAAHn+3xg=")</f>
        <v>#REF!</v>
      </c>
      <c r="Z11" t="e">
        <f>AND(#REF!,"AAAAAHn+3xk=")</f>
        <v>#REF!</v>
      </c>
      <c r="AA11" t="e">
        <f>AND(#REF!,"AAAAAHn+3xo=")</f>
        <v>#REF!</v>
      </c>
      <c r="AB11" t="e">
        <f>AND(#REF!,"AAAAAHn+3xs=")</f>
        <v>#REF!</v>
      </c>
      <c r="AC11" t="e">
        <f>AND(#REF!,"AAAAAHn+3xw=")</f>
        <v>#REF!</v>
      </c>
      <c r="AD11" t="e">
        <f>AND(#REF!,"AAAAAHn+3x0=")</f>
        <v>#REF!</v>
      </c>
      <c r="AE11" t="e">
        <f>IF(#REF!,"AAAAAHn+3x4=",0)</f>
        <v>#REF!</v>
      </c>
      <c r="AF11" t="e">
        <f>AND(#REF!,"AAAAAHn+3x8=")</f>
        <v>#REF!</v>
      </c>
      <c r="AG11" t="e">
        <f>AND(#REF!,"AAAAAHn+3yA=")</f>
        <v>#REF!</v>
      </c>
      <c r="AH11" t="e">
        <f>AND(#REF!,"AAAAAHn+3yE=")</f>
        <v>#REF!</v>
      </c>
      <c r="AI11" t="e">
        <f>AND(#REF!,"AAAAAHn+3yI=")</f>
        <v>#REF!</v>
      </c>
      <c r="AJ11" t="e">
        <f>AND(#REF!,"AAAAAHn+3yM=")</f>
        <v>#REF!</v>
      </c>
      <c r="AK11" t="e">
        <f>AND(#REF!,"AAAAAHn+3yQ=")</f>
        <v>#REF!</v>
      </c>
      <c r="AL11" t="e">
        <f>AND(#REF!,"AAAAAHn+3yU=")</f>
        <v>#REF!</v>
      </c>
      <c r="AM11" t="e">
        <f>IF(#REF!,"AAAAAHn+3yY=",0)</f>
        <v>#REF!</v>
      </c>
      <c r="AN11" t="e">
        <f>AND(#REF!,"AAAAAHn+3yc=")</f>
        <v>#REF!</v>
      </c>
      <c r="AO11" t="e">
        <f>AND(#REF!,"AAAAAHn+3yg=")</f>
        <v>#REF!</v>
      </c>
      <c r="AP11" t="e">
        <f>AND(#REF!,"AAAAAHn+3yk=")</f>
        <v>#REF!</v>
      </c>
      <c r="AQ11" t="e">
        <f>AND(#REF!,"AAAAAHn+3yo=")</f>
        <v>#REF!</v>
      </c>
      <c r="AR11" t="e">
        <f>AND(#REF!,"AAAAAHn+3ys=")</f>
        <v>#REF!</v>
      </c>
      <c r="AS11" t="e">
        <f>AND(#REF!,"AAAAAHn+3yw=")</f>
        <v>#REF!</v>
      </c>
      <c r="AT11" t="e">
        <f>AND(#REF!,"AAAAAHn+3y0=")</f>
        <v>#REF!</v>
      </c>
      <c r="AU11" t="e">
        <f>IF(#REF!,"AAAAAHn+3y4=",0)</f>
        <v>#REF!</v>
      </c>
      <c r="AV11" t="e">
        <f>AND(#REF!,"AAAAAHn+3y8=")</f>
        <v>#REF!</v>
      </c>
      <c r="AW11" t="e">
        <f>AND(#REF!,"AAAAAHn+3zA=")</f>
        <v>#REF!</v>
      </c>
      <c r="AX11" t="e">
        <f>AND(#REF!,"AAAAAHn+3zE=")</f>
        <v>#REF!</v>
      </c>
      <c r="AY11" t="e">
        <f>AND(#REF!,"AAAAAHn+3zI=")</f>
        <v>#REF!</v>
      </c>
      <c r="AZ11" t="e">
        <f>AND(#REF!,"AAAAAHn+3zM=")</f>
        <v>#REF!</v>
      </c>
      <c r="BA11" t="e">
        <f>AND(#REF!,"AAAAAHn+3zQ=")</f>
        <v>#REF!</v>
      </c>
      <c r="BB11" t="e">
        <f>AND(#REF!,"AAAAAHn+3zU=")</f>
        <v>#REF!</v>
      </c>
      <c r="BC11" t="e">
        <f>IF(#REF!,"AAAAAHn+3zY=",0)</f>
        <v>#REF!</v>
      </c>
      <c r="BD11" t="e">
        <f>AND(#REF!,"AAAAAHn+3zc=")</f>
        <v>#REF!</v>
      </c>
      <c r="BE11" t="e">
        <f>AND(#REF!,"AAAAAHn+3zg=")</f>
        <v>#REF!</v>
      </c>
      <c r="BF11" t="e">
        <f>AND(#REF!,"AAAAAHn+3zk=")</f>
        <v>#REF!</v>
      </c>
      <c r="BG11" t="e">
        <f>AND(#REF!,"AAAAAHn+3zo=")</f>
        <v>#REF!</v>
      </c>
      <c r="BH11" t="e">
        <f>AND(#REF!,"AAAAAHn+3zs=")</f>
        <v>#REF!</v>
      </c>
      <c r="BI11" t="e">
        <f>AND(#REF!,"AAAAAHn+3zw=")</f>
        <v>#REF!</v>
      </c>
      <c r="BJ11" t="e">
        <f>AND(#REF!,"AAAAAHn+3z0=")</f>
        <v>#REF!</v>
      </c>
      <c r="BK11" t="e">
        <f>IF(#REF!,"AAAAAHn+3z4=",0)</f>
        <v>#REF!</v>
      </c>
      <c r="BL11" t="e">
        <f>IF(#REF!,"AAAAAHn+3z8=",0)</f>
        <v>#REF!</v>
      </c>
      <c r="BM11" t="e">
        <f>IF(#REF!,"AAAAAHn+30A=",0)</f>
        <v>#REF!</v>
      </c>
      <c r="BN11" t="e">
        <f>IF(#REF!,"AAAAAHn+30E=",0)</f>
        <v>#REF!</v>
      </c>
      <c r="BO11" t="e">
        <f>IF(#REF!,"AAAAAHn+30I=",0)</f>
        <v>#REF!</v>
      </c>
      <c r="BP11" t="e">
        <f>IF(#REF!,"AAAAAHn+30M=",0)</f>
        <v>#REF!</v>
      </c>
      <c r="BQ11" t="e">
        <f>IF(#REF!,"AAAAAHn+30Q=",0)</f>
        <v>#REF!</v>
      </c>
      <c r="BR11" t="e">
        <f>IF(#REF!,"AAAAAHn+30U=",0)</f>
        <v>#REF!</v>
      </c>
      <c r="BS11" t="e">
        <f>IF(#REF!,"AAAAAHn+30Y=",0)</f>
        <v>#REF!</v>
      </c>
      <c r="BT11" t="e">
        <f>IF(#REF!,"AAAAAHn+30c=",0)</f>
        <v>#REF!</v>
      </c>
    </row>
    <row r="12" spans="1:185" x14ac:dyDescent="0.25">
      <c r="A12" t="e">
        <f>IF(Order3!1:1,"AAAAAHf0vQA=",0)</f>
        <v>#VALUE!</v>
      </c>
      <c r="B12" t="e">
        <f>AND(Order3!A1,"AAAAAHf0vQE=")</f>
        <v>#VALUE!</v>
      </c>
      <c r="C12" t="e">
        <f>AND(Order3!B1,"AAAAAHf0vQI=")</f>
        <v>#VALUE!</v>
      </c>
      <c r="D12" t="e">
        <f>AND(Order3!C1,"AAAAAHf0vQM=")</f>
        <v>#VALUE!</v>
      </c>
      <c r="E12" t="e">
        <f>AND(Order3!D1,"AAAAAHf0vQQ=")</f>
        <v>#VALUE!</v>
      </c>
      <c r="F12" t="e">
        <f>AND(Order3!E1,"AAAAAHf0vQU=")</f>
        <v>#VALUE!</v>
      </c>
      <c r="G12" t="e">
        <f>AND(Order3!F1,"AAAAAHf0vQY=")</f>
        <v>#VALUE!</v>
      </c>
      <c r="H12" t="e">
        <f>AND(Order3!G1,"AAAAAHf0vQc=")</f>
        <v>#VALUE!</v>
      </c>
      <c r="I12" t="e">
        <f>AND(Order3!H1,"AAAAAHf0vQg=")</f>
        <v>#VALUE!</v>
      </c>
      <c r="J12" t="e">
        <f>AND(Order3!I1,"AAAAAHf0vQk=")</f>
        <v>#VALUE!</v>
      </c>
      <c r="K12" t="e">
        <f>AND(Order3!J1,"AAAAAHf0vQo=")</f>
        <v>#VALUE!</v>
      </c>
      <c r="L12">
        <f>IF(Order3!2:2,"AAAAAHf0vQs=",0)</f>
        <v>0</v>
      </c>
      <c r="M12" t="e">
        <f>AND(Order3!A2,"AAAAAHf0vQw=")</f>
        <v>#VALUE!</v>
      </c>
      <c r="N12" t="e">
        <f>AND(Order3!B2,"AAAAAHf0vQ0=")</f>
        <v>#VALUE!</v>
      </c>
      <c r="O12" t="e">
        <f>AND(Order3!C2,"AAAAAHf0vQ4=")</f>
        <v>#VALUE!</v>
      </c>
      <c r="P12" t="e">
        <f>AND(Order3!D2,"AAAAAHf0vQ8=")</f>
        <v>#VALUE!</v>
      </c>
      <c r="Q12" t="e">
        <f>AND(Order3!E2,"AAAAAHf0vRA=")</f>
        <v>#VALUE!</v>
      </c>
      <c r="R12" t="e">
        <f>AND(Order3!F2,"AAAAAHf0vRE=")</f>
        <v>#VALUE!</v>
      </c>
      <c r="S12" t="e">
        <f>AND(Order3!G2,"AAAAAHf0vRI=")</f>
        <v>#VALUE!</v>
      </c>
      <c r="T12" t="e">
        <f>AND(Order3!H2,"AAAAAHf0vRM=")</f>
        <v>#VALUE!</v>
      </c>
      <c r="U12" t="e">
        <f>AND(Order3!I2,"AAAAAHf0vRQ=")</f>
        <v>#VALUE!</v>
      </c>
      <c r="V12" t="e">
        <f>AND(Order3!J2,"AAAAAHf0vRU=")</f>
        <v>#VALUE!</v>
      </c>
      <c r="W12">
        <f>IF(Order3!3:3,"AAAAAHf0vRY=",0)</f>
        <v>0</v>
      </c>
      <c r="X12" t="e">
        <f>AND(Order3!A3,"AAAAAHf0vRc=")</f>
        <v>#VALUE!</v>
      </c>
      <c r="Y12" t="e">
        <f>AND(Order3!B3,"AAAAAHf0vRg=")</f>
        <v>#VALUE!</v>
      </c>
      <c r="Z12" t="e">
        <f>AND(Order3!C3,"AAAAAHf0vRk=")</f>
        <v>#VALUE!</v>
      </c>
      <c r="AA12" t="e">
        <f>AND(Order3!D3,"AAAAAHf0vRo=")</f>
        <v>#VALUE!</v>
      </c>
      <c r="AB12" t="e">
        <f>AND(Order3!E3,"AAAAAHf0vRs=")</f>
        <v>#VALUE!</v>
      </c>
      <c r="AC12" t="e">
        <f>AND(Order3!F3,"AAAAAHf0vRw=")</f>
        <v>#VALUE!</v>
      </c>
      <c r="AD12" t="e">
        <f>AND(Order3!G3,"AAAAAHf0vR0=")</f>
        <v>#VALUE!</v>
      </c>
      <c r="AE12" t="e">
        <f>AND(Order3!H3,"AAAAAHf0vR4=")</f>
        <v>#VALUE!</v>
      </c>
      <c r="AF12" t="e">
        <f>AND(Order3!I3,"AAAAAHf0vR8=")</f>
        <v>#VALUE!</v>
      </c>
      <c r="AG12" t="e">
        <f>AND(Order3!J3,"AAAAAHf0vSA=")</f>
        <v>#VALUE!</v>
      </c>
      <c r="AH12">
        <f>IF(Order3!4:4,"AAAAAHf0vSE=",0)</f>
        <v>0</v>
      </c>
      <c r="AI12" t="e">
        <f>AND(Order3!A4,"AAAAAHf0vSI=")</f>
        <v>#VALUE!</v>
      </c>
      <c r="AJ12" t="e">
        <f>AND(Order3!B4,"AAAAAHf0vSM=")</f>
        <v>#VALUE!</v>
      </c>
      <c r="AK12" t="e">
        <f>AND(Order3!C4,"AAAAAHf0vSQ=")</f>
        <v>#VALUE!</v>
      </c>
      <c r="AL12" t="e">
        <f>AND(Order3!D4,"AAAAAHf0vSU=")</f>
        <v>#VALUE!</v>
      </c>
      <c r="AM12" t="e">
        <f>AND(Order3!E4,"AAAAAHf0vSY=")</f>
        <v>#VALUE!</v>
      </c>
      <c r="AN12" t="e">
        <f>AND(Order3!F4,"AAAAAHf0vSc=")</f>
        <v>#VALUE!</v>
      </c>
      <c r="AO12" t="e">
        <f>AND(Order3!G4,"AAAAAHf0vSg=")</f>
        <v>#VALUE!</v>
      </c>
      <c r="AP12" t="e">
        <f>AND(Order3!H4,"AAAAAHf0vSk=")</f>
        <v>#VALUE!</v>
      </c>
      <c r="AQ12" t="e">
        <f>AND(Order3!I4,"AAAAAHf0vSo=")</f>
        <v>#VALUE!</v>
      </c>
      <c r="AR12" t="e">
        <f>AND(Order3!J4,"AAAAAHf0vSs=")</f>
        <v>#VALUE!</v>
      </c>
      <c r="AS12">
        <f>IF(Order3!5:5,"AAAAAHf0vSw=",0)</f>
        <v>0</v>
      </c>
      <c r="AT12" t="e">
        <f>AND(Order3!A5,"AAAAAHf0vS0=")</f>
        <v>#VALUE!</v>
      </c>
      <c r="AU12" t="e">
        <f>AND(Order3!B5,"AAAAAHf0vS4=")</f>
        <v>#VALUE!</v>
      </c>
      <c r="AV12" t="e">
        <f>AND(Order3!C5,"AAAAAHf0vS8=")</f>
        <v>#VALUE!</v>
      </c>
      <c r="AW12" t="e">
        <f>AND(Order3!D5,"AAAAAHf0vTA=")</f>
        <v>#VALUE!</v>
      </c>
      <c r="AX12" t="e">
        <f>AND(Order3!E5,"AAAAAHf0vTE=")</f>
        <v>#VALUE!</v>
      </c>
      <c r="AY12" t="e">
        <f>AND(Order3!F5,"AAAAAHf0vTI=")</f>
        <v>#VALUE!</v>
      </c>
      <c r="AZ12" t="e">
        <f>AND(Order3!G5,"AAAAAHf0vTM=")</f>
        <v>#VALUE!</v>
      </c>
      <c r="BA12" t="e">
        <f>AND(Order3!H5,"AAAAAHf0vTQ=")</f>
        <v>#VALUE!</v>
      </c>
      <c r="BB12" t="e">
        <f>AND(Order3!I5,"AAAAAHf0vTU=")</f>
        <v>#VALUE!</v>
      </c>
      <c r="BC12" t="e">
        <f>AND(Order3!J5,"AAAAAHf0vTY=")</f>
        <v>#VALUE!</v>
      </c>
      <c r="BD12">
        <f>IF(Order3!6:6,"AAAAAHf0vTc=",0)</f>
        <v>0</v>
      </c>
      <c r="BE12" t="e">
        <f>AND(Order3!A6,"AAAAAHf0vTg=")</f>
        <v>#VALUE!</v>
      </c>
      <c r="BF12" t="e">
        <f>AND(Order3!B6,"AAAAAHf0vTk=")</f>
        <v>#VALUE!</v>
      </c>
      <c r="BG12" t="e">
        <f>AND(Order3!C6,"AAAAAHf0vTo=")</f>
        <v>#VALUE!</v>
      </c>
      <c r="BH12" t="e">
        <f>AND(Order3!D6,"AAAAAHf0vTs=")</f>
        <v>#VALUE!</v>
      </c>
      <c r="BI12" t="e">
        <f>AND(Order3!E6,"AAAAAHf0vTw=")</f>
        <v>#VALUE!</v>
      </c>
      <c r="BJ12" t="e">
        <f>AND(Order3!F6,"AAAAAHf0vT0=")</f>
        <v>#VALUE!</v>
      </c>
      <c r="BK12">
        <f>IF(Order3!A:A,"AAAAAHf0vT4=",0)</f>
        <v>0</v>
      </c>
      <c r="BL12">
        <f>IF(Order3!B:B,"AAAAAHf0vT8=",0)</f>
        <v>0</v>
      </c>
      <c r="BM12">
        <f>IF(Order3!C:C,"AAAAAHf0vUA=",0)</f>
        <v>0</v>
      </c>
      <c r="BN12">
        <f>IF(Order3!D:D,"AAAAAHf0vUE=",0)</f>
        <v>0</v>
      </c>
      <c r="BO12">
        <f>IF(Order3!E:E,"AAAAAHf0vUI=",0)</f>
        <v>0</v>
      </c>
      <c r="BP12">
        <f>IF(Order3!F:F,"AAAAAHf0vUM=",0)</f>
        <v>0</v>
      </c>
      <c r="BQ12">
        <f>IF(Order3!G:G,"AAAAAHf0vUQ=",0)</f>
        <v>0</v>
      </c>
      <c r="BR12">
        <f>IF(Order3!H:H,"AAAAAHf0vUU=",0)</f>
        <v>0</v>
      </c>
      <c r="BS12">
        <f>IF(Order3!I:I,"AAAAAHf0vUY=",0)</f>
        <v>0</v>
      </c>
      <c r="BT12">
        <f>IF(Order3!J:J,"AAAAAHf0vUc=",0)</f>
        <v>0</v>
      </c>
    </row>
    <row r="13" spans="1:185" x14ac:dyDescent="0.25">
      <c r="A13" t="e">
        <f>AND(Sheet3!X1,"AAAAAH/7tQA=")</f>
        <v>#VALUE!</v>
      </c>
      <c r="B13" t="e">
        <f>AND(Sheet3!Y1,"AAAAAH/7tQE=")</f>
        <v>#VALUE!</v>
      </c>
      <c r="C13" t="e">
        <f>AND(Sheet3!X2,"AAAAAH/7tQI=")</f>
        <v>#VALUE!</v>
      </c>
      <c r="D13" t="e">
        <f>AND(Sheet3!Y2,"AAAAAH/7tQM=")</f>
        <v>#VALUE!</v>
      </c>
      <c r="E13" t="e">
        <f>AND(Sheet3!X3,"AAAAAH/7tQQ=")</f>
        <v>#VALUE!</v>
      </c>
      <c r="F13" t="e">
        <f>AND(Sheet3!Y3,"AAAAAH/7tQU=")</f>
        <v>#VALUE!</v>
      </c>
      <c r="G13" t="e">
        <f>AND(Sheet3!X4,"AAAAAH/7tQY=")</f>
        <v>#VALUE!</v>
      </c>
      <c r="H13" t="e">
        <f>AND(Sheet3!Y4,"AAAAAH/7tQc=")</f>
        <v>#VALUE!</v>
      </c>
      <c r="I13">
        <f>IF(Sheet3!X:X,"AAAAAH/7tQg=",0)</f>
        <v>0</v>
      </c>
      <c r="J13">
        <f>IF(Sheet3!Y:Y,"AAAAAH/7tQk=",0)</f>
        <v>0</v>
      </c>
      <c r="K13">
        <f>IF(Order1!1:1,"AAAAAH/7tQo=",0)</f>
        <v>0</v>
      </c>
      <c r="L13" t="e">
        <f>AND(Order1!A1,"AAAAAH/7tQs=")</f>
        <v>#VALUE!</v>
      </c>
      <c r="M13" t="e">
        <f>AND(Order1!B1,"AAAAAH/7tQw=")</f>
        <v>#VALUE!</v>
      </c>
      <c r="N13" t="e">
        <f>AND(Order1!C1,"AAAAAH/7tQ0=")</f>
        <v>#VALUE!</v>
      </c>
      <c r="O13" t="e">
        <f>AND(Order1!D1,"AAAAAH/7tQ4=")</f>
        <v>#VALUE!</v>
      </c>
      <c r="P13" t="e">
        <f>AND(Order1!E1,"AAAAAH/7tQ8=")</f>
        <v>#VALUE!</v>
      </c>
      <c r="Q13" t="e">
        <f>AND(Order1!F1,"AAAAAH/7tRA=")</f>
        <v>#VALUE!</v>
      </c>
      <c r="R13" t="e">
        <f>AND(Order1!G1,"AAAAAH/7tRE=")</f>
        <v>#VALUE!</v>
      </c>
      <c r="S13" t="e">
        <f>AND(Order1!H1,"AAAAAH/7tRI=")</f>
        <v>#VALUE!</v>
      </c>
      <c r="T13" t="e">
        <f>AND(Order1!I1,"AAAAAH/7tRM=")</f>
        <v>#VALUE!</v>
      </c>
      <c r="U13" t="e">
        <f>AND(Order1!J1,"AAAAAH/7tRQ=")</f>
        <v>#VALUE!</v>
      </c>
      <c r="V13">
        <f>IF(Order1!2:2,"AAAAAH/7tRU=",0)</f>
        <v>0</v>
      </c>
      <c r="W13" t="e">
        <f>AND(Order1!A2,"AAAAAH/7tRY=")</f>
        <v>#VALUE!</v>
      </c>
      <c r="X13" t="e">
        <f>AND(Order1!B2,"AAAAAH/7tRc=")</f>
        <v>#VALUE!</v>
      </c>
      <c r="Y13" t="e">
        <f>AND(Order1!C2,"AAAAAH/7tRg=")</f>
        <v>#VALUE!</v>
      </c>
      <c r="Z13" t="e">
        <f>AND(Order1!D2,"AAAAAH/7tRk=")</f>
        <v>#VALUE!</v>
      </c>
      <c r="AA13" t="e">
        <f>AND(Order1!E2,"AAAAAH/7tRo=")</f>
        <v>#VALUE!</v>
      </c>
      <c r="AB13" t="e">
        <f>AND(Order1!F2,"AAAAAH/7tRs=")</f>
        <v>#VALUE!</v>
      </c>
      <c r="AC13" t="e">
        <f>AND(Order1!G2,"AAAAAH/7tRw=")</f>
        <v>#VALUE!</v>
      </c>
      <c r="AD13" t="e">
        <f>AND(Order1!H2,"AAAAAH/7tR0=")</f>
        <v>#VALUE!</v>
      </c>
      <c r="AE13" t="e">
        <f>AND(Order1!I2,"AAAAAH/7tR4=")</f>
        <v>#VALUE!</v>
      </c>
      <c r="AF13" t="e">
        <f>AND(Order1!J2,"AAAAAH/7tR8=")</f>
        <v>#VALUE!</v>
      </c>
      <c r="AG13">
        <f>IF(Order1!3:3,"AAAAAH/7tSA=",0)</f>
        <v>0</v>
      </c>
      <c r="AH13" t="e">
        <f>AND(Order1!A3,"AAAAAH/7tSE=")</f>
        <v>#VALUE!</v>
      </c>
      <c r="AI13" t="e">
        <f>AND(Order1!B3,"AAAAAH/7tSI=")</f>
        <v>#VALUE!</v>
      </c>
      <c r="AJ13" t="e">
        <f>AND(Order1!C3,"AAAAAH/7tSM=")</f>
        <v>#VALUE!</v>
      </c>
      <c r="AK13" t="e">
        <f>AND(Order1!D3,"AAAAAH/7tSQ=")</f>
        <v>#VALUE!</v>
      </c>
      <c r="AL13" t="e">
        <f>AND(Order1!E3,"AAAAAH/7tSU=")</f>
        <v>#VALUE!</v>
      </c>
      <c r="AM13" t="e">
        <f>AND(Order1!F3,"AAAAAH/7tSY=")</f>
        <v>#VALUE!</v>
      </c>
      <c r="AN13" t="e">
        <f>AND(Order1!G3,"AAAAAH/7tSc=")</f>
        <v>#VALUE!</v>
      </c>
      <c r="AO13">
        <f>IF(Order1!4:4,"AAAAAH/7tSg=",0)</f>
        <v>0</v>
      </c>
      <c r="AP13" t="e">
        <f>AND(Order1!A4,"AAAAAH/7tSk=")</f>
        <v>#VALUE!</v>
      </c>
      <c r="AQ13" t="e">
        <f>AND(Order1!B4,"AAAAAH/7tSo=")</f>
        <v>#VALUE!</v>
      </c>
      <c r="AR13" t="e">
        <f>AND(Order1!C4,"AAAAAH/7tSs=")</f>
        <v>#VALUE!</v>
      </c>
      <c r="AS13" t="e">
        <f>AND(Order1!D4,"AAAAAH/7tSw=")</f>
        <v>#VALUE!</v>
      </c>
      <c r="AT13" t="e">
        <f>AND(Order1!E4,"AAAAAH/7tS0=")</f>
        <v>#VALUE!</v>
      </c>
      <c r="AU13" t="e">
        <f>AND(Order1!F4,"AAAAAH/7tS4=")</f>
        <v>#VALUE!</v>
      </c>
      <c r="AV13" t="e">
        <f>AND(Order1!G4,"AAAAAH/7tS8=")</f>
        <v>#VALUE!</v>
      </c>
      <c r="AW13">
        <f>IF(Order1!5:5,"AAAAAH/7tTA=",0)</f>
        <v>0</v>
      </c>
      <c r="AX13" t="e">
        <f>AND(Order1!A5,"AAAAAH/7tTE=")</f>
        <v>#VALUE!</v>
      </c>
      <c r="AY13" t="e">
        <f>AND(Order1!B5,"AAAAAH/7tTI=")</f>
        <v>#VALUE!</v>
      </c>
      <c r="AZ13" t="e">
        <f>AND(Order1!C5,"AAAAAH/7tTM=")</f>
        <v>#VALUE!</v>
      </c>
      <c r="BA13" t="e">
        <f>AND(Order1!D5,"AAAAAH/7tTQ=")</f>
        <v>#VALUE!</v>
      </c>
      <c r="BB13" t="e">
        <f>AND(Order1!E5,"AAAAAH/7tTU=")</f>
        <v>#VALUE!</v>
      </c>
      <c r="BC13" t="e">
        <f>AND(Order1!F5,"AAAAAH/7tTY=")</f>
        <v>#VALUE!</v>
      </c>
      <c r="BD13" t="e">
        <f>AND(Order1!G5,"AAAAAH/7tTc=")</f>
        <v>#VALUE!</v>
      </c>
      <c r="BE13">
        <f>IF(Order1!6:6,"AAAAAH/7tTg=",0)</f>
        <v>0</v>
      </c>
      <c r="BF13" t="e">
        <f>AND(Order1!A6,"AAAAAH/7tTk=")</f>
        <v>#VALUE!</v>
      </c>
      <c r="BG13" t="e">
        <f>AND(Order1!B6,"AAAAAH/7tTo=")</f>
        <v>#VALUE!</v>
      </c>
      <c r="BH13" t="e">
        <f>AND(Order1!C6,"AAAAAH/7tTs=")</f>
        <v>#VALUE!</v>
      </c>
      <c r="BI13" t="e">
        <f>AND(Order1!D6,"AAAAAH/7tTw=")</f>
        <v>#VALUE!</v>
      </c>
      <c r="BJ13" t="e">
        <f>AND(Order1!E6,"AAAAAH/7tT0=")</f>
        <v>#VALUE!</v>
      </c>
      <c r="BK13" t="e">
        <f>AND(Order1!F6,"AAAAAH/7tT4=")</f>
        <v>#VALUE!</v>
      </c>
      <c r="BL13" t="e">
        <f>AND(Order1!G6,"AAAAAH/7tT8=")</f>
        <v>#VALUE!</v>
      </c>
      <c r="BM13">
        <f>IF(Order1!A:A,"AAAAAH/7tUA=",0)</f>
        <v>0</v>
      </c>
      <c r="BN13">
        <f>IF(Order1!B:B,"AAAAAH/7tUE=",0)</f>
        <v>0</v>
      </c>
      <c r="BO13">
        <f>IF(Order1!C:C,"AAAAAH/7tUI=",0)</f>
        <v>0</v>
      </c>
      <c r="BP13">
        <f>IF(Order1!D:D,"AAAAAH/7tUM=",0)</f>
        <v>0</v>
      </c>
      <c r="BQ13">
        <f>IF(Order1!E:E,"AAAAAH/7tUQ=",0)</f>
        <v>0</v>
      </c>
      <c r="BR13">
        <f>IF(Order1!F:F,"AAAAAH/7tUU=",0)</f>
        <v>0</v>
      </c>
      <c r="BS13">
        <f>IF(Order1!G:G,"AAAAAH/7tUY=",0)</f>
        <v>0</v>
      </c>
      <c r="BT13">
        <f>IF(Order1!H:H,"AAAAAH/7tUc=",0)</f>
        <v>0</v>
      </c>
      <c r="BU13">
        <f>IF(Order1!I:I,"AAAAAH/7tUg=",0)</f>
        <v>0</v>
      </c>
      <c r="BV13">
        <f>IF(Order1!J:J,"AAAAAH/7tUk=",0)</f>
        <v>0</v>
      </c>
      <c r="BW13" t="e">
        <f>AND(Order3!G6,"AAAAAH/7tUo=")</f>
        <v>#VALUE!</v>
      </c>
      <c r="BX13" t="e">
        <f>IF("N",Quan5,"AAAAAH/7tUs=")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"/>
  <sheetViews>
    <sheetView tabSelected="1" workbookViewId="0">
      <selection activeCell="E11" sqref="E11"/>
    </sheetView>
  </sheetViews>
  <sheetFormatPr defaultRowHeight="15" x14ac:dyDescent="0.25"/>
  <cols>
    <col min="1" max="1" width="17" bestFit="1" customWidth="1"/>
    <col min="2" max="2" width="15" bestFit="1" customWidth="1"/>
    <col min="3" max="3" width="11.5703125" bestFit="1" customWidth="1"/>
    <col min="4" max="4" width="14.28515625" bestFit="1" customWidth="1"/>
    <col min="5" max="5" width="13.85546875" bestFit="1" customWidth="1"/>
    <col min="6" max="6" width="19.5703125" bestFit="1" customWidth="1"/>
    <col min="8" max="8" width="15.140625" bestFit="1" customWidth="1"/>
    <col min="9" max="9" width="19.42578125" bestFit="1" customWidth="1"/>
    <col min="10" max="10" width="21.42578125" bestFit="1" customWidth="1"/>
  </cols>
  <sheetData>
    <row r="1" spans="1:10" x14ac:dyDescent="0.25">
      <c r="A1" s="6" t="s">
        <v>23</v>
      </c>
      <c r="B1" s="7" t="s">
        <v>24</v>
      </c>
      <c r="C1" s="6" t="s">
        <v>37</v>
      </c>
      <c r="D1" s="6" t="s">
        <v>11</v>
      </c>
      <c r="E1" s="6" t="s">
        <v>38</v>
      </c>
      <c r="F1" s="6" t="s">
        <v>25</v>
      </c>
      <c r="G1" s="6" t="s">
        <v>12</v>
      </c>
      <c r="H1" s="6" t="s">
        <v>26</v>
      </c>
      <c r="I1" s="6" t="s">
        <v>27</v>
      </c>
      <c r="J1" s="6" t="s">
        <v>6</v>
      </c>
    </row>
    <row r="2" spans="1:10" x14ac:dyDescent="0.25">
      <c r="A2" s="4" t="s">
        <v>71</v>
      </c>
      <c r="B2" s="2" t="s">
        <v>52</v>
      </c>
      <c r="C2" s="1" t="s">
        <v>35</v>
      </c>
      <c r="D2" s="1" t="s">
        <v>67</v>
      </c>
      <c r="E2" s="1" t="s">
        <v>69</v>
      </c>
      <c r="F2" s="1" t="s">
        <v>70</v>
      </c>
      <c r="G2" s="1" t="s">
        <v>59</v>
      </c>
      <c r="H2" s="1" t="s">
        <v>13</v>
      </c>
      <c r="I2" s="1" t="s">
        <v>18</v>
      </c>
      <c r="J2" s="1" t="s">
        <v>60</v>
      </c>
    </row>
    <row r="3" spans="1:10" x14ac:dyDescent="0.25">
      <c r="A3" s="1"/>
      <c r="B3" s="2"/>
      <c r="C3" s="1"/>
      <c r="D3" s="1"/>
      <c r="E3" s="1"/>
      <c r="F3" s="1"/>
      <c r="G3" s="1"/>
      <c r="H3" s="1"/>
      <c r="I3" s="1"/>
      <c r="J3" s="1"/>
    </row>
    <row r="4" spans="1:10" x14ac:dyDescent="0.25">
      <c r="A4" s="9" t="s">
        <v>40</v>
      </c>
      <c r="B4" s="10"/>
      <c r="C4" s="10"/>
      <c r="D4" s="10"/>
      <c r="E4" s="10"/>
      <c r="F4" s="10"/>
      <c r="G4" s="10"/>
      <c r="H4" s="1"/>
      <c r="I4" s="1"/>
      <c r="J4" s="1"/>
    </row>
    <row r="5" spans="1:10" x14ac:dyDescent="0.25">
      <c r="A5" s="8" t="s">
        <v>0</v>
      </c>
      <c r="B5" s="8" t="s">
        <v>1</v>
      </c>
      <c r="C5" s="8" t="s">
        <v>2</v>
      </c>
      <c r="D5" s="8" t="s">
        <v>28</v>
      </c>
      <c r="E5" s="8" t="s">
        <v>4</v>
      </c>
      <c r="F5" s="8" t="s">
        <v>5</v>
      </c>
      <c r="G5" s="8" t="s">
        <v>6</v>
      </c>
      <c r="H5" s="1"/>
      <c r="I5" s="1"/>
      <c r="J5" s="1"/>
    </row>
    <row r="6" spans="1:10" x14ac:dyDescent="0.25">
      <c r="A6" s="3" t="s">
        <v>72</v>
      </c>
      <c r="B6" s="3" t="s">
        <v>30</v>
      </c>
      <c r="C6" s="3" t="s">
        <v>19</v>
      </c>
      <c r="D6" s="3" t="s">
        <v>20</v>
      </c>
      <c r="E6" s="3" t="s">
        <v>73</v>
      </c>
      <c r="F6" s="3" t="s">
        <v>74</v>
      </c>
      <c r="G6" s="3" t="s">
        <v>75</v>
      </c>
      <c r="H6" s="1"/>
      <c r="I6" s="1"/>
      <c r="J6" s="1"/>
    </row>
  </sheetData>
  <mergeCells count="1">
    <mergeCell ref="A4:G4"/>
  </mergeCells>
  <dataValidations count="7">
    <dataValidation type="list" allowBlank="1" showInputMessage="1" showErrorMessage="1" sqref="H2">
      <formula1>DeliveryOptionList</formula1>
    </dataValidation>
    <dataValidation type="list" allowBlank="1" showInputMessage="1" showErrorMessage="1" sqref="I2">
      <formula1>PaymentType</formula1>
    </dataValidation>
    <dataValidation type="list" allowBlank="1" showInputMessage="1" showErrorMessage="1" sqref="C6">
      <formula1>IsFragile</formula1>
    </dataValidation>
    <dataValidation type="list" allowBlank="1" showInputMessage="1" showErrorMessage="1" sqref="D6">
      <formula1>HasHighValue</formula1>
    </dataValidation>
    <dataValidation type="list" allowBlank="1" showInputMessage="1" showErrorMessage="1" sqref="C2">
      <formula1>cityList</formula1>
    </dataValidation>
    <dataValidation type="list" allowBlank="1" showInputMessage="1" showErrorMessage="1" sqref="D2">
      <formula1>INDIRECT(VLOOKUP(C2,cityLookup,2,0))</formula1>
    </dataValidation>
    <dataValidation type="list" allowBlank="1" showInputMessage="1" showErrorMessage="1" sqref="E2">
      <formula1>INDIRECT(VLOOKUP(D2,hochiminhLookup,2,0))</formula1>
    </dataValidation>
  </dataValidations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"/>
  <sheetViews>
    <sheetView workbookViewId="0">
      <selection activeCell="D6" sqref="D6"/>
    </sheetView>
  </sheetViews>
  <sheetFormatPr defaultRowHeight="15" x14ac:dyDescent="0.25"/>
  <cols>
    <col min="1" max="1" width="17" bestFit="1" customWidth="1"/>
    <col min="2" max="2" width="15" bestFit="1" customWidth="1"/>
    <col min="3" max="3" width="11.5703125" bestFit="1" customWidth="1"/>
    <col min="4" max="4" width="14.28515625" bestFit="1" customWidth="1"/>
    <col min="5" max="5" width="12.7109375" bestFit="1" customWidth="1"/>
    <col min="6" max="6" width="16.42578125" bestFit="1" customWidth="1"/>
    <col min="7" max="7" width="9.5703125" bestFit="1" customWidth="1"/>
    <col min="8" max="8" width="15.140625" bestFit="1" customWidth="1"/>
    <col min="9" max="9" width="19.42578125" bestFit="1" customWidth="1"/>
    <col min="10" max="10" width="21.42578125" bestFit="1" customWidth="1"/>
  </cols>
  <sheetData>
    <row r="1" spans="1:10" x14ac:dyDescent="0.25">
      <c r="A1" s="6" t="s">
        <v>23</v>
      </c>
      <c r="B1" s="7" t="s">
        <v>24</v>
      </c>
      <c r="C1" s="6" t="s">
        <v>37</v>
      </c>
      <c r="D1" s="6" t="s">
        <v>11</v>
      </c>
      <c r="E1" s="6" t="s">
        <v>38</v>
      </c>
      <c r="F1" s="6" t="s">
        <v>25</v>
      </c>
      <c r="G1" s="6" t="s">
        <v>12</v>
      </c>
      <c r="H1" s="6" t="s">
        <v>26</v>
      </c>
      <c r="I1" s="6" t="s">
        <v>27</v>
      </c>
      <c r="J1" s="6" t="s">
        <v>6</v>
      </c>
    </row>
    <row r="2" spans="1:10" x14ac:dyDescent="0.25">
      <c r="A2" s="4" t="s">
        <v>51</v>
      </c>
      <c r="B2" s="2" t="s">
        <v>52</v>
      </c>
      <c r="C2" s="1" t="s">
        <v>35</v>
      </c>
      <c r="D2" s="1" t="s">
        <v>44</v>
      </c>
      <c r="E2" s="1" t="s">
        <v>54</v>
      </c>
      <c r="F2" s="1" t="s">
        <v>53</v>
      </c>
      <c r="G2" s="1" t="s">
        <v>59</v>
      </c>
      <c r="H2" s="1" t="s">
        <v>13</v>
      </c>
      <c r="I2" s="1" t="s">
        <v>18</v>
      </c>
      <c r="J2" s="1" t="s">
        <v>76</v>
      </c>
    </row>
    <row r="3" spans="1:10" x14ac:dyDescent="0.25">
      <c r="A3" s="1"/>
      <c r="B3" s="2"/>
      <c r="C3" s="1"/>
      <c r="D3" s="1"/>
      <c r="E3" s="1"/>
      <c r="F3" s="1"/>
      <c r="G3" s="1"/>
      <c r="H3" s="1"/>
      <c r="I3" s="1"/>
      <c r="J3" s="1"/>
    </row>
    <row r="4" spans="1:10" x14ac:dyDescent="0.25">
      <c r="A4" s="9" t="s">
        <v>40</v>
      </c>
      <c r="B4" s="10"/>
      <c r="C4" s="10"/>
      <c r="D4" s="10"/>
      <c r="E4" s="10"/>
      <c r="F4" s="10"/>
      <c r="G4" s="10"/>
      <c r="H4" s="1"/>
      <c r="I4" s="1"/>
      <c r="J4" s="1"/>
    </row>
    <row r="5" spans="1:10" x14ac:dyDescent="0.25">
      <c r="A5" s="8" t="s">
        <v>0</v>
      </c>
      <c r="B5" s="8" t="s">
        <v>1</v>
      </c>
      <c r="C5" s="8" t="s">
        <v>2</v>
      </c>
      <c r="D5" s="8" t="s">
        <v>28</v>
      </c>
      <c r="E5" s="8" t="s">
        <v>4</v>
      </c>
      <c r="F5" s="8" t="s">
        <v>5</v>
      </c>
      <c r="G5" s="8" t="s">
        <v>6</v>
      </c>
      <c r="H5" s="1"/>
      <c r="I5" s="1"/>
      <c r="J5" s="1"/>
    </row>
    <row r="6" spans="1:10" x14ac:dyDescent="0.25">
      <c r="A6" s="3" t="s">
        <v>77</v>
      </c>
      <c r="B6" s="3" t="s">
        <v>30</v>
      </c>
      <c r="C6" s="3" t="s">
        <v>19</v>
      </c>
      <c r="D6" s="3" t="s">
        <v>20</v>
      </c>
      <c r="E6" s="3" t="s">
        <v>57</v>
      </c>
      <c r="F6" s="3" t="s">
        <v>58</v>
      </c>
      <c r="G6" s="3" t="s">
        <v>56</v>
      </c>
      <c r="H6" s="1"/>
      <c r="I6" s="1"/>
      <c r="J6" s="1"/>
    </row>
  </sheetData>
  <mergeCells count="1">
    <mergeCell ref="A4:G4"/>
  </mergeCells>
  <dataValidations count="7">
    <dataValidation type="list" allowBlank="1" showInputMessage="1" showErrorMessage="1" sqref="E2">
      <formula1>INDIRECT(VLOOKUP(D2,hochiminhLookup,2,0))</formula1>
    </dataValidation>
    <dataValidation type="list" allowBlank="1" showInputMessage="1" showErrorMessage="1" sqref="D2">
      <formula1>INDIRECT(VLOOKUP(C2,cityLookup,2,0))</formula1>
    </dataValidation>
    <dataValidation type="list" allowBlank="1" showInputMessage="1" showErrorMessage="1" sqref="C2">
      <formula1>cityList</formula1>
    </dataValidation>
    <dataValidation type="list" allowBlank="1" showInputMessage="1" showErrorMessage="1" sqref="D6">
      <formula1>HasHighValue</formula1>
    </dataValidation>
    <dataValidation type="list" allowBlank="1" showInputMessage="1" showErrorMessage="1" sqref="C6">
      <formula1>IsFragile</formula1>
    </dataValidation>
    <dataValidation type="list" allowBlank="1" showInputMessage="1" showErrorMessage="1" sqref="I2">
      <formula1>PaymentType</formula1>
    </dataValidation>
    <dataValidation type="list" allowBlank="1" showInputMessage="1" showErrorMessage="1" sqref="H2">
      <formula1>DeliveryOptionList</formula1>
    </dataValidation>
  </dataValidations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6"/>
  <sheetViews>
    <sheetView workbookViewId="0">
      <selection activeCell="G6" sqref="G6"/>
    </sheetView>
  </sheetViews>
  <sheetFormatPr defaultRowHeight="15" x14ac:dyDescent="0.25"/>
  <cols>
    <col min="1" max="1" width="16.5703125" bestFit="1" customWidth="1"/>
    <col min="2" max="2" width="15" bestFit="1" customWidth="1"/>
    <col min="3" max="3" width="11.5703125" bestFit="1" customWidth="1"/>
    <col min="4" max="4" width="14.28515625" bestFit="1" customWidth="1"/>
    <col min="5" max="5" width="13.85546875" bestFit="1" customWidth="1"/>
    <col min="6" max="6" width="16.5703125" bestFit="1" customWidth="1"/>
    <col min="7" max="7" width="12.7109375" bestFit="1" customWidth="1"/>
    <col min="8" max="8" width="15.140625" bestFit="1" customWidth="1"/>
    <col min="9" max="9" width="19.42578125" bestFit="1" customWidth="1"/>
  </cols>
  <sheetData>
    <row r="1" spans="1:10" x14ac:dyDescent="0.25">
      <c r="A1" s="6" t="s">
        <v>23</v>
      </c>
      <c r="B1" s="7" t="s">
        <v>24</v>
      </c>
      <c r="C1" s="6" t="s">
        <v>37</v>
      </c>
      <c r="D1" s="6" t="s">
        <v>11</v>
      </c>
      <c r="E1" s="6" t="s">
        <v>38</v>
      </c>
      <c r="F1" s="6" t="s">
        <v>25</v>
      </c>
      <c r="G1" s="6" t="s">
        <v>12</v>
      </c>
      <c r="H1" s="6" t="s">
        <v>26</v>
      </c>
      <c r="I1" s="6" t="s">
        <v>27</v>
      </c>
      <c r="J1" s="6" t="s">
        <v>6</v>
      </c>
    </row>
    <row r="2" spans="1:10" x14ac:dyDescent="0.25">
      <c r="A2" s="4" t="s">
        <v>63</v>
      </c>
      <c r="B2" s="2" t="s">
        <v>64</v>
      </c>
      <c r="C2" s="1" t="s">
        <v>35</v>
      </c>
      <c r="D2" s="1" t="s">
        <v>15</v>
      </c>
      <c r="E2" s="1" t="s">
        <v>41</v>
      </c>
      <c r="F2" s="1" t="s">
        <v>65</v>
      </c>
      <c r="G2" s="1" t="s">
        <v>61</v>
      </c>
      <c r="H2" s="1" t="s">
        <v>13</v>
      </c>
      <c r="I2" s="1" t="s">
        <v>22</v>
      </c>
      <c r="J2" s="1" t="s">
        <v>66</v>
      </c>
    </row>
    <row r="3" spans="1:10" x14ac:dyDescent="0.25">
      <c r="A3" s="1"/>
      <c r="B3" s="2"/>
      <c r="C3" s="1"/>
      <c r="D3" s="1"/>
      <c r="E3" s="1"/>
      <c r="F3" s="1"/>
      <c r="G3" s="1"/>
      <c r="H3" s="1"/>
      <c r="I3" s="1"/>
      <c r="J3" s="1"/>
    </row>
    <row r="4" spans="1:10" x14ac:dyDescent="0.25">
      <c r="A4" s="9" t="s">
        <v>40</v>
      </c>
      <c r="B4" s="10"/>
      <c r="C4" s="10"/>
      <c r="D4" s="10"/>
      <c r="E4" s="10"/>
      <c r="F4" s="10"/>
      <c r="G4" s="10"/>
      <c r="H4" s="1"/>
      <c r="I4" s="1"/>
      <c r="J4" s="1"/>
    </row>
    <row r="5" spans="1:10" x14ac:dyDescent="0.25">
      <c r="A5" s="8" t="s">
        <v>0</v>
      </c>
      <c r="B5" s="8" t="s">
        <v>1</v>
      </c>
      <c r="C5" s="8" t="s">
        <v>2</v>
      </c>
      <c r="D5" s="8" t="s">
        <v>28</v>
      </c>
      <c r="E5" s="8" t="s">
        <v>4</v>
      </c>
      <c r="F5" s="8" t="s">
        <v>5</v>
      </c>
      <c r="G5" s="8" t="s">
        <v>6</v>
      </c>
      <c r="H5" s="1"/>
      <c r="I5" s="1"/>
      <c r="J5" s="1"/>
    </row>
    <row r="6" spans="1:10" x14ac:dyDescent="0.25">
      <c r="A6" s="3" t="s">
        <v>78</v>
      </c>
      <c r="B6" s="3" t="s">
        <v>30</v>
      </c>
      <c r="C6" s="3" t="s">
        <v>19</v>
      </c>
      <c r="D6" s="3" t="s">
        <v>20</v>
      </c>
      <c r="E6" s="3" t="s">
        <v>62</v>
      </c>
      <c r="F6" s="3" t="s">
        <v>55</v>
      </c>
      <c r="G6" s="3" t="s">
        <v>79</v>
      </c>
      <c r="H6" s="1"/>
      <c r="I6" s="1"/>
      <c r="J6" s="1"/>
    </row>
  </sheetData>
  <mergeCells count="1">
    <mergeCell ref="A4:G4"/>
  </mergeCells>
  <dataValidations count="7">
    <dataValidation type="list" allowBlank="1" showInputMessage="1" showErrorMessage="1" sqref="E2">
      <formula1>INDIRECT(VLOOKUP(D2,hochiminhLookup,2,0))</formula1>
    </dataValidation>
    <dataValidation type="list" allowBlank="1" showInputMessage="1" showErrorMessage="1" sqref="D2">
      <formula1>INDIRECT(VLOOKUP(C2,cityLookup,2,0))</formula1>
    </dataValidation>
    <dataValidation type="list" allowBlank="1" showInputMessage="1" showErrorMessage="1" sqref="C2">
      <formula1>cityList</formula1>
    </dataValidation>
    <dataValidation type="list" allowBlank="1" showInputMessage="1" showErrorMessage="1" sqref="D6">
      <formula1>HasHighValue</formula1>
    </dataValidation>
    <dataValidation type="list" allowBlank="1" showInputMessage="1" showErrorMessage="1" sqref="C6">
      <formula1>IsFragile</formula1>
    </dataValidation>
    <dataValidation type="list" allowBlank="1" showInputMessage="1" showErrorMessage="1" sqref="I2">
      <formula1>PaymentType</formula1>
    </dataValidation>
    <dataValidation type="list" allowBlank="1" showInputMessage="1" showErrorMessage="1" sqref="H2">
      <formula1>DeliveryOptionList</formula1>
    </dataValidation>
  </dataValidations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Sheet3</vt:lpstr>
      <vt:lpstr>Order1</vt:lpstr>
      <vt:lpstr>Order2</vt:lpstr>
      <vt:lpstr>Order3</vt:lpstr>
      <vt:lpstr>cityList</vt:lpstr>
      <vt:lpstr>cityLookup</vt:lpstr>
      <vt:lpstr>DeliveryOptionList</vt:lpstr>
      <vt:lpstr>GoVap</vt:lpstr>
      <vt:lpstr>govapList</vt:lpstr>
      <vt:lpstr>HaDong</vt:lpstr>
      <vt:lpstr>hadongList</vt:lpstr>
      <vt:lpstr>HaNoi</vt:lpstr>
      <vt:lpstr>hanoiList</vt:lpstr>
      <vt:lpstr>hanoiLookup</vt:lpstr>
      <vt:lpstr>HasHighValue</vt:lpstr>
      <vt:lpstr>HoChiMinh</vt:lpstr>
      <vt:lpstr>hochiminhLookup</vt:lpstr>
      <vt:lpstr>IsFragile</vt:lpstr>
      <vt:lpstr>PaymentType</vt:lpstr>
      <vt:lpstr>Quan12</vt:lpstr>
      <vt:lpstr>Quan5</vt:lpstr>
      <vt:lpstr>Size</vt:lpstr>
      <vt:lpstr>TanBinh</vt:lpstr>
      <vt:lpstr>TanPhu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taihh</dc:creator>
  <cp:lastModifiedBy>taihh</cp:lastModifiedBy>
  <dcterms:created xsi:type="dcterms:W3CDTF">2012-11-06T04:06:51Z</dcterms:created>
  <dcterms:modified xsi:type="dcterms:W3CDTF">2012-12-19T08:15:51Z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1kwm8ZlfxYHzW3K_7-4X6pob7-3eXP4aN6nYwgVDZICg</vt:lpwstr>
  </property>
  <property fmtid="{D5CDD505-2E9C-101B-9397-08002B2CF9AE}" pid="4" name="Google.Documents.RevisionId">
    <vt:lpwstr>03608657301677960854</vt:lpwstr>
  </property>
  <property fmtid="{D5CDD505-2E9C-101B-9397-08002B2CF9AE}" pid="5" name="Google.Documents.PreviousRevisionId">
    <vt:lpwstr>07498434177218575728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