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abi\Downloads\CEE247_ASSIGNMENT\project_files_ce247\"/>
    </mc:Choice>
  </mc:AlternateContent>
  <xr:revisionPtr revIDLastSave="0" documentId="8_{9CB28B7E-9736-4DAC-8722-C06EA029B7BB}" xr6:coauthVersionLast="47" xr6:coauthVersionMax="47" xr10:uidLastSave="{00000000-0000-0000-0000-000000000000}"/>
  <bookViews>
    <workbookView xWindow="37995" yWindow="2670" windowWidth="17280" windowHeight="9960" xr2:uid="{D771D608-9974-4E73-A1BB-0A870391B429}"/>
  </bookViews>
  <sheets>
    <sheet name="Sheet1" sheetId="1" r:id="rId1"/>
  </sheets>
  <definedNames>
    <definedName name="BSIWhichPageSetup" hidden="1">1</definedName>
    <definedName name="BSIWhichPageSetup_0" hidden="1">"0þ"</definedName>
    <definedName name="_xlnm.Print_Area" localSheetId="0">Sheet1!$A$1:$O$108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B11" i="1"/>
  <c r="E28" i="1" l="1"/>
  <c r="E30" i="1"/>
  <c r="B31" i="1"/>
  <c r="E23" i="1"/>
  <c r="B81" i="1"/>
  <c r="B74" i="1"/>
  <c r="B50" i="1"/>
  <c r="B17" i="1"/>
  <c r="B49" i="1"/>
  <c r="B16" i="1"/>
  <c r="B12" i="1"/>
  <c r="C5" i="1"/>
  <c r="B96" i="1"/>
  <c r="B93" i="1"/>
  <c r="B95" i="1" s="1"/>
  <c r="B28" i="1"/>
  <c r="C97" i="1" s="1"/>
  <c r="B4" i="1"/>
  <c r="C6" i="1" l="1"/>
  <c r="B97" i="1"/>
  <c r="B35" i="1" l="1"/>
  <c r="B99" i="1"/>
  <c r="D99" i="1" s="1"/>
  <c r="B34" i="1"/>
  <c r="C34" i="1" l="1"/>
  <c r="C35" i="1"/>
  <c r="D35" i="1" l="1"/>
  <c r="B39" i="1" s="1"/>
  <c r="E25" i="1"/>
  <c r="E24" i="1"/>
  <c r="D34" i="1"/>
  <c r="B38" i="1" s="1"/>
  <c r="B40" i="1" l="1"/>
  <c r="B41" i="1" s="1"/>
  <c r="B45" i="1" s="1"/>
  <c r="E26" i="1" s="1"/>
  <c r="B54" i="1" l="1"/>
  <c r="B53" i="1"/>
  <c r="B61" i="1"/>
  <c r="B62" i="1" s="1"/>
  <c r="B67" i="1" s="1"/>
  <c r="B63" i="1"/>
  <c r="E27" i="1"/>
  <c r="B56" i="1"/>
  <c r="B58" i="1" s="1"/>
  <c r="E31" i="1" l="1"/>
  <c r="B65" i="1"/>
  <c r="B71" i="1"/>
  <c r="B86" i="1"/>
  <c r="D86" i="1" s="1"/>
  <c r="B85" i="1"/>
  <c r="D85" i="1" s="1"/>
  <c r="B78" i="1"/>
  <c r="B70" i="1" l="1"/>
  <c r="B72" i="1" s="1"/>
  <c r="B73" i="1" s="1"/>
  <c r="B75" i="1" s="1"/>
  <c r="D75" i="1" s="1"/>
  <c r="B77" i="1"/>
  <c r="B79" i="1" s="1"/>
  <c r="B80" i="1" s="1"/>
  <c r="B82" i="1" s="1"/>
  <c r="D82" i="1" s="1"/>
</calcChain>
</file>

<file path=xl/sharedStrings.xml><?xml version="1.0" encoding="utf-8"?>
<sst xmlns="http://schemas.openxmlformats.org/spreadsheetml/2006/main" count="136" uniqueCount="85">
  <si>
    <t>BEARING STIFFNESS</t>
  </si>
  <si>
    <t>nb</t>
  </si>
  <si>
    <t>total weight</t>
  </si>
  <si>
    <t>mass</t>
  </si>
  <si>
    <t>No of Type A</t>
  </si>
  <si>
    <t>No of Type B</t>
  </si>
  <si>
    <t>target isolation period</t>
  </si>
  <si>
    <t>HORIZONTAL STIFFNESS</t>
  </si>
  <si>
    <t>type A</t>
  </si>
  <si>
    <t>type B</t>
  </si>
  <si>
    <t>SHEAR MODULUS</t>
  </si>
  <si>
    <t xml:space="preserve">max shear strain </t>
  </si>
  <si>
    <t>Maximum displacement from EQ</t>
  </si>
  <si>
    <t>sylmar</t>
  </si>
  <si>
    <t>elcen05</t>
  </si>
  <si>
    <t>elcen07</t>
  </si>
  <si>
    <t>lucerne</t>
  </si>
  <si>
    <t>newhall</t>
  </si>
  <si>
    <t>pacoima</t>
  </si>
  <si>
    <t>rinaldi</t>
  </si>
  <si>
    <t>Rubber thickness</t>
  </si>
  <si>
    <t>Bearing size</t>
  </si>
  <si>
    <t>type A (Area)</t>
  </si>
  <si>
    <t>type B (Area)</t>
  </si>
  <si>
    <t xml:space="preserve">building plan </t>
  </si>
  <si>
    <t>b</t>
  </si>
  <si>
    <t>d</t>
  </si>
  <si>
    <t>rI</t>
  </si>
  <si>
    <t>Pt</t>
  </si>
  <si>
    <t>e</t>
  </si>
  <si>
    <t>DTM</t>
  </si>
  <si>
    <t>total maximum shear strain</t>
  </si>
  <si>
    <t>ACTUAL BEARING STIFFNESS</t>
  </si>
  <si>
    <t>weight per type</t>
  </si>
  <si>
    <t>no of bearing per type</t>
  </si>
  <si>
    <t>total stiffness of bearings</t>
  </si>
  <si>
    <t>isolation frequency</t>
  </si>
  <si>
    <t xml:space="preserve">BEARING DETAIL </t>
  </si>
  <si>
    <t>vertical frequency</t>
  </si>
  <si>
    <t>shape factor</t>
  </si>
  <si>
    <t>COMPRESSION MODULUS</t>
  </si>
  <si>
    <t>shear modulus</t>
  </si>
  <si>
    <t>bulk modulus</t>
  </si>
  <si>
    <t>Ec (type A)</t>
  </si>
  <si>
    <t>Ec (type B)</t>
  </si>
  <si>
    <t>total vertical stiffness</t>
  </si>
  <si>
    <t>BEARING SIZING</t>
  </si>
  <si>
    <t>thickness of each layer</t>
  </si>
  <si>
    <t>n</t>
  </si>
  <si>
    <t>new_t</t>
  </si>
  <si>
    <t>real shape factor</t>
  </si>
  <si>
    <t>t_end</t>
  </si>
  <si>
    <t>height of bearing</t>
  </si>
  <si>
    <t>BUCKLING LOAD</t>
  </si>
  <si>
    <t>Ps (type A)</t>
  </si>
  <si>
    <t>Pe (type A)</t>
  </si>
  <si>
    <t>Pcritical (type A)</t>
  </si>
  <si>
    <t>Pa (type A)</t>
  </si>
  <si>
    <t>MN</t>
  </si>
  <si>
    <t>SF</t>
  </si>
  <si>
    <t>ROLL OUT DISPLACEMENT</t>
  </si>
  <si>
    <t>roll out displacement (type A)</t>
  </si>
  <si>
    <t>roll out displacement (type B)</t>
  </si>
  <si>
    <t>DESIGN OF A HIGH DAMPING RUBBER BEARING</t>
  </si>
  <si>
    <t>TOTAL MAXIMUM DISPLACEMENT</t>
  </si>
  <si>
    <t>kg</t>
  </si>
  <si>
    <t>seconds</t>
  </si>
  <si>
    <t>MPa</t>
  </si>
  <si>
    <t>m</t>
  </si>
  <si>
    <t>Maximum displacement (DM)</t>
  </si>
  <si>
    <t>radius (m)</t>
  </si>
  <si>
    <r>
      <t>actual area (</t>
    </r>
    <r>
      <rPr>
        <b/>
        <sz val="11"/>
        <color theme="1"/>
        <rFont val="Aptos Narrow"/>
        <family val="2"/>
        <scheme val="minor"/>
      </rPr>
      <t>m</t>
    </r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)</t>
    </r>
  </si>
  <si>
    <t>MN/m</t>
  </si>
  <si>
    <t>Hz</t>
  </si>
  <si>
    <t>mm</t>
  </si>
  <si>
    <t>Note:Type A bearing is a X0.3R rubber material and type B is a X0.6R material.The shear properties are calculated using the equation below</t>
  </si>
  <si>
    <t>Isolation period</t>
  </si>
  <si>
    <t>Type A (radius)</t>
  </si>
  <si>
    <t>TypeB (radius)</t>
  </si>
  <si>
    <t>Number of layers</t>
  </si>
  <si>
    <t>thickness of each rubber</t>
  </si>
  <si>
    <t>thickness of each steel plate</t>
  </si>
  <si>
    <t>thickness of each plate</t>
  </si>
  <si>
    <t>Height of bearing</t>
  </si>
  <si>
    <t>BEARING DESIGN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</si>
</sst>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/>
    <xf numFmtId="49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396239</xdr:colOff>
      <xdr:row>11</xdr:row>
      <xdr:rowOff>46829</xdr:rowOff>
    </xdr:from>
    <xdr:to>
      <xdr:col>7</xdr:col>
      <xdr:colOff>238125</xdr:colOff>
      <xdr:row>18</xdr:row>
      <xdr:rowOff>166207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41D342-4670-378A-26A8-F04E1A051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5639" y="2226149"/>
          <a:ext cx="5328286" cy="13995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610B-B174-4C26-8B31-E43C5111C71C}">
  <dimension ref="A1:J99"/>
  <sheetViews>
    <sheetView tabSelected="1" view="pageBreakPreview" topLeftCell="A5" zoomScaleNormal="100" zoomScaleSheetLayoutView="100" workbookViewId="0">
      <selection activeCell="E30" sqref="E30"/>
    </sheetView>
  </sheetViews>
  <sheetFormatPr defaultRowHeight="14.4" x14ac:dyDescent="0.3"/>
  <cols>
    <col min="1" max="1" width="31.109375" customWidth="1"/>
    <col min="2" max="2" width="10" bestFit="1" customWidth="1"/>
    <col min="3" max="3" width="12" bestFit="1" customWidth="1"/>
    <col min="4" max="4" width="23.77734375" bestFit="1" customWidth="1"/>
    <col min="5" max="5" width="26.44140625" customWidth="1"/>
  </cols>
  <sheetData>
    <row r="1" spans="1:10" x14ac:dyDescent="0.3">
      <c r="A1" s="10" t="s">
        <v>63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3" t="s">
        <v>0</v>
      </c>
      <c r="F2" s="3" t="s">
        <v>1</v>
      </c>
      <c r="G2">
        <v>9</v>
      </c>
    </row>
    <row r="3" spans="1:10" x14ac:dyDescent="0.3">
      <c r="A3" t="s">
        <v>3</v>
      </c>
      <c r="B3">
        <v>325000</v>
      </c>
      <c r="C3" s="3" t="s">
        <v>65</v>
      </c>
    </row>
    <row r="4" spans="1:10" x14ac:dyDescent="0.3">
      <c r="A4" t="s">
        <v>2</v>
      </c>
      <c r="B4">
        <f>3*B3</f>
        <v>975000</v>
      </c>
      <c r="C4" s="3" t="s">
        <v>65</v>
      </c>
      <c r="D4" t="s">
        <v>33</v>
      </c>
      <c r="E4" t="s">
        <v>34</v>
      </c>
    </row>
    <row r="5" spans="1:10" x14ac:dyDescent="0.3">
      <c r="A5" t="s">
        <v>4</v>
      </c>
      <c r="B5">
        <v>6</v>
      </c>
      <c r="C5">
        <f>60937.5*4+121875*2</f>
        <v>487500</v>
      </c>
      <c r="D5">
        <v>121875</v>
      </c>
      <c r="E5">
        <v>6</v>
      </c>
    </row>
    <row r="6" spans="1:10" x14ac:dyDescent="0.3">
      <c r="A6" t="s">
        <v>5</v>
      </c>
      <c r="B6">
        <v>3</v>
      </c>
      <c r="C6">
        <f>B4-C5</f>
        <v>487500</v>
      </c>
      <c r="D6">
        <v>243750</v>
      </c>
      <c r="E6">
        <v>3</v>
      </c>
    </row>
    <row r="7" spans="1:10" ht="10.8" customHeight="1" x14ac:dyDescent="0.3"/>
    <row r="8" spans="1:10" ht="42" customHeight="1" x14ac:dyDescent="0.3">
      <c r="A8" t="s">
        <v>6</v>
      </c>
      <c r="B8" s="4">
        <v>3</v>
      </c>
      <c r="C8" s="3" t="s">
        <v>66</v>
      </c>
      <c r="E8" s="11" t="s">
        <v>75</v>
      </c>
      <c r="F8" s="11"/>
      <c r="G8" s="11"/>
      <c r="H8" s="11"/>
    </row>
    <row r="10" spans="1:10" x14ac:dyDescent="0.3">
      <c r="A10" s="3" t="s">
        <v>7</v>
      </c>
    </row>
    <row r="11" spans="1:10" x14ac:dyDescent="0.3">
      <c r="A11" t="s">
        <v>8</v>
      </c>
      <c r="B11">
        <f>(D5*(2*PI()/$B$8)^2)/(10^6)</f>
        <v>0.53460357172567352</v>
      </c>
      <c r="C11" s="3" t="s">
        <v>72</v>
      </c>
    </row>
    <row r="12" spans="1:10" x14ac:dyDescent="0.3">
      <c r="A12" t="s">
        <v>9</v>
      </c>
      <c r="B12">
        <f>(D6*(2*PI()/$B$8)^2)/(10^6)</f>
        <v>1.069207143451347</v>
      </c>
      <c r="C12" s="3" t="s">
        <v>72</v>
      </c>
    </row>
    <row r="14" spans="1:10" x14ac:dyDescent="0.3">
      <c r="A14" s="3" t="s">
        <v>10</v>
      </c>
    </row>
    <row r="15" spans="1:10" x14ac:dyDescent="0.3">
      <c r="A15" t="s">
        <v>11</v>
      </c>
      <c r="B15" s="4">
        <v>150</v>
      </c>
    </row>
    <row r="16" spans="1:10" x14ac:dyDescent="0.3">
      <c r="A16" t="s">
        <v>8</v>
      </c>
      <c r="B16">
        <f>0.0255*(B15/100)^4 - 0.2213*(B15/100)^3+0.7283*(B15/100)^2-1.1028*(B15/100)+0.8703</f>
        <v>0.23698125000000003</v>
      </c>
      <c r="C16" s="3" t="s">
        <v>67</v>
      </c>
    </row>
    <row r="17" spans="1:6" x14ac:dyDescent="0.3">
      <c r="A17" t="s">
        <v>9</v>
      </c>
      <c r="B17">
        <f>0.62*(0.136*(B15/100)^4-1.016*(B15/100)^3+2.903*(B15/100)^2-3.878*(B15/100)+2.855)</f>
        <v>0.51413499999999945</v>
      </c>
      <c r="C17" s="3" t="s">
        <v>67</v>
      </c>
    </row>
    <row r="19" spans="1:6" x14ac:dyDescent="0.3">
      <c r="A19" s="3" t="s">
        <v>12</v>
      </c>
    </row>
    <row r="20" spans="1:6" x14ac:dyDescent="0.3">
      <c r="A20" t="s">
        <v>13</v>
      </c>
      <c r="B20">
        <v>0.39989999999999998</v>
      </c>
    </row>
    <row r="21" spans="1:6" x14ac:dyDescent="0.3">
      <c r="A21" t="s">
        <v>14</v>
      </c>
      <c r="B21">
        <v>0.21460000000000001</v>
      </c>
    </row>
    <row r="22" spans="1:6" x14ac:dyDescent="0.3">
      <c r="A22" t="s">
        <v>15</v>
      </c>
      <c r="B22">
        <v>0.24610000000000001</v>
      </c>
      <c r="E22" s="9" t="s">
        <v>84</v>
      </c>
    </row>
    <row r="23" spans="1:6" x14ac:dyDescent="0.3">
      <c r="A23" t="s">
        <v>16</v>
      </c>
      <c r="B23">
        <v>0.23569999999999999</v>
      </c>
      <c r="D23" t="s">
        <v>76</v>
      </c>
      <c r="E23">
        <f>B8</f>
        <v>3</v>
      </c>
    </row>
    <row r="24" spans="1:6" x14ac:dyDescent="0.3">
      <c r="A24" t="s">
        <v>17</v>
      </c>
      <c r="B24">
        <v>0.23769999999999999</v>
      </c>
      <c r="D24" t="s">
        <v>77</v>
      </c>
      <c r="E24" s="1">
        <f>C34</f>
        <v>0.4</v>
      </c>
      <c r="F24" s="3" t="s">
        <v>68</v>
      </c>
    </row>
    <row r="25" spans="1:6" x14ac:dyDescent="0.3">
      <c r="A25" t="s">
        <v>18</v>
      </c>
      <c r="B25">
        <v>0.33860000000000001</v>
      </c>
      <c r="D25" t="s">
        <v>78</v>
      </c>
      <c r="E25" s="1">
        <f>C35</f>
        <v>0.4</v>
      </c>
      <c r="F25" s="3" t="s">
        <v>68</v>
      </c>
    </row>
    <row r="26" spans="1:6" x14ac:dyDescent="0.3">
      <c r="A26" t="s">
        <v>19</v>
      </c>
      <c r="B26">
        <v>0.45629999999999998</v>
      </c>
      <c r="D26" t="s">
        <v>39</v>
      </c>
      <c r="E26" s="2">
        <f>B45</f>
        <v>9.2795324236105028</v>
      </c>
      <c r="F26" s="3"/>
    </row>
    <row r="27" spans="1:6" x14ac:dyDescent="0.3">
      <c r="D27" t="s">
        <v>79</v>
      </c>
      <c r="E27">
        <f>B62</f>
        <v>9</v>
      </c>
      <c r="F27" s="3"/>
    </row>
    <row r="28" spans="1:6" x14ac:dyDescent="0.3">
      <c r="A28" s="3" t="s">
        <v>69</v>
      </c>
      <c r="B28">
        <f>AVERAGE(B20:B26)</f>
        <v>0.30412857142857147</v>
      </c>
      <c r="C28" s="3" t="s">
        <v>68</v>
      </c>
      <c r="D28" t="s">
        <v>81</v>
      </c>
      <c r="E28">
        <f>2/1000</f>
        <v>2E-3</v>
      </c>
      <c r="F28" s="3" t="s">
        <v>68</v>
      </c>
    </row>
    <row r="29" spans="1:6" x14ac:dyDescent="0.3">
      <c r="D29" t="s">
        <v>80</v>
      </c>
      <c r="E29" s="12">
        <f>ROUND(B31/B62,3)</f>
        <v>2.1999999999999999E-2</v>
      </c>
      <c r="F29" s="3" t="s">
        <v>68</v>
      </c>
    </row>
    <row r="30" spans="1:6" x14ac:dyDescent="0.3">
      <c r="D30" t="s">
        <v>82</v>
      </c>
      <c r="E30">
        <f>B66/1000</f>
        <v>2.5000000000000001E-2</v>
      </c>
      <c r="F30" s="3" t="s">
        <v>68</v>
      </c>
    </row>
    <row r="31" spans="1:6" x14ac:dyDescent="0.3">
      <c r="A31" s="3" t="s">
        <v>20</v>
      </c>
      <c r="B31" s="1">
        <f>ROUND(B28/(B15/100),1)</f>
        <v>0.2</v>
      </c>
      <c r="C31" s="3" t="s">
        <v>68</v>
      </c>
      <c r="D31" t="s">
        <v>83</v>
      </c>
      <c r="E31">
        <f>E28*(E27-1)+E27*(E29)+2*(E30)</f>
        <v>0.26399999999999996</v>
      </c>
      <c r="F31" s="3" t="s">
        <v>68</v>
      </c>
    </row>
    <row r="33" spans="1:4" ht="16.2" x14ac:dyDescent="0.3">
      <c r="A33" t="s">
        <v>21</v>
      </c>
      <c r="C33" s="3" t="s">
        <v>70</v>
      </c>
      <c r="D33" t="s">
        <v>71</v>
      </c>
    </row>
    <row r="34" spans="1:4" x14ac:dyDescent="0.3">
      <c r="A34" t="s">
        <v>22</v>
      </c>
      <c r="B34">
        <f>B11*B31/B16</f>
        <v>0.45117794907881825</v>
      </c>
      <c r="C34" s="1">
        <f>ROUND(SQRT(B34/PI()),1)</f>
        <v>0.4</v>
      </c>
      <c r="D34">
        <f>PI()*C34^2</f>
        <v>0.50265482457436694</v>
      </c>
    </row>
    <row r="35" spans="1:4" x14ac:dyDescent="0.3">
      <c r="A35" t="s">
        <v>23</v>
      </c>
      <c r="B35">
        <f>(B12*B31)/B17</f>
        <v>0.41592466704322728</v>
      </c>
      <c r="C35" s="1">
        <f>ROUND(SQRT(B35/PI()),1)</f>
        <v>0.4</v>
      </c>
      <c r="D35">
        <f>PI()*C35^2</f>
        <v>0.50265482457436694</v>
      </c>
    </row>
    <row r="36" spans="1:4" x14ac:dyDescent="0.3">
      <c r="C36" s="1"/>
    </row>
    <row r="37" spans="1:4" x14ac:dyDescent="0.3">
      <c r="A37" s="3" t="s">
        <v>32</v>
      </c>
      <c r="C37" s="1"/>
    </row>
    <row r="38" spans="1:4" x14ac:dyDescent="0.3">
      <c r="A38" t="s">
        <v>8</v>
      </c>
      <c r="B38">
        <f>B16*D34/$B$31</f>
        <v>0.59559884323082102</v>
      </c>
      <c r="C38" s="7" t="s">
        <v>72</v>
      </c>
    </row>
    <row r="39" spans="1:4" x14ac:dyDescent="0.3">
      <c r="A39" t="s">
        <v>9</v>
      </c>
      <c r="B39">
        <f>B17*D35/$B$31</f>
        <v>1.2921621911627093</v>
      </c>
      <c r="C39" s="7" t="s">
        <v>72</v>
      </c>
    </row>
    <row r="40" spans="1:4" x14ac:dyDescent="0.3">
      <c r="A40" t="s">
        <v>35</v>
      </c>
      <c r="B40">
        <f>E5*B38+E6*B39</f>
        <v>7.4500796328730541</v>
      </c>
      <c r="C40" s="7" t="s">
        <v>72</v>
      </c>
    </row>
    <row r="41" spans="1:4" x14ac:dyDescent="0.3">
      <c r="A41" t="s">
        <v>36</v>
      </c>
      <c r="B41">
        <f>(1/(2*PI()))*SQRT((B40*10^6)/B4)</f>
        <v>0.43994489358658961</v>
      </c>
      <c r="C41" s="7" t="s">
        <v>73</v>
      </c>
    </row>
    <row r="42" spans="1:4" x14ac:dyDescent="0.3">
      <c r="C42" s="1"/>
    </row>
    <row r="43" spans="1:4" x14ac:dyDescent="0.3">
      <c r="A43" s="3" t="s">
        <v>37</v>
      </c>
      <c r="C43" s="1"/>
    </row>
    <row r="44" spans="1:4" x14ac:dyDescent="0.3">
      <c r="A44" t="s">
        <v>38</v>
      </c>
      <c r="B44">
        <v>10</v>
      </c>
      <c r="C44" s="1"/>
    </row>
    <row r="45" spans="1:4" x14ac:dyDescent="0.3">
      <c r="A45" t="s">
        <v>39</v>
      </c>
      <c r="B45" s="2">
        <f>(1/SQRT(6))*(B44/B41)</f>
        <v>9.2795324236105028</v>
      </c>
      <c r="C45" s="1"/>
    </row>
    <row r="46" spans="1:4" x14ac:dyDescent="0.3">
      <c r="C46" s="1"/>
    </row>
    <row r="47" spans="1:4" x14ac:dyDescent="0.3">
      <c r="A47" s="3" t="s">
        <v>40</v>
      </c>
      <c r="C47" s="1"/>
    </row>
    <row r="48" spans="1:4" x14ac:dyDescent="0.3">
      <c r="A48" t="s">
        <v>41</v>
      </c>
      <c r="B48" s="4">
        <v>20</v>
      </c>
      <c r="C48" s="1"/>
    </row>
    <row r="49" spans="1:3" x14ac:dyDescent="0.3">
      <c r="A49" t="s">
        <v>8</v>
      </c>
      <c r="B49">
        <f>0.0255*(B48/100)^4 - 0.2213*(B48/100)^3+0.7283*(B48/100)^2-1.1028*(B48/100)+0.8703</f>
        <v>0.67714239999999992</v>
      </c>
      <c r="C49" s="7" t="s">
        <v>67</v>
      </c>
    </row>
    <row r="50" spans="1:3" x14ac:dyDescent="0.3">
      <c r="A50" t="s">
        <v>9</v>
      </c>
      <c r="B50">
        <f>0.62*(0.136*(B48/100)^4-1.016*(B48/100)^3+2.903*(B48/100)^2-3.878*(B48/100)+2.855)</f>
        <v>1.3563179519999999</v>
      </c>
      <c r="C50" s="7" t="s">
        <v>67</v>
      </c>
    </row>
    <row r="51" spans="1:3" x14ac:dyDescent="0.3">
      <c r="C51" s="1"/>
    </row>
    <row r="52" spans="1:3" x14ac:dyDescent="0.3">
      <c r="A52" t="s">
        <v>42</v>
      </c>
      <c r="B52">
        <v>2000</v>
      </c>
      <c r="C52" s="7" t="s">
        <v>67</v>
      </c>
    </row>
    <row r="53" spans="1:3" x14ac:dyDescent="0.3">
      <c r="A53" t="s">
        <v>43</v>
      </c>
      <c r="B53">
        <f>(6*B49*($B$45^2)*$B$52)/(6*B49*($B$45^2)+$B$52)</f>
        <v>297.76460190085231</v>
      </c>
      <c r="C53" s="7" t="s">
        <v>67</v>
      </c>
    </row>
    <row r="54" spans="1:3" x14ac:dyDescent="0.3">
      <c r="A54" t="s">
        <v>44</v>
      </c>
      <c r="B54">
        <f>(6*B50*($B$45^2)*$B$52)/(6*B50*($B$45^2)+$B$52)</f>
        <v>518.93155600566649</v>
      </c>
      <c r="C54" s="7" t="s">
        <v>67</v>
      </c>
    </row>
    <row r="55" spans="1:3" x14ac:dyDescent="0.3">
      <c r="C55" s="7"/>
    </row>
    <row r="56" spans="1:3" x14ac:dyDescent="0.3">
      <c r="A56" t="s">
        <v>45</v>
      </c>
      <c r="B56">
        <f>(E5*B53+E6*B54)*D34/B31</f>
        <v>8402.8361657398455</v>
      </c>
      <c r="C56" s="7" t="s">
        <v>72</v>
      </c>
    </row>
    <row r="57" spans="1:3" x14ac:dyDescent="0.3">
      <c r="C57" s="7"/>
    </row>
    <row r="58" spans="1:3" x14ac:dyDescent="0.3">
      <c r="A58" t="s">
        <v>38</v>
      </c>
      <c r="B58">
        <f>(1/(2*PI()))*SQRT((B56*10^6)/B4)</f>
        <v>14.775111663992154</v>
      </c>
      <c r="C58" s="7" t="s">
        <v>73</v>
      </c>
    </row>
    <row r="59" spans="1:3" x14ac:dyDescent="0.3">
      <c r="C59" s="7"/>
    </row>
    <row r="60" spans="1:3" x14ac:dyDescent="0.3">
      <c r="A60" s="3" t="s">
        <v>46</v>
      </c>
      <c r="C60" s="7"/>
    </row>
    <row r="61" spans="1:3" x14ac:dyDescent="0.3">
      <c r="A61" t="s">
        <v>47</v>
      </c>
      <c r="B61">
        <f>C34/(2*B45)</f>
        <v>2.155281008460376E-2</v>
      </c>
      <c r="C61" s="7" t="s">
        <v>68</v>
      </c>
    </row>
    <row r="62" spans="1:3" x14ac:dyDescent="0.3">
      <c r="A62" t="s">
        <v>48</v>
      </c>
      <c r="B62">
        <f>ROUND(B31/B61,0)</f>
        <v>9</v>
      </c>
      <c r="C62" s="7"/>
    </row>
    <row r="63" spans="1:3" x14ac:dyDescent="0.3">
      <c r="A63" t="s">
        <v>49</v>
      </c>
      <c r="B63">
        <f>ROUND(B31/B62,3)</f>
        <v>2.1999999999999999E-2</v>
      </c>
      <c r="C63" s="7" t="s">
        <v>68</v>
      </c>
    </row>
    <row r="64" spans="1:3" x14ac:dyDescent="0.3">
      <c r="C64" s="7"/>
    </row>
    <row r="65" spans="1:4" x14ac:dyDescent="0.3">
      <c r="A65" t="s">
        <v>50</v>
      </c>
      <c r="B65">
        <f>ROUND(C34/(2*B63),0)</f>
        <v>9</v>
      </c>
      <c r="C65" s="7"/>
    </row>
    <row r="66" spans="1:4" x14ac:dyDescent="0.3">
      <c r="A66" t="s">
        <v>51</v>
      </c>
      <c r="B66">
        <v>25</v>
      </c>
      <c r="C66" s="3" t="s">
        <v>74</v>
      </c>
    </row>
    <row r="67" spans="1:4" x14ac:dyDescent="0.3">
      <c r="A67" t="s">
        <v>52</v>
      </c>
      <c r="B67">
        <f>2*(B66/1000)+B31+(B62-1)*(2/1000)</f>
        <v>0.26600000000000001</v>
      </c>
      <c r="C67" s="3" t="s">
        <v>68</v>
      </c>
    </row>
    <row r="68" spans="1:4" x14ac:dyDescent="0.3">
      <c r="C68" s="3"/>
    </row>
    <row r="69" spans="1:4" x14ac:dyDescent="0.3">
      <c r="A69" s="3" t="s">
        <v>53</v>
      </c>
      <c r="C69" s="3"/>
    </row>
    <row r="70" spans="1:4" x14ac:dyDescent="0.3">
      <c r="A70" t="s">
        <v>43</v>
      </c>
      <c r="B70">
        <f>(6*B49*($B$65^2)*$B$52)/(6*B49*($B$65^2)+$B$52)</f>
        <v>282.59194444228348</v>
      </c>
      <c r="C70" s="3" t="s">
        <v>67</v>
      </c>
    </row>
    <row r="71" spans="1:4" x14ac:dyDescent="0.3">
      <c r="A71" t="s">
        <v>54</v>
      </c>
      <c r="B71">
        <f>B16*(PI()*C34^2)*(B67/B31)</f>
        <v>0.15842929229939839</v>
      </c>
      <c r="C71" s="3" t="s">
        <v>58</v>
      </c>
    </row>
    <row r="72" spans="1:4" x14ac:dyDescent="0.3">
      <c r="A72" t="s">
        <v>55</v>
      </c>
      <c r="B72">
        <f>((PI()^2)*B70*(1/3*PI()/4*C34^4)*(B67/B31))/(B67^2)</f>
        <v>351.36336910281125</v>
      </c>
      <c r="C72" s="3" t="s">
        <v>58</v>
      </c>
    </row>
    <row r="73" spans="1:4" x14ac:dyDescent="0.3">
      <c r="A73" t="s">
        <v>56</v>
      </c>
      <c r="B73">
        <f>SQRT(B72*B71)</f>
        <v>7.4609818326337383</v>
      </c>
      <c r="C73" s="3" t="s">
        <v>58</v>
      </c>
    </row>
    <row r="74" spans="1:4" x14ac:dyDescent="0.3">
      <c r="A74" t="s">
        <v>57</v>
      </c>
      <c r="B74">
        <f>(D5*9.81)/(10^6)</f>
        <v>1.19559375</v>
      </c>
      <c r="C74" s="3" t="s">
        <v>58</v>
      </c>
    </row>
    <row r="75" spans="1:4" ht="28.8" x14ac:dyDescent="0.3">
      <c r="A75" t="s">
        <v>59</v>
      </c>
      <c r="B75">
        <f>B73/B74</f>
        <v>6.2403988249635285</v>
      </c>
      <c r="C75" s="8"/>
      <c r="D75" s="5" t="str">
        <f>IF(B75&gt;3,"design is safe against buckling","design is not safe against buckling")</f>
        <v>design is safe against buckling</v>
      </c>
    </row>
    <row r="76" spans="1:4" x14ac:dyDescent="0.3">
      <c r="C76" s="3"/>
    </row>
    <row r="77" spans="1:4" x14ac:dyDescent="0.3">
      <c r="A77" t="s">
        <v>43</v>
      </c>
      <c r="B77">
        <f>(6*B50*($B$65^2)*$B$52)/(6*B50*($B$65^2)+$B$52)</f>
        <v>495.77153368402844</v>
      </c>
      <c r="C77" s="3" t="s">
        <v>67</v>
      </c>
    </row>
    <row r="78" spans="1:4" x14ac:dyDescent="0.3">
      <c r="A78" t="s">
        <v>54</v>
      </c>
      <c r="B78">
        <f>B50*(PI()*C34^2)*(B67/B31)</f>
        <v>0.90674048376540084</v>
      </c>
      <c r="C78" s="3" t="s">
        <v>58</v>
      </c>
    </row>
    <row r="79" spans="1:4" x14ac:dyDescent="0.3">
      <c r="A79" t="s">
        <v>55</v>
      </c>
      <c r="B79">
        <f>((PI()^2)*B77*(1/3*PI()/4*C34^4)*(B67/B31))/(B67^2)</f>
        <v>616.42222931823846</v>
      </c>
      <c r="C79" s="3" t="s">
        <v>58</v>
      </c>
    </row>
    <row r="80" spans="1:4" x14ac:dyDescent="0.3">
      <c r="A80" t="s">
        <v>56</v>
      </c>
      <c r="B80">
        <f>SQRT(B79*B78)</f>
        <v>23.641805988878396</v>
      </c>
      <c r="C80" s="3" t="s">
        <v>58</v>
      </c>
    </row>
    <row r="81" spans="1:4" x14ac:dyDescent="0.3">
      <c r="A81" t="s">
        <v>57</v>
      </c>
      <c r="B81">
        <f>(D6*9.81)/(10^6)</f>
        <v>2.3911875</v>
      </c>
      <c r="C81" s="3" t="s">
        <v>58</v>
      </c>
    </row>
    <row r="82" spans="1:4" ht="33" customHeight="1" x14ac:dyDescent="0.3">
      <c r="A82" t="s">
        <v>59</v>
      </c>
      <c r="B82">
        <f>B80/B81</f>
        <v>9.8870565310660066</v>
      </c>
      <c r="C82" s="8"/>
      <c r="D82" s="6" t="str">
        <f>IF(B82&gt;3, "design is safe against buckling", "design is not safe against buckling")</f>
        <v>design is safe against buckling</v>
      </c>
    </row>
    <row r="83" spans="1:4" x14ac:dyDescent="0.3">
      <c r="C83" s="3"/>
    </row>
    <row r="84" spans="1:4" x14ac:dyDescent="0.3">
      <c r="A84" s="3" t="s">
        <v>60</v>
      </c>
      <c r="C84" s="3"/>
    </row>
    <row r="85" spans="1:4" ht="28.8" x14ac:dyDescent="0.3">
      <c r="A85" t="s">
        <v>61</v>
      </c>
      <c r="B85">
        <f>(2*$C$34)/(1+($B$67*B11*10^6)/(D5*9.81))</f>
        <v>0.71496203870456199</v>
      </c>
      <c r="C85" s="3" t="s">
        <v>68</v>
      </c>
      <c r="D85" s="6" t="str">
        <f>IF(B85&gt;B97, "bearing is safe against the rollout failure", "bearing is not safe against rollout failure")</f>
        <v>bearing is safe against the rollout failure</v>
      </c>
    </row>
    <row r="86" spans="1:4" ht="28.8" x14ac:dyDescent="0.3">
      <c r="A86" t="s">
        <v>62</v>
      </c>
      <c r="B86">
        <f>(2*$C$34)/(1+($B$67*B12*10^6)/(D6*9.81))</f>
        <v>0.71496203870456199</v>
      </c>
      <c r="C86" s="3" t="s">
        <v>68</v>
      </c>
      <c r="D86" s="6" t="str">
        <f>IF(B86&gt;B97, "bearing is safe against the rollout failure", "bearing is not safe against rollout failure")</f>
        <v>bearing is safe against the rollout failure</v>
      </c>
    </row>
    <row r="87" spans="1:4" x14ac:dyDescent="0.3">
      <c r="C87" s="3"/>
    </row>
    <row r="88" spans="1:4" x14ac:dyDescent="0.3">
      <c r="A88" s="3" t="s">
        <v>64</v>
      </c>
      <c r="C88" s="3"/>
    </row>
    <row r="89" spans="1:4" x14ac:dyDescent="0.3">
      <c r="A89" s="3" t="s">
        <v>24</v>
      </c>
      <c r="C89" s="3"/>
    </row>
    <row r="90" spans="1:4" x14ac:dyDescent="0.3">
      <c r="A90" t="s">
        <v>25</v>
      </c>
      <c r="B90">
        <v>18</v>
      </c>
      <c r="C90" s="3" t="s">
        <v>68</v>
      </c>
    </row>
    <row r="91" spans="1:4" x14ac:dyDescent="0.3">
      <c r="A91" t="s">
        <v>26</v>
      </c>
      <c r="B91">
        <v>18</v>
      </c>
      <c r="C91" s="3" t="s">
        <v>68</v>
      </c>
    </row>
    <row r="93" spans="1:4" x14ac:dyDescent="0.3">
      <c r="A93" t="s">
        <v>27</v>
      </c>
      <c r="B93">
        <f>SQRT((B90^2 +B91^2)/12)</f>
        <v>7.3484692283495345</v>
      </c>
    </row>
    <row r="95" spans="1:4" x14ac:dyDescent="0.3">
      <c r="A95" t="s">
        <v>28</v>
      </c>
      <c r="B95">
        <f>(1/B93)*SQRT((4*(9^2)+4*(9^2+9^2))/G2)</f>
        <v>1.4142135623730951</v>
      </c>
    </row>
    <row r="96" spans="1:4" x14ac:dyDescent="0.3">
      <c r="A96" t="s">
        <v>29</v>
      </c>
      <c r="B96">
        <f>0.05*B91</f>
        <v>0.9</v>
      </c>
    </row>
    <row r="97" spans="1:4" x14ac:dyDescent="0.3">
      <c r="A97" t="s">
        <v>30</v>
      </c>
      <c r="B97">
        <f>B28*(1+(B90/B95^2)*(12*B96/(B90^2+B91^2)))</f>
        <v>0.34974785714285717</v>
      </c>
      <c r="C97">
        <f>1.15*B28</f>
        <v>0.34974785714285717</v>
      </c>
    </row>
    <row r="99" spans="1:4" x14ac:dyDescent="0.3">
      <c r="A99" t="s">
        <v>31</v>
      </c>
      <c r="B99">
        <f>B97/B31</f>
        <v>1.7487392857142858</v>
      </c>
      <c r="D99" s="6" t="str">
        <f>IF(B99&gt;1.5, "ok!", "not ok!")</f>
        <v>ok!</v>
      </c>
    </row>
  </sheetData>
  <mergeCells count="2">
    <mergeCell ref="A1:J1"/>
    <mergeCell ref="E8:H8"/>
  </mergeCells>
  <pageMargins left="0.7" right="0.7" top="0.75" bottom="0.75" header="0.3" footer="0.3"/>
  <pageSetup scale="68" orientation="portrait" r:id="rId1"/>
  <colBreaks count="1" manualBreakCount="1">
    <brk id="10" max="10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Ababio Godfred Opoku</dc:creator>
  <cp:lastModifiedBy>Ababio Godfred Opoku</cp:lastModifiedBy>
  <cp:lastPrinted>2024-06-14T02:48:59Z</cp:lastPrinted>
  <dcterms:created xsi:type="dcterms:W3CDTF">2024-06-10T22:54:13Z</dcterms:created>
  <dcterms:modified xsi:type="dcterms:W3CDTF">2024-06-14T06:02:45Z</dcterms:modified>
</cp:coreProperties>
</file>