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oxfordnexus.sharepoint.com/sites/EngineeringScience-EPG/Shared Documents/EPG Sharepoint Folders/MSc Students 2020/Godwin Nwangele/"/>
    </mc:Choice>
  </mc:AlternateContent>
  <xr:revisionPtr revIDLastSave="498" documentId="8_{9B45AC6D-9183-4A2F-9236-76BF9985F464}" xr6:coauthVersionLast="36" xr6:coauthVersionMax="47" xr10:uidLastSave="{F35CFA08-FD0F-4833-8C44-1A12BB48B589}"/>
  <bookViews>
    <workbookView xWindow="0" yWindow="495" windowWidth="24240" windowHeight="13140" firstSheet="3" activeTab="7" xr2:uid="{00000000-000D-0000-FFFF-FFFF00000000}"/>
  </bookViews>
  <sheets>
    <sheet name="ASSUMPTIONS" sheetId="1" r:id="rId1"/>
    <sheet name="REVENUE MODEL" sheetId="14" r:id="rId2"/>
    <sheet name="HUMAN COST" sheetId="8" r:id="rId3"/>
    <sheet name="CASHFLOW" sheetId="11" r:id="rId4"/>
    <sheet name="INCOME STATEMENT" sheetId="12" r:id="rId5"/>
    <sheet name="FIXED ASSETS" sheetId="9" r:id="rId6"/>
    <sheet name="IRR and NPV" sheetId="15" r:id="rId7"/>
    <sheet name="Weekly energy Anambra" sheetId="16" r:id="rId8"/>
    <sheet name="weekly energy kano" sheetId="17" r:id="rId9"/>
    <sheet name="Weekely energy maiduguri" sheetId="18" r:id="rId10"/>
    <sheet name="BOM Smart sequential loader" sheetId="20" r:id="rId11"/>
    <sheet name="Sheet1" sheetId="21" r:id="rId12"/>
    <sheet name="Yearly earnings" sheetId="22" r:id="rId13"/>
    <sheet name="Mini-grid IRR" sheetId="23" r:id="rId14"/>
    <sheet name="Buisness figure" sheetId="24" r:id="rId15"/>
  </sheets>
  <externalReferences>
    <externalReference r:id="rId16"/>
    <externalReference r:id="rId17"/>
    <externalReference r:id="rId18"/>
  </externalReferences>
  <definedNames>
    <definedName name="_Toc524363785" localSheetId="0">ASSUMPTIONS!$H$1</definedName>
    <definedName name="_xlchart.v1.0" hidden="1">'HUMAN COST'!$I$18:$I$19</definedName>
    <definedName name="_xlchart.v1.1" hidden="1">'HUMAN COST'!$J$18:$J$19</definedName>
    <definedName name="_xlchart.v1.2" hidden="1">'HUMAN COST'!$I$18:$I$19</definedName>
    <definedName name="_xlchart.v1.3" hidden="1">'HUMAN COST'!$K$18:$K$19</definedName>
    <definedName name="_xlchart.v1.4" hidden="1">Sheet1!$A$9:$A$10</definedName>
    <definedName name="_xlchart.v1.5" hidden="1">Sheet1!$C$9:$C$10</definedName>
    <definedName name="_xlchart.v1.6" hidden="1">'Yearly earnings'!$A$14:$A$17</definedName>
    <definedName name="_xlchart.v1.7" hidden="1">'Yearly earnings'!$B$14:$B$17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4" l="1"/>
  <c r="D7" i="12" l="1"/>
  <c r="C37" i="1"/>
  <c r="E12" i="22"/>
  <c r="B14" i="22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B4" i="23"/>
  <c r="B5" i="23" s="1"/>
  <c r="E3" i="23"/>
  <c r="E2" i="23"/>
  <c r="D2" i="23"/>
  <c r="B3" i="22"/>
  <c r="B2" i="22"/>
  <c r="D2" i="22" s="1"/>
  <c r="E2" i="22" s="1"/>
  <c r="B4" i="22" l="1"/>
  <c r="B5" i="22" s="1"/>
  <c r="B6" i="22" s="1"/>
  <c r="B7" i="22" s="1"/>
  <c r="B8" i="22" s="1"/>
  <c r="B6" i="23"/>
  <c r="F2" i="23"/>
  <c r="B9" i="22" l="1"/>
  <c r="B7" i="23"/>
  <c r="B16" i="22" l="1"/>
  <c r="G12" i="22" s="1"/>
  <c r="C3" i="23"/>
  <c r="B15" i="22"/>
  <c r="C3" i="15"/>
  <c r="B8" i="23"/>
  <c r="B17" i="22" l="1"/>
  <c r="H12" i="22" s="1"/>
  <c r="F12" i="22"/>
  <c r="D3" i="23"/>
  <c r="C4" i="23"/>
  <c r="B9" i="23"/>
  <c r="D4" i="23" l="1"/>
  <c r="C5" i="23"/>
  <c r="F3" i="23"/>
  <c r="I3" i="23"/>
  <c r="J3" i="23"/>
  <c r="I4" i="23"/>
  <c r="B10" i="23"/>
  <c r="C6" i="23" l="1"/>
  <c r="D5" i="23"/>
  <c r="F4" i="23"/>
  <c r="J4" i="23"/>
  <c r="B11" i="23"/>
  <c r="C7" i="23" l="1"/>
  <c r="D6" i="23"/>
  <c r="F5" i="23"/>
  <c r="I5" i="23"/>
  <c r="B12" i="23"/>
  <c r="F6" i="23" l="1"/>
  <c r="I6" i="23"/>
  <c r="J5" i="23"/>
  <c r="C8" i="23"/>
  <c r="D7" i="23"/>
  <c r="B13" i="23"/>
  <c r="C9" i="23" l="1"/>
  <c r="D8" i="23"/>
  <c r="I8" i="23" s="1"/>
  <c r="F7" i="23"/>
  <c r="J7" i="23"/>
  <c r="J6" i="23"/>
  <c r="I7" i="23"/>
  <c r="B14" i="23"/>
  <c r="D9" i="23" l="1"/>
  <c r="C10" i="23"/>
  <c r="F8" i="23"/>
  <c r="B15" i="23"/>
  <c r="F9" i="23" l="1"/>
  <c r="J8" i="23"/>
  <c r="I9" i="23"/>
  <c r="C11" i="23"/>
  <c r="D10" i="23"/>
  <c r="B16" i="23"/>
  <c r="F10" i="23" l="1"/>
  <c r="D11" i="23"/>
  <c r="F11" i="23" s="1"/>
  <c r="C12" i="23"/>
  <c r="I11" i="23"/>
  <c r="J9" i="23"/>
  <c r="I10" i="23"/>
  <c r="B17" i="23"/>
  <c r="J10" i="23" l="1"/>
  <c r="D12" i="23"/>
  <c r="C13" i="23"/>
  <c r="B18" i="23"/>
  <c r="C14" i="23" l="1"/>
  <c r="D13" i="23"/>
  <c r="F12" i="23"/>
  <c r="I13" i="23"/>
  <c r="I12" i="23"/>
  <c r="J12" i="23"/>
  <c r="J11" i="23"/>
  <c r="B19" i="23"/>
  <c r="F13" i="23" l="1"/>
  <c r="D14" i="23"/>
  <c r="C15" i="23"/>
  <c r="B20" i="23"/>
  <c r="C16" i="23" l="1"/>
  <c r="D15" i="23"/>
  <c r="F14" i="23"/>
  <c r="J14" i="23"/>
  <c r="I15" i="23"/>
  <c r="J13" i="23"/>
  <c r="I14" i="23"/>
  <c r="B21" i="23"/>
  <c r="F15" i="23" l="1"/>
  <c r="C17" i="23"/>
  <c r="D16" i="23"/>
  <c r="B22" i="23"/>
  <c r="F16" i="23" l="1"/>
  <c r="C18" i="23"/>
  <c r="D17" i="23"/>
  <c r="J16" i="23" s="1"/>
  <c r="J15" i="23"/>
  <c r="I16" i="23"/>
  <c r="F17" i="23" l="1"/>
  <c r="D18" i="23"/>
  <c r="C19" i="23"/>
  <c r="I17" i="23"/>
  <c r="C20" i="23" l="1"/>
  <c r="D19" i="23"/>
  <c r="F18" i="23"/>
  <c r="I19" i="23"/>
  <c r="I18" i="23"/>
  <c r="J17" i="23"/>
  <c r="F19" i="23" l="1"/>
  <c r="J18" i="23"/>
  <c r="C21" i="23"/>
  <c r="D20" i="23"/>
  <c r="F20" i="23" l="1"/>
  <c r="I20" i="23"/>
  <c r="D21" i="23"/>
  <c r="J20" i="23" s="1"/>
  <c r="C22" i="23"/>
  <c r="D22" i="23" s="1"/>
  <c r="F22" i="23" s="1"/>
  <c r="J19" i="23"/>
  <c r="J21" i="23" l="1"/>
  <c r="H2" i="23"/>
  <c r="H5" i="23"/>
  <c r="J22" i="23"/>
  <c r="I22" i="23"/>
  <c r="F21" i="23"/>
  <c r="I21" i="23"/>
  <c r="J52" i="16"/>
  <c r="G96" i="20"/>
  <c r="C10" i="21"/>
  <c r="C9" i="21"/>
  <c r="B11" i="21"/>
  <c r="E3" i="21"/>
  <c r="E4" i="21"/>
  <c r="E5" i="21"/>
  <c r="E6" i="21"/>
  <c r="E2" i="21"/>
  <c r="D5" i="21"/>
  <c r="D4" i="21"/>
  <c r="D3" i="21"/>
  <c r="D2" i="21"/>
  <c r="K19" i="8"/>
  <c r="K18" i="8"/>
  <c r="J20" i="8"/>
  <c r="D6" i="21" l="1"/>
  <c r="N43" i="1"/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2" i="16"/>
  <c r="C38" i="1" l="1"/>
  <c r="G101" i="20"/>
  <c r="G100" i="20"/>
  <c r="G99" i="20"/>
  <c r="G98" i="20"/>
  <c r="G95" i="20"/>
  <c r="G94" i="20"/>
  <c r="G93" i="20"/>
  <c r="G92" i="20"/>
  <c r="G91" i="20"/>
  <c r="G90" i="20"/>
  <c r="G89" i="20"/>
  <c r="F88" i="20"/>
  <c r="G88" i="20" s="1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F26" i="20"/>
  <c r="G26" i="20" s="1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02" i="20" l="1"/>
  <c r="G103" i="20" s="1"/>
  <c r="E41" i="1" s="1"/>
  <c r="C19" i="1" l="1"/>
  <c r="C42" i="1"/>
  <c r="B7" i="14"/>
  <c r="E2" i="12" l="1"/>
  <c r="F2" i="12"/>
  <c r="G2" i="12"/>
  <c r="H2" i="12"/>
  <c r="D2" i="12"/>
  <c r="D54" i="18"/>
  <c r="D55" i="18" s="1"/>
  <c r="C39" i="1" l="1"/>
  <c r="D55" i="16"/>
  <c r="F2" i="22" s="1"/>
  <c r="F56" i="1"/>
  <c r="C40" i="1" l="1"/>
  <c r="D5" i="14"/>
  <c r="E5" i="14"/>
  <c r="F5" i="14"/>
  <c r="C5" i="14"/>
  <c r="G57" i="16"/>
  <c r="B9" i="14"/>
  <c r="B11" i="14" s="1"/>
  <c r="E3" i="12" l="1"/>
  <c r="F3" i="12"/>
  <c r="D3" i="12"/>
  <c r="G3" i="12"/>
  <c r="H3" i="12"/>
  <c r="C13" i="1"/>
  <c r="C25" i="1" l="1"/>
  <c r="C7" i="14" l="1"/>
  <c r="D7" i="14"/>
  <c r="E7" i="14"/>
  <c r="F7" i="14"/>
  <c r="B4" i="15" l="1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14" i="1"/>
  <c r="D10" i="1"/>
  <c r="D19" i="1" s="1"/>
  <c r="C33" i="1"/>
  <c r="D2" i="15" s="1"/>
  <c r="C26" i="1"/>
  <c r="C27" i="1" s="1"/>
  <c r="C28" i="1" s="1"/>
  <c r="C45" i="1"/>
  <c r="O43" i="1"/>
  <c r="O45" i="1" s="1"/>
  <c r="L31" i="1"/>
  <c r="L32" i="1" s="1"/>
  <c r="C4" i="9"/>
  <c r="C19" i="8"/>
  <c r="C18" i="8"/>
  <c r="G56" i="1" l="1"/>
  <c r="C29" i="1"/>
  <c r="C30" i="1" s="1"/>
  <c r="C15" i="1"/>
  <c r="F2" i="15"/>
  <c r="D20" i="1"/>
  <c r="D15" i="1"/>
  <c r="C20" i="1"/>
  <c r="C14" i="11" s="1"/>
  <c r="C15" i="11" s="1"/>
  <c r="C4" i="14"/>
  <c r="G29" i="1" l="1"/>
  <c r="G30" i="1" s="1"/>
  <c r="C9" i="14"/>
  <c r="C11" i="14" s="1"/>
  <c r="B5" i="15"/>
  <c r="D4" i="14"/>
  <c r="E4" i="14" l="1"/>
  <c r="D9" i="14"/>
  <c r="D11" i="14" s="1"/>
  <c r="B6" i="15"/>
  <c r="D9" i="8"/>
  <c r="E9" i="14" l="1"/>
  <c r="E11" i="14" s="1"/>
  <c r="F4" i="14"/>
  <c r="B12" i="14"/>
  <c r="D4" i="12" s="1"/>
  <c r="D5" i="12" s="1"/>
  <c r="B7" i="15"/>
  <c r="E9" i="8"/>
  <c r="E19" i="8" s="1"/>
  <c r="D19" i="8"/>
  <c r="F9" i="14" l="1"/>
  <c r="F11" i="14" s="1"/>
  <c r="C5" i="11"/>
  <c r="B8" i="15"/>
  <c r="F9" i="8"/>
  <c r="F19" i="8" s="1"/>
  <c r="B9" i="15" l="1"/>
  <c r="G9" i="8"/>
  <c r="G19" i="8" s="1"/>
  <c r="B10" i="15" l="1"/>
  <c r="C12" i="14"/>
  <c r="C6" i="11"/>
  <c r="B11" i="15" l="1"/>
  <c r="D12" i="14"/>
  <c r="D5" i="11"/>
  <c r="E4" i="12"/>
  <c r="E5" i="12" s="1"/>
  <c r="D6" i="11"/>
  <c r="B12" i="15" l="1"/>
  <c r="E5" i="11"/>
  <c r="F4" i="12"/>
  <c r="F5" i="12" s="1"/>
  <c r="E12" i="14"/>
  <c r="E6" i="11"/>
  <c r="G15" i="11"/>
  <c r="F15" i="11"/>
  <c r="E15" i="11"/>
  <c r="B4" i="9"/>
  <c r="B11" i="9" s="1"/>
  <c r="D8" i="8"/>
  <c r="B13" i="15" l="1"/>
  <c r="F12" i="14"/>
  <c r="F5" i="11"/>
  <c r="G4" i="12"/>
  <c r="G5" i="12" s="1"/>
  <c r="D4" i="9"/>
  <c r="C6" i="9"/>
  <c r="F6" i="11"/>
  <c r="G6" i="11"/>
  <c r="C11" i="9"/>
  <c r="C13" i="9" s="1"/>
  <c r="C20" i="8"/>
  <c r="C21" i="8" s="1"/>
  <c r="C8" i="11" s="1"/>
  <c r="E8" i="8"/>
  <c r="D18" i="8"/>
  <c r="B14" i="15" l="1"/>
  <c r="H4" i="12"/>
  <c r="H5" i="12" s="1"/>
  <c r="G5" i="11"/>
  <c r="D11" i="9"/>
  <c r="E11" i="9" s="1"/>
  <c r="E13" i="9" s="1"/>
  <c r="D6" i="9"/>
  <c r="D16" i="12" s="1"/>
  <c r="F4" i="9"/>
  <c r="F6" i="9" s="1"/>
  <c r="F16" i="12" s="1"/>
  <c r="E4" i="9"/>
  <c r="E6" i="9" s="1"/>
  <c r="E16" i="12" s="1"/>
  <c r="D20" i="8"/>
  <c r="D21" i="8" s="1"/>
  <c r="E7" i="12" s="1"/>
  <c r="E18" i="8"/>
  <c r="F8" i="8"/>
  <c r="B15" i="15" l="1"/>
  <c r="G4" i="9"/>
  <c r="G6" i="9" s="1"/>
  <c r="G16" i="12" s="1"/>
  <c r="H4" i="9"/>
  <c r="H6" i="9" s="1"/>
  <c r="H16" i="12" s="1"/>
  <c r="D13" i="9"/>
  <c r="F11" i="9"/>
  <c r="G11" i="9" s="1"/>
  <c r="G13" i="9" s="1"/>
  <c r="D8" i="11"/>
  <c r="E20" i="8"/>
  <c r="E21" i="8" s="1"/>
  <c r="F7" i="12" s="1"/>
  <c r="G8" i="8"/>
  <c r="F18" i="8"/>
  <c r="B16" i="15" l="1"/>
  <c r="J4" i="9"/>
  <c r="J6" i="9" s="1"/>
  <c r="I4" i="9"/>
  <c r="I6" i="9" s="1"/>
  <c r="F13" i="9"/>
  <c r="H11" i="9"/>
  <c r="I11" i="9" s="1"/>
  <c r="I13" i="9" s="1"/>
  <c r="E8" i="11"/>
  <c r="F20" i="8"/>
  <c r="F21" i="8" s="1"/>
  <c r="G7" i="12" s="1"/>
  <c r="G18" i="8"/>
  <c r="B17" i="15" l="1"/>
  <c r="L4" i="9"/>
  <c r="L6" i="9" s="1"/>
  <c r="K4" i="9"/>
  <c r="K6" i="9" s="1"/>
  <c r="H13" i="9"/>
  <c r="J11" i="9"/>
  <c r="K11" i="9" s="1"/>
  <c r="F8" i="11"/>
  <c r="G20" i="8"/>
  <c r="G21" i="8" s="1"/>
  <c r="H7" i="12" s="1"/>
  <c r="B18" i="15" l="1"/>
  <c r="M4" i="9"/>
  <c r="M6" i="9" s="1"/>
  <c r="K13" i="9"/>
  <c r="J13" i="9"/>
  <c r="L11" i="9"/>
  <c r="L13" i="9" s="1"/>
  <c r="G8" i="11"/>
  <c r="B19" i="15" l="1"/>
  <c r="M11" i="9"/>
  <c r="M13" i="9" s="1"/>
  <c r="B20" i="15" l="1"/>
  <c r="B21" i="15" l="1"/>
  <c r="B22" i="15" l="1"/>
  <c r="D11" i="12" l="1"/>
  <c r="C43" i="12" s="1"/>
  <c r="E11" i="12"/>
  <c r="F11" i="12" l="1"/>
  <c r="G11" i="12" s="1"/>
  <c r="H11" i="12" s="1"/>
  <c r="D12" i="12"/>
  <c r="E12" i="12"/>
  <c r="G12" i="12" l="1"/>
  <c r="E14" i="12"/>
  <c r="D7" i="11"/>
  <c r="D14" i="12"/>
  <c r="C7" i="11"/>
  <c r="H12" i="12" l="1"/>
  <c r="F12" i="12"/>
  <c r="G14" i="12"/>
  <c r="F7" i="11"/>
  <c r="H14" i="12" l="1"/>
  <c r="G7" i="11"/>
  <c r="F14" i="12"/>
  <c r="E7" i="11"/>
  <c r="D18" i="12" l="1"/>
  <c r="D20" i="12" s="1"/>
  <c r="D22" i="12" s="1"/>
  <c r="D24" i="12" s="1"/>
  <c r="D26" i="12" s="1"/>
  <c r="C44" i="12" s="1"/>
  <c r="C45" i="12" s="1"/>
  <c r="G18" i="12"/>
  <c r="G20" i="12" s="1"/>
  <c r="G10" i="11"/>
  <c r="D10" i="11"/>
  <c r="E10" i="11"/>
  <c r="H18" i="12" l="1"/>
  <c r="H20" i="12" s="1"/>
  <c r="H22" i="12" s="1"/>
  <c r="H24" i="12" s="1"/>
  <c r="G9" i="11" s="1"/>
  <c r="G11" i="11" s="1"/>
  <c r="F18" i="12"/>
  <c r="F20" i="12" s="1"/>
  <c r="F22" i="12" s="1"/>
  <c r="F24" i="12" s="1"/>
  <c r="E9" i="11" s="1"/>
  <c r="E11" i="11" s="1"/>
  <c r="F10" i="11"/>
  <c r="C10" i="11"/>
  <c r="C9" i="11"/>
  <c r="G22" i="12"/>
  <c r="G24" i="12" s="1"/>
  <c r="F9" i="11" s="1"/>
  <c r="E18" i="12"/>
  <c r="E20" i="12" s="1"/>
  <c r="F11" i="11" l="1"/>
  <c r="C11" i="11"/>
  <c r="H26" i="12"/>
  <c r="F26" i="12"/>
  <c r="E22" i="12"/>
  <c r="E24" i="12" s="1"/>
  <c r="D9" i="11" s="1"/>
  <c r="D11" i="11" s="1"/>
  <c r="G26" i="12"/>
  <c r="E26" i="12" l="1"/>
  <c r="D30" i="1"/>
  <c r="C31" i="1"/>
  <c r="C32" i="1" s="1"/>
  <c r="C47" i="1" l="1"/>
  <c r="D3" i="15"/>
  <c r="D32" i="1"/>
  <c r="C34" i="1" s="1"/>
  <c r="D31" i="1"/>
  <c r="C4" i="15" l="1"/>
  <c r="C48" i="1"/>
  <c r="C49" i="1" s="1"/>
  <c r="C50" i="1" s="1"/>
  <c r="C51" i="1" s="1"/>
  <c r="I3" i="15" l="1"/>
  <c r="F3" i="15"/>
  <c r="C5" i="15"/>
  <c r="D4" i="15"/>
  <c r="F4" i="15" s="1"/>
  <c r="I4" i="15" l="1"/>
  <c r="J3" i="15"/>
  <c r="D5" i="15"/>
  <c r="I5" i="15" s="1"/>
  <c r="C6" i="15"/>
  <c r="D6" i="15" l="1"/>
  <c r="J5" i="15" s="1"/>
  <c r="C7" i="15"/>
  <c r="F5" i="15"/>
  <c r="J4" i="15"/>
  <c r="I6" i="15"/>
  <c r="C8" i="15" l="1"/>
  <c r="D7" i="15"/>
  <c r="I7" i="15" s="1"/>
  <c r="F6" i="15"/>
  <c r="F7" i="15" l="1"/>
  <c r="J6" i="15"/>
  <c r="D8" i="15"/>
  <c r="I8" i="15" s="1"/>
  <c r="C9" i="15"/>
  <c r="D9" i="15" s="1"/>
  <c r="C10" i="15" l="1"/>
  <c r="F8" i="15"/>
  <c r="I9" i="15"/>
  <c r="J7" i="15"/>
  <c r="J8" i="15"/>
  <c r="C11" i="15" l="1"/>
  <c r="D10" i="15"/>
  <c r="F9" i="15"/>
  <c r="F10" i="15" l="1"/>
  <c r="I10" i="15"/>
  <c r="J9" i="15"/>
  <c r="D11" i="15"/>
  <c r="F11" i="15" s="1"/>
  <c r="C12" i="15"/>
  <c r="J10" i="15" l="1"/>
  <c r="C13" i="15"/>
  <c r="D12" i="15"/>
  <c r="I11" i="15"/>
  <c r="D13" i="15" l="1"/>
  <c r="C14" i="15"/>
  <c r="F12" i="15"/>
  <c r="J11" i="15"/>
  <c r="I12" i="15"/>
  <c r="C15" i="15" l="1"/>
  <c r="D15" i="15" s="1"/>
  <c r="D14" i="15"/>
  <c r="F13" i="15"/>
  <c r="I13" i="15"/>
  <c r="J12" i="15"/>
  <c r="F14" i="15" l="1"/>
  <c r="I14" i="15"/>
  <c r="J13" i="15"/>
  <c r="C16" i="15"/>
  <c r="F15" i="15" l="1"/>
  <c r="J14" i="15"/>
  <c r="I15" i="15"/>
  <c r="D16" i="15"/>
  <c r="C17" i="15"/>
  <c r="C18" i="15" l="1"/>
  <c r="D17" i="15"/>
  <c r="F16" i="15"/>
  <c r="J15" i="15"/>
  <c r="I16" i="15"/>
  <c r="F17" i="15" l="1"/>
  <c r="I17" i="15"/>
  <c r="J16" i="15"/>
  <c r="C19" i="15"/>
  <c r="D18" i="15"/>
  <c r="F18" i="15" l="1"/>
  <c r="J17" i="15"/>
  <c r="I18" i="15"/>
  <c r="C20" i="15"/>
  <c r="D19" i="15"/>
  <c r="F19" i="15" l="1"/>
  <c r="I19" i="15"/>
  <c r="J18" i="15"/>
  <c r="C21" i="15"/>
  <c r="D20" i="15"/>
  <c r="F20" i="15" l="1"/>
  <c r="I20" i="15"/>
  <c r="J19" i="15"/>
  <c r="D21" i="15"/>
  <c r="C22" i="15"/>
  <c r="D22" i="15" s="1"/>
  <c r="F22" i="15" l="1"/>
  <c r="H5" i="15"/>
  <c r="I22" i="15"/>
  <c r="J21" i="15"/>
  <c r="H2" i="15"/>
  <c r="J22" i="15"/>
  <c r="F21" i="15"/>
  <c r="I21" i="15"/>
  <c r="J20" i="15"/>
</calcChain>
</file>

<file path=xl/sharedStrings.xml><?xml version="1.0" encoding="utf-8"?>
<sst xmlns="http://schemas.openxmlformats.org/spreadsheetml/2006/main" count="563" uniqueCount="379">
  <si>
    <t>Naira</t>
  </si>
  <si>
    <t>Annual running costs:</t>
  </si>
  <si>
    <t>Equipment for production</t>
  </si>
  <si>
    <t>Depreciation policy for:</t>
  </si>
  <si>
    <t>YEAR 1</t>
  </si>
  <si>
    <t>YEAR 2</t>
  </si>
  <si>
    <t>YEAR 3</t>
  </si>
  <si>
    <t>YEAR 4</t>
  </si>
  <si>
    <t>YEAR 5</t>
  </si>
  <si>
    <t>Roles:</t>
  </si>
  <si>
    <t>Gross Monthly Pay (per person):</t>
  </si>
  <si>
    <t>Annual Growth rate in pay</t>
  </si>
  <si>
    <t>Exchange rate</t>
  </si>
  <si>
    <t>Gross salaries</t>
  </si>
  <si>
    <t>Total</t>
  </si>
  <si>
    <t>FIXED ASSETS SCHEDULE (IN NAIRA)</t>
  </si>
  <si>
    <t>YEAR 0</t>
  </si>
  <si>
    <t>Depre</t>
  </si>
  <si>
    <t>Assets owed now:</t>
  </si>
  <si>
    <t>Asset class</t>
  </si>
  <si>
    <t>TOTALS</t>
  </si>
  <si>
    <t>FIXED ASSETS SCHEDULE (IN $)</t>
  </si>
  <si>
    <t>Cash balance b/f</t>
  </si>
  <si>
    <t>CashFlow from Operations</t>
  </si>
  <si>
    <t>Cash Receipt from customers</t>
  </si>
  <si>
    <t>Cash paid for inventory</t>
  </si>
  <si>
    <t>Cash paid for SGA costs</t>
  </si>
  <si>
    <t>Cash paid to human costs</t>
  </si>
  <si>
    <t>Cash paid as taxes</t>
  </si>
  <si>
    <t>Net Cashflow from operations</t>
  </si>
  <si>
    <t>CashFlow from Investing</t>
  </si>
  <si>
    <t>Cash paid for purchase of equipment</t>
  </si>
  <si>
    <t>Net cash flow from investing</t>
  </si>
  <si>
    <t>Revenue</t>
  </si>
  <si>
    <t>GROSS PROFIT</t>
  </si>
  <si>
    <t>Human costs</t>
  </si>
  <si>
    <t>Selling, General &amp; Admin costs:</t>
  </si>
  <si>
    <t>Annual costs</t>
  </si>
  <si>
    <t>Total SGA costs</t>
  </si>
  <si>
    <t>Depreciation of assets</t>
  </si>
  <si>
    <t>EBT</t>
  </si>
  <si>
    <t>Total Taxes</t>
  </si>
  <si>
    <t>EAT</t>
  </si>
  <si>
    <t>Corporate Tax (5%)</t>
  </si>
  <si>
    <t>NOTE: PRICES ARE IN NAIRA</t>
  </si>
  <si>
    <t>Assets owed now and purchased in 2017</t>
  </si>
  <si>
    <t>SGA</t>
  </si>
  <si>
    <t>Selling, General and Admin cost=</t>
  </si>
  <si>
    <t>EBLTDA</t>
  </si>
  <si>
    <t>EBLT</t>
  </si>
  <si>
    <t xml:space="preserve">Earning Before Loan Repayment and Tax= </t>
  </si>
  <si>
    <t>Earning Before Tax=</t>
  </si>
  <si>
    <t>Earning after Tax=</t>
  </si>
  <si>
    <t>Total of Depre &amp; Equipment cost</t>
  </si>
  <si>
    <t>Earning Before Loan Repayment, Tax and depreciation &amp; equipment cost=</t>
  </si>
  <si>
    <t>cash paid as Depre cost</t>
  </si>
  <si>
    <t>Fixed Assets to be acquired</t>
  </si>
  <si>
    <t>this includes rent and coperate management subscription</t>
  </si>
  <si>
    <t>Station managers</t>
  </si>
  <si>
    <t>`</t>
  </si>
  <si>
    <t>cost of production</t>
  </si>
  <si>
    <t>Station Managers</t>
  </si>
  <si>
    <t>Growth rate sales</t>
  </si>
  <si>
    <t>SALES SUMMARY</t>
  </si>
  <si>
    <t>No of stations</t>
  </si>
  <si>
    <t>CRM software subscription</t>
  </si>
  <si>
    <t>Gross collection per year</t>
  </si>
  <si>
    <t>Power sharing Kit</t>
  </si>
  <si>
    <t>USD</t>
  </si>
  <si>
    <t>Key Assumptions</t>
  </si>
  <si>
    <t>a.</t>
  </si>
  <si>
    <t>b.</t>
  </si>
  <si>
    <t>c.</t>
  </si>
  <si>
    <t>A Residential station is typically a bank, organizations, home who have the following;</t>
  </si>
  <si>
    <t>1 Kilowatthr</t>
  </si>
  <si>
    <t>Internet subscription</t>
  </si>
  <si>
    <t xml:space="preserve">Power sharing Kit </t>
  </si>
  <si>
    <t>unit cost per Kilowatthour</t>
  </si>
  <si>
    <t>COO (Naira)</t>
  </si>
  <si>
    <t>Chief Operations officer (COO)</t>
  </si>
  <si>
    <t>Company maintainance charge</t>
  </si>
  <si>
    <t>GROSS CHARGE per year</t>
  </si>
  <si>
    <t xml:space="preserve">located in an area with clustered residents within 500meters from the station </t>
  </si>
  <si>
    <t>SUBSCRIPTION per kWh</t>
  </si>
  <si>
    <t>System capacity</t>
  </si>
  <si>
    <t>kWp</t>
  </si>
  <si>
    <t>kWh</t>
  </si>
  <si>
    <t>Two weekend days</t>
  </si>
  <si>
    <t>Nepa</t>
  </si>
  <si>
    <t>Diesel equivalent cost</t>
  </si>
  <si>
    <t>$</t>
  </si>
  <si>
    <t>30 kWh=2,000</t>
  </si>
  <si>
    <t>Monthly possible earning</t>
  </si>
  <si>
    <t>Yearly revenue</t>
  </si>
  <si>
    <t>Naira equivalent</t>
  </si>
  <si>
    <t>System cost</t>
  </si>
  <si>
    <t>Tiger gen 1k for a day == 8 hrs</t>
  </si>
  <si>
    <t>Do an IRR for earnings over 20 years</t>
  </si>
  <si>
    <t>DER Owner earnings</t>
  </si>
  <si>
    <t>Company earning</t>
  </si>
  <si>
    <t>20 years earning</t>
  </si>
  <si>
    <t>Total daily energy generation</t>
  </si>
  <si>
    <t>Total weekly energy generation</t>
  </si>
  <si>
    <t xml:space="preserve">Weekly Idle energy </t>
  </si>
  <si>
    <t>%</t>
  </si>
  <si>
    <t>Percentage annual recovery</t>
  </si>
  <si>
    <t>revenue less cost</t>
  </si>
  <si>
    <t>Please correct for deflation do an npv</t>
  </si>
  <si>
    <t>Solar system</t>
  </si>
  <si>
    <t>Have a minimum of 184Kwh power available for use during its residual time per week.</t>
  </si>
  <si>
    <t>Has a residual usage time up to 2 days per week</t>
  </si>
  <si>
    <t>USD equivalent</t>
  </si>
  <si>
    <t>Total spend</t>
  </si>
  <si>
    <t>Earinng</t>
  </si>
  <si>
    <t>% gain</t>
  </si>
  <si>
    <t>years</t>
  </si>
  <si>
    <t>elec</t>
  </si>
  <si>
    <t>subsidy</t>
  </si>
  <si>
    <t>cash flow</t>
  </si>
  <si>
    <t>DF</t>
  </si>
  <si>
    <t>DCF</t>
  </si>
  <si>
    <t>IRR</t>
  </si>
  <si>
    <t>NPV income</t>
  </si>
  <si>
    <t>elec inflate</t>
  </si>
  <si>
    <t>NPV</t>
  </si>
  <si>
    <t>Fixed power tariff</t>
  </si>
  <si>
    <t>of energy is assumed lost</t>
  </si>
  <si>
    <t>Saturday</t>
  </si>
  <si>
    <t>Sunday</t>
  </si>
  <si>
    <t>total_weekend</t>
  </si>
  <si>
    <t>Assumed total kwh per station per year</t>
  </si>
  <si>
    <t xml:space="preserve">Yearly earning= </t>
  </si>
  <si>
    <t>Yearly charge</t>
  </si>
  <si>
    <t>Electrical wiring</t>
  </si>
  <si>
    <t>Office running costs/advert</t>
  </si>
  <si>
    <t>Week 17 with the lowest output</t>
  </si>
  <si>
    <t>Week 50 with max output</t>
  </si>
  <si>
    <t>% earnings for company</t>
  </si>
  <si>
    <t xml:space="preserve">COMPANY CHARGE </t>
  </si>
  <si>
    <t>Bill Of Materials for power supply unit</t>
  </si>
  <si>
    <t>Design Title</t>
  </si>
  <si>
    <t>Author</t>
  </si>
  <si>
    <t>Document Number</t>
  </si>
  <si>
    <t>Revision</t>
  </si>
  <si>
    <t>Design Created</t>
  </si>
  <si>
    <t>Sunday, June 13, 2021</t>
  </si>
  <si>
    <t>Design Last Modified</t>
  </si>
  <si>
    <t>Total Parts In Design</t>
  </si>
  <si>
    <t>Category</t>
  </si>
  <si>
    <t>Quantity</t>
  </si>
  <si>
    <t>References</t>
  </si>
  <si>
    <t>Value</t>
  </si>
  <si>
    <t>Stock Code</t>
  </si>
  <si>
    <t>Unit Cost</t>
  </si>
  <si>
    <t>Cost</t>
  </si>
  <si>
    <t>Capacitors</t>
  </si>
  <si>
    <t>C1</t>
  </si>
  <si>
    <t>220U/450V</t>
  </si>
  <si>
    <t>Digikey P5345-ND</t>
  </si>
  <si>
    <t>C2</t>
  </si>
  <si>
    <t>100u</t>
  </si>
  <si>
    <t>C3</t>
  </si>
  <si>
    <t>47U</t>
  </si>
  <si>
    <t>C4</t>
  </si>
  <si>
    <t>220n</t>
  </si>
  <si>
    <t>Digikey 311-1002-1-ND</t>
  </si>
  <si>
    <t>C5</t>
  </si>
  <si>
    <t>2.2n</t>
  </si>
  <si>
    <t>C6,C9</t>
  </si>
  <si>
    <t>100p</t>
  </si>
  <si>
    <t>C7</t>
  </si>
  <si>
    <t>2n2</t>
  </si>
  <si>
    <t>C8</t>
  </si>
  <si>
    <t>10n</t>
  </si>
  <si>
    <t>C10</t>
  </si>
  <si>
    <t>2200u</t>
  </si>
  <si>
    <t>C11</t>
  </si>
  <si>
    <t>22U</t>
  </si>
  <si>
    <t>C12-C13</t>
  </si>
  <si>
    <t>22P</t>
  </si>
  <si>
    <t>C14,C16,C19,C22,C25,C28,C31</t>
  </si>
  <si>
    <t>1n</t>
  </si>
  <si>
    <t>Digikey 445-1606-1-ND</t>
  </si>
  <si>
    <t>C15,C17,C20,C23,C26,C29,C32,C125</t>
  </si>
  <si>
    <t>4.7u</t>
  </si>
  <si>
    <t>C18,C21,C24,C27,C30</t>
  </si>
  <si>
    <t>1uF</t>
  </si>
  <si>
    <t>C122</t>
  </si>
  <si>
    <t>0.1u</t>
  </si>
  <si>
    <t>Digikey 490-1775-1-ND</t>
  </si>
  <si>
    <t>Resistors</t>
  </si>
  <si>
    <t>R1,R7</t>
  </si>
  <si>
    <t>20k</t>
  </si>
  <si>
    <t>R2</t>
  </si>
  <si>
    <t>4.7k</t>
  </si>
  <si>
    <t>R3</t>
  </si>
  <si>
    <t>56K 2W</t>
  </si>
  <si>
    <t>R4,R127</t>
  </si>
  <si>
    <t>4.7K</t>
  </si>
  <si>
    <t>R5-R6,R112-R113,R122-R123</t>
  </si>
  <si>
    <t>10k</t>
  </si>
  <si>
    <t>R8</t>
  </si>
  <si>
    <t>1k</t>
  </si>
  <si>
    <t>R9</t>
  </si>
  <si>
    <t>150k</t>
  </si>
  <si>
    <t>R10</t>
  </si>
  <si>
    <t>22R</t>
  </si>
  <si>
    <t>1K</t>
  </si>
  <si>
    <t>R17-R18</t>
  </si>
  <si>
    <t>R45-R46</t>
  </si>
  <si>
    <t>CMGR 680K</t>
  </si>
  <si>
    <t>R124,R128</t>
  </si>
  <si>
    <t>3.3K</t>
  </si>
  <si>
    <t>Integrated Circuits</t>
  </si>
  <si>
    <t>U1</t>
  </si>
  <si>
    <t>UC1842D8</t>
  </si>
  <si>
    <t>U2</t>
  </si>
  <si>
    <t>7805</t>
  </si>
  <si>
    <t>U3</t>
  </si>
  <si>
    <t>ATMEGA328P</t>
  </si>
  <si>
    <t>U4</t>
  </si>
  <si>
    <t>74HC4051</t>
  </si>
  <si>
    <t>U5-U11</t>
  </si>
  <si>
    <t>ACS712ELCTR-05B-T</t>
  </si>
  <si>
    <t>U125</t>
  </si>
  <si>
    <t>LM324</t>
  </si>
  <si>
    <t>Transistors</t>
  </si>
  <si>
    <t>Q1</t>
  </si>
  <si>
    <t>IRF840</t>
  </si>
  <si>
    <t>2N5551</t>
  </si>
  <si>
    <t>Diodes</t>
  </si>
  <si>
    <t>D1-D3</t>
  </si>
  <si>
    <t>FR107</t>
  </si>
  <si>
    <t>D4</t>
  </si>
  <si>
    <t>MBR1040</t>
  </si>
  <si>
    <t>D5</t>
  </si>
  <si>
    <t>5.1V Z</t>
  </si>
  <si>
    <t>D6-D10</t>
  </si>
  <si>
    <t>1N4007</t>
  </si>
  <si>
    <t>D11</t>
  </si>
  <si>
    <t>BAT54C</t>
  </si>
  <si>
    <t>D12</t>
  </si>
  <si>
    <t>5V Z</t>
  </si>
  <si>
    <t>Miscellaneous</t>
  </si>
  <si>
    <t>0.5R 3W</t>
  </si>
  <si>
    <t>0.5R</t>
  </si>
  <si>
    <t>BR1</t>
  </si>
  <si>
    <t>DF06S</t>
  </si>
  <si>
    <t>BUZ1</t>
  </si>
  <si>
    <t>BUZZER</t>
  </si>
  <si>
    <t>CON1</t>
  </si>
  <si>
    <t>RESIDENT5 N OUT</t>
  </si>
  <si>
    <t/>
  </si>
  <si>
    <t>CON3</t>
  </si>
  <si>
    <t>RESIDENT1 N OUT</t>
  </si>
  <si>
    <t>CON4</t>
  </si>
  <si>
    <t>RESIDENT3 L OUT</t>
  </si>
  <si>
    <t>CON6</t>
  </si>
  <si>
    <t>CON7</t>
  </si>
  <si>
    <t>RESIDENT5 L OUT</t>
  </si>
  <si>
    <t>CON8</t>
  </si>
  <si>
    <t>TO BATTERY</t>
  </si>
  <si>
    <t>CON9</t>
  </si>
  <si>
    <t>FROM CHARGE CONTROLER</t>
  </si>
  <si>
    <t>CON11</t>
  </si>
  <si>
    <t>RESIDENT2 L OUT</t>
  </si>
  <si>
    <t>CON12</t>
  </si>
  <si>
    <t>RESIDENT2 N OUT</t>
  </si>
  <si>
    <t>CON13</t>
  </si>
  <si>
    <t>DER L OUT</t>
  </si>
  <si>
    <t>CON14</t>
  </si>
  <si>
    <t>DER N OUT</t>
  </si>
  <si>
    <t>CON15</t>
  </si>
  <si>
    <t>CON16</t>
  </si>
  <si>
    <t>J1</t>
  </si>
  <si>
    <t>12v DC</t>
  </si>
  <si>
    <t>NorComp 26630201RP2</t>
  </si>
  <si>
    <t>26630201RP2</t>
  </si>
  <si>
    <t>J3</t>
  </si>
  <si>
    <t>5V DC</t>
  </si>
  <si>
    <t>RL1-RL5</t>
  </si>
  <si>
    <t>PCJ-124D3MH</t>
  </si>
  <si>
    <t>RT1</t>
  </si>
  <si>
    <t>6.0R</t>
  </si>
  <si>
    <t>TRAN-2P2S</t>
  </si>
  <si>
    <t>VR1-VR2</t>
  </si>
  <si>
    <t>MOV275</t>
  </si>
  <si>
    <t>X1</t>
  </si>
  <si>
    <t>CRYSTAL</t>
  </si>
  <si>
    <t>50% of revenue</t>
  </si>
  <si>
    <t>power supply unit</t>
  </si>
  <si>
    <t>Monday, June 21, 2021</t>
  </si>
  <si>
    <t>Totals</t>
  </si>
  <si>
    <t>Modules</t>
  </si>
  <si>
    <t>C33-C34</t>
  </si>
  <si>
    <t>4.7U</t>
  </si>
  <si>
    <t>R11,R21-R25,R31</t>
  </si>
  <si>
    <t>R19</t>
  </si>
  <si>
    <t>300</t>
  </si>
  <si>
    <t>R20,R26-R30,R35</t>
  </si>
  <si>
    <t>320</t>
  </si>
  <si>
    <t>R32</t>
  </si>
  <si>
    <t>2.2K</t>
  </si>
  <si>
    <t>R33</t>
  </si>
  <si>
    <t>560</t>
  </si>
  <si>
    <t>R34</t>
  </si>
  <si>
    <t>270</t>
  </si>
  <si>
    <t>U12</t>
  </si>
  <si>
    <t>LM317T</t>
  </si>
  <si>
    <t>Q2-Q7</t>
  </si>
  <si>
    <t>D13</t>
  </si>
  <si>
    <t>GPRS LED</t>
  </si>
  <si>
    <t>D15,D17-D21</t>
  </si>
  <si>
    <t>LED LEX</t>
  </si>
  <si>
    <t>D16</t>
  </si>
  <si>
    <t>12v led</t>
  </si>
  <si>
    <t>CON2</t>
  </si>
  <si>
    <t>CON5</t>
  </si>
  <si>
    <t>resident 3 N OUT</t>
  </si>
  <si>
    <t>resident 4 L OUT</t>
  </si>
  <si>
    <t>CON10</t>
  </si>
  <si>
    <t>resident 4 N OUT</t>
  </si>
  <si>
    <t>INVERTER L INPUT</t>
  </si>
  <si>
    <t>INVERTER N INPUT</t>
  </si>
  <si>
    <t>F1-F7</t>
  </si>
  <si>
    <t>2A FUSE LEX</t>
  </si>
  <si>
    <t>J2,J5</t>
  </si>
  <si>
    <t>J4</t>
  </si>
  <si>
    <t>BATTERY CONN</t>
  </si>
  <si>
    <t>J6,J13A</t>
  </si>
  <si>
    <t>LED CONN</t>
  </si>
  <si>
    <t>J15</t>
  </si>
  <si>
    <t>SIM800L GSM MODULE</t>
  </si>
  <si>
    <t>TR2</t>
  </si>
  <si>
    <t>PCB</t>
  </si>
  <si>
    <t>Enclosure box</t>
  </si>
  <si>
    <t>10 A AC relay</t>
  </si>
  <si>
    <t>Lamp</t>
  </si>
  <si>
    <t>2.5mm2 wire</t>
  </si>
  <si>
    <t>Wire</t>
  </si>
  <si>
    <t>0.3</t>
  </si>
  <si>
    <t>For 8 households</t>
  </si>
  <si>
    <t>Cloud subscription yearly charge</t>
  </si>
  <si>
    <t>Yearly idle energy</t>
  </si>
  <si>
    <t>Amount convertible weekly</t>
  </si>
  <si>
    <t>Software cost</t>
  </si>
  <si>
    <t>System charge</t>
  </si>
  <si>
    <t>per household</t>
  </si>
  <si>
    <t>Total charge</t>
  </si>
  <si>
    <t>Software subscription</t>
  </si>
  <si>
    <t>300W</t>
  </si>
  <si>
    <t xml:space="preserve">Capital costs </t>
  </si>
  <si>
    <t xml:space="preserve">Operational costs </t>
  </si>
  <si>
    <t>Item</t>
  </si>
  <si>
    <t>Quatity</t>
  </si>
  <si>
    <t>Unit cost ($)</t>
  </si>
  <si>
    <t>Amount ($)</t>
  </si>
  <si>
    <t>Amount (₦)</t>
  </si>
  <si>
    <t>Mini-grid operator</t>
  </si>
  <si>
    <t>Consumers</t>
  </si>
  <si>
    <t>Consumer weekend energy usage</t>
  </si>
  <si>
    <t>Energy use tariff</t>
  </si>
  <si>
    <t>Weekly consumer tariff</t>
  </si>
  <si>
    <t>Monthly consumer tariff</t>
  </si>
  <si>
    <t>Total monthly consumer tariff</t>
  </si>
  <si>
    <t>Total yearly consumer tariff</t>
  </si>
  <si>
    <t>Anchor earnings</t>
  </si>
  <si>
    <t>Mini-grid operator's earnings</t>
  </si>
  <si>
    <t>User generator cost</t>
  </si>
  <si>
    <t>User solar cost</t>
  </si>
  <si>
    <t>Energy usage</t>
  </si>
  <si>
    <t>User benefit</t>
  </si>
  <si>
    <t>Anchor benefit</t>
  </si>
  <si>
    <t>Mini-grid owner benefit</t>
  </si>
  <si>
    <t>Total benefit</t>
  </si>
  <si>
    <t>Consumer savings</t>
  </si>
  <si>
    <t>Anchor revenues</t>
  </si>
  <si>
    <t>Mini-grid operator's revenues</t>
  </si>
  <si>
    <t>Total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</si>
</sst>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£&quot;#,##0.00;[Red]\-&quot;£&quot;#,##0.00"/>
    <numFmt numFmtId="43" formatCode="_-* #,##0.00_-;\-* #,##0.00_-;_-* &quot;-&quot;??_-;_-@_-"/>
    <numFmt numFmtId="164" formatCode="&quot;£&quot;#,##0.00_);[Red]\(&quot;£&quot;#,##0.00\)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??_);_(@_)"/>
    <numFmt numFmtId="168" formatCode="&quot;£&quot;#,##0"/>
    <numFmt numFmtId="169" formatCode="&quot;£&quot;#,##0.00"/>
    <numFmt numFmtId="170" formatCode="[$$-409]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b/>
      <sz val="14"/>
      <color theme="1"/>
      <name val="Candara"/>
      <family val="2"/>
    </font>
    <font>
      <sz val="12"/>
      <color theme="1"/>
      <name val="Calibri"/>
      <family val="2"/>
      <scheme val="minor"/>
    </font>
    <font>
      <sz val="12"/>
      <name val="Candara"/>
      <family val="2"/>
    </font>
    <font>
      <sz val="11"/>
      <color rgb="FF000000"/>
      <name val="Candara"/>
      <family val="2"/>
    </font>
    <font>
      <b/>
      <sz val="11"/>
      <color rgb="FF000000"/>
      <name val="Candara"/>
      <family val="2"/>
    </font>
    <font>
      <sz val="11"/>
      <color theme="1"/>
      <name val="Calibri"/>
      <family val="2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167" fontId="2" fillId="0" borderId="0" xfId="1" applyNumberFormat="1" applyFont="1"/>
    <xf numFmtId="167" fontId="2" fillId="0" borderId="0" xfId="0" applyNumberFormat="1" applyFont="1"/>
    <xf numFmtId="9" fontId="2" fillId="0" borderId="0" xfId="2" applyFont="1"/>
    <xf numFmtId="167" fontId="3" fillId="0" borderId="0" xfId="0" applyNumberFormat="1" applyFont="1"/>
    <xf numFmtId="1" fontId="2" fillId="0" borderId="0" xfId="0" applyNumberFormat="1" applyFont="1"/>
    <xf numFmtId="167" fontId="3" fillId="0" borderId="0" xfId="1" applyNumberFormat="1" applyFont="1"/>
    <xf numFmtId="165" fontId="2" fillId="0" borderId="0" xfId="1" applyNumberFormat="1" applyFont="1"/>
    <xf numFmtId="0" fontId="4" fillId="0" borderId="0" xfId="0" applyFont="1"/>
    <xf numFmtId="165" fontId="3" fillId="0" borderId="0" xfId="1" applyFont="1"/>
    <xf numFmtId="2" fontId="2" fillId="0" borderId="0" xfId="0" applyNumberFormat="1" applyFont="1"/>
    <xf numFmtId="0" fontId="6" fillId="0" borderId="0" xfId="0" applyFont="1" applyAlignment="1">
      <alignment horizontal="justify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2" fillId="0" borderId="0" xfId="0" applyNumberFormat="1" applyFont="1"/>
    <xf numFmtId="168" fontId="0" fillId="0" borderId="0" xfId="0" applyNumberFormat="1"/>
    <xf numFmtId="4" fontId="0" fillId="0" borderId="0" xfId="0" applyNumberFormat="1"/>
    <xf numFmtId="10" fontId="0" fillId="0" borderId="0" xfId="0" applyNumberFormat="1"/>
    <xf numFmtId="169" fontId="0" fillId="0" borderId="0" xfId="0" applyNumberFormat="1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4" fontId="2" fillId="0" borderId="0" xfId="0" applyNumberFormat="1" applyFont="1"/>
    <xf numFmtId="43" fontId="2" fillId="0" borderId="0" xfId="1" applyNumberFormat="1" applyFont="1"/>
    <xf numFmtId="0" fontId="10" fillId="0" borderId="0" xfId="0" applyFont="1" applyAlignment="1">
      <alignment horizontal="left" vertical="center"/>
    </xf>
    <xf numFmtId="0" fontId="12" fillId="0" borderId="0" xfId="0" applyFont="1"/>
    <xf numFmtId="0" fontId="11" fillId="0" borderId="1" xfId="0" applyFont="1" applyBorder="1"/>
    <xf numFmtId="0" fontId="11" fillId="0" borderId="2" xfId="0" applyFont="1" applyFill="1" applyBorder="1"/>
    <xf numFmtId="49" fontId="0" fillId="0" borderId="2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0" xfId="0" quotePrefix="1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166" fontId="11" fillId="0" borderId="6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1" fontId="0" fillId="0" borderId="8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0" fontId="0" fillId="0" borderId="8" xfId="0" quotePrefix="1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0" xfId="0" applyBorder="1"/>
    <xf numFmtId="49" fontId="11" fillId="0" borderId="0" xfId="0" applyNumberFormat="1" applyFont="1" applyAlignment="1">
      <alignment horizontal="left"/>
    </xf>
    <xf numFmtId="1" fontId="11" fillId="0" borderId="0" xfId="0" applyNumberFormat="1" applyFont="1" applyBorder="1" applyAlignment="1">
      <alignment horizontal="left"/>
    </xf>
    <xf numFmtId="49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left"/>
    </xf>
    <xf numFmtId="0" fontId="11" fillId="0" borderId="0" xfId="0" applyFont="1"/>
    <xf numFmtId="1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0" fillId="0" borderId="0" xfId="0" applyNumberFormat="1" applyFill="1" applyBorder="1" applyAlignment="1">
      <alignment horizontal="left"/>
    </xf>
    <xf numFmtId="43" fontId="2" fillId="0" borderId="0" xfId="0" applyNumberFormat="1" applyFont="1"/>
    <xf numFmtId="49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70" fontId="0" fillId="0" borderId="0" xfId="0" applyNumberForma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/>
    <xf numFmtId="0" fontId="0" fillId="0" borderId="0" xfId="0" applyAlignment="1">
      <alignment horizontal="left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'IRR and NPV'!$I$1</c:f>
              <c:strCache>
                <c:ptCount val="1"/>
                <c:pt idx="0">
                  <c:v>IRR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'IRR and NPV'!$A$2:$A$22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'IRR and NPV'!$I$2:$I$22</c:f>
              <c:numCache>
                <c:formatCode>0%</c:formatCode>
                <c:ptCount val="21"/>
                <c:pt idx="1">
                  <c:v>-0.94888085333333339</c:v>
                </c:pt>
                <c:pt idx="2">
                  <c:v>-0.73063659065162623</c:v>
                </c:pt>
                <c:pt idx="3">
                  <c:v>-0.52519184899688987</c:v>
                </c:pt>
                <c:pt idx="4">
                  <c:v>-0.37135638882762445</c:v>
                </c:pt>
                <c:pt idx="5">
                  <c:v>-0.25894389316872091</c:v>
                </c:pt>
                <c:pt idx="6">
                  <c:v>-0.17563732618657812</c:v>
                </c:pt>
                <c:pt idx="7">
                  <c:v>-0.11255518386131225</c:v>
                </c:pt>
                <c:pt idx="8">
                  <c:v>-6.3749855005725276E-2</c:v>
                </c:pt>
                <c:pt idx="9">
                  <c:v>-2.5246303708848283E-2</c:v>
                </c:pt>
                <c:pt idx="10">
                  <c:v>5.6572508029213431E-3</c:v>
                </c:pt>
                <c:pt idx="11">
                  <c:v>3.0837355563533952E-2</c:v>
                </c:pt>
                <c:pt idx="12">
                  <c:v>5.1626301172944977E-2</c:v>
                </c:pt>
                <c:pt idx="13">
                  <c:v>6.898976765788345E-2</c:v>
                </c:pt>
                <c:pt idx="14">
                  <c:v>8.3641144540854917E-2</c:v>
                </c:pt>
                <c:pt idx="15">
                  <c:v>9.6116624765041125E-2</c:v>
                </c:pt>
                <c:pt idx="16">
                  <c:v>0.10682556557829836</c:v>
                </c:pt>
                <c:pt idx="17">
                  <c:v>0.11608494106362155</c:v>
                </c:pt>
                <c:pt idx="18">
                  <c:v>0.12414335523447084</c:v>
                </c:pt>
                <c:pt idx="19">
                  <c:v>0.13119807096862179</c:v>
                </c:pt>
                <c:pt idx="20">
                  <c:v>0.13740728047656448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DE4B-A1D5-0C19E87C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302720"/>
        <c:axId val="1021304368"/>
      </c:scatterChart>
      <c:valAx>
        <c:axId val="10213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04368"/>
        <c:crosses val="autoZero"/>
        <c:crossBetween val="midCat"/>
      </c:valAx>
      <c:valAx>
        <c:axId val="10213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'IRR and NPV'!$J$1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'IRR and NPV'!$A$2:$A$22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'IRR and NPV'!$J$2:$J$22</c:f>
              <c:numCache>
                <c:formatCode>"£"#,##0.00_);[Red]\("£"#,##0.00\)</c:formatCode>
                <c:ptCount val="21"/>
                <c:pt idx="1">
                  <c:v>2061.4611570247926</c:v>
                </c:pt>
                <c:pt idx="2">
                  <c:v>3162.9893914350105</c:v>
                </c:pt>
                <c:pt idx="3">
                  <c:v>4314.5870910456915</c:v>
                </c:pt>
                <c:pt idx="4">
                  <c:v>5518.530140638677</c:v>
                </c:pt>
                <c:pt idx="5">
                  <c:v>6777.19787430407</c:v>
                </c:pt>
                <c:pt idx="6">
                  <c:v>8093.0777776815266</c:v>
                </c:pt>
                <c:pt idx="7">
                  <c:v>9468.7704039397777</c:v>
                </c:pt>
                <c:pt idx="8">
                  <c:v>10906.994513209766</c:v>
                </c:pt>
                <c:pt idx="9">
                  <c:v>12410.592445628388</c:v>
                </c:pt>
                <c:pt idx="10">
                  <c:v>13982.535738611496</c:v>
                </c:pt>
                <c:pt idx="11">
                  <c:v>15625.930999457469</c:v>
                </c:pt>
                <c:pt idx="12">
                  <c:v>17344.026044887352</c:v>
                </c:pt>
                <c:pt idx="13">
                  <c:v>19140.216319654955</c:v>
                </c:pt>
                <c:pt idx="14">
                  <c:v>21018.051606911995</c:v>
                </c:pt>
                <c:pt idx="15">
                  <c:v>22981.24304358981</c:v>
                </c:pt>
                <c:pt idx="16">
                  <c:v>25033.670454662068</c:v>
                </c:pt>
                <c:pt idx="17">
                  <c:v>27179.390020783067</c:v>
                </c:pt>
                <c:pt idx="18">
                  <c:v>29422.642294455021</c:v>
                </c:pt>
                <c:pt idx="19">
                  <c:v>31767.860580566608</c:v>
                </c:pt>
                <c:pt idx="20">
                  <c:v>31767.860580566608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134C-B828-6CEEFA3B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11968"/>
        <c:axId val="1059623888"/>
      </c:scatterChart>
      <c:valAx>
        <c:axId val="10595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23888"/>
        <c:crosses val="autoZero"/>
        <c:crossBetween val="midCat"/>
      </c:valAx>
      <c:valAx>
        <c:axId val="10596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[1]Weekend_energy!$B$1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[1]Weekend_energy!$A$2:$A$53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[1]Weekend_energy!$B$2:$B$53</c:f>
              <c:numCache>
                <c:formatCode>General</c:formatCode>
                <c:ptCount val="52"/>
                <c:pt idx="0">
                  <c:v>65.322000000000003</c:v>
                </c:pt>
                <c:pt idx="1">
                  <c:v>64.432999999999893</c:v>
                </c:pt>
                <c:pt idx="2">
                  <c:v>60.816999999999901</c:v>
                </c:pt>
                <c:pt idx="3">
                  <c:v>75.149000000000001</c:v>
                </c:pt>
                <c:pt idx="4">
                  <c:v>83.406999999999996</c:v>
                </c:pt>
                <c:pt idx="5">
                  <c:v>98.453999999999994</c:v>
                </c:pt>
                <c:pt idx="6">
                  <c:v>80.06</c:v>
                </c:pt>
                <c:pt idx="7">
                  <c:v>54.019999999999897</c:v>
                </c:pt>
                <c:pt idx="8">
                  <c:v>31.190999999999999</c:v>
                </c:pt>
                <c:pt idx="9">
                  <c:v>41.283000000000001</c:v>
                </c:pt>
                <c:pt idx="10">
                  <c:v>57.301000000000002</c:v>
                </c:pt>
                <c:pt idx="11">
                  <c:v>50.403999999999897</c:v>
                </c:pt>
                <c:pt idx="12">
                  <c:v>48.941000000000003</c:v>
                </c:pt>
                <c:pt idx="13">
                  <c:v>71.765999999999906</c:v>
                </c:pt>
                <c:pt idx="14">
                  <c:v>72.313999999999993</c:v>
                </c:pt>
                <c:pt idx="15">
                  <c:v>63.194000000000003</c:v>
                </c:pt>
                <c:pt idx="16">
                  <c:v>67.025999999999996</c:v>
                </c:pt>
                <c:pt idx="17">
                  <c:v>39.997</c:v>
                </c:pt>
                <c:pt idx="18">
                  <c:v>54.111999999999902</c:v>
                </c:pt>
                <c:pt idx="19">
                  <c:v>56.759</c:v>
                </c:pt>
                <c:pt idx="20">
                  <c:v>48.362000000000002</c:v>
                </c:pt>
                <c:pt idx="21">
                  <c:v>67.418999999999997</c:v>
                </c:pt>
                <c:pt idx="22">
                  <c:v>53.61</c:v>
                </c:pt>
                <c:pt idx="23">
                  <c:v>54.612000000000002</c:v>
                </c:pt>
                <c:pt idx="24">
                  <c:v>52.727999999999902</c:v>
                </c:pt>
                <c:pt idx="25">
                  <c:v>55.028999999999897</c:v>
                </c:pt>
                <c:pt idx="26">
                  <c:v>35.656999999999996</c:v>
                </c:pt>
                <c:pt idx="27">
                  <c:v>46.534999999999997</c:v>
                </c:pt>
                <c:pt idx="28">
                  <c:v>51.614999999999903</c:v>
                </c:pt>
                <c:pt idx="29">
                  <c:v>42.033000000000001</c:v>
                </c:pt>
                <c:pt idx="30">
                  <c:v>33.063000000000002</c:v>
                </c:pt>
                <c:pt idx="31">
                  <c:v>54.777999999999999</c:v>
                </c:pt>
                <c:pt idx="32">
                  <c:v>75.287000000000006</c:v>
                </c:pt>
                <c:pt idx="33">
                  <c:v>67.757000000000005</c:v>
                </c:pt>
                <c:pt idx="34">
                  <c:v>50.144999999999897</c:v>
                </c:pt>
                <c:pt idx="35">
                  <c:v>40.685000000000002</c:v>
                </c:pt>
                <c:pt idx="36">
                  <c:v>47.204999999999998</c:v>
                </c:pt>
                <c:pt idx="37">
                  <c:v>57.637999999999998</c:v>
                </c:pt>
                <c:pt idx="38">
                  <c:v>65.686999999999998</c:v>
                </c:pt>
                <c:pt idx="39">
                  <c:v>58.192</c:v>
                </c:pt>
                <c:pt idx="40">
                  <c:v>32.423000000000002</c:v>
                </c:pt>
                <c:pt idx="41">
                  <c:v>54.959000000000003</c:v>
                </c:pt>
                <c:pt idx="42">
                  <c:v>71.900000000000006</c:v>
                </c:pt>
                <c:pt idx="43">
                  <c:v>49.841999999999999</c:v>
                </c:pt>
                <c:pt idx="44">
                  <c:v>87.317999999999998</c:v>
                </c:pt>
                <c:pt idx="45">
                  <c:v>37.875999999999998</c:v>
                </c:pt>
                <c:pt idx="46">
                  <c:v>82.418999999999997</c:v>
                </c:pt>
                <c:pt idx="47">
                  <c:v>98.447999999999993</c:v>
                </c:pt>
                <c:pt idx="48">
                  <c:v>82.046999999999997</c:v>
                </c:pt>
                <c:pt idx="49">
                  <c:v>97.218999999999994</c:v>
                </c:pt>
                <c:pt idx="50">
                  <c:v>98.456999999999994</c:v>
                </c:pt>
                <c:pt idx="51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B-4F1B-B5AF-DC6FB5EE902D}"/>
            </c:ext>
          </c:extLst>
        </c:ser>
        <c:ser>
          <c:idx val="1"/>
          <c:order val="1"/>
          <c:tx>
            <c:strRef>
              <c:f>[1]Weekend_energy!$C$1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[1]Weekend_energy!$A$2:$A$53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[1]Weekend_energy!$C$2:$C$53</c:f>
              <c:numCache>
                <c:formatCode>General</c:formatCode>
                <c:ptCount val="52"/>
                <c:pt idx="0">
                  <c:v>95.125</c:v>
                </c:pt>
                <c:pt idx="1">
                  <c:v>82.537999999999997</c:v>
                </c:pt>
                <c:pt idx="2">
                  <c:v>80.766999999999996</c:v>
                </c:pt>
                <c:pt idx="3">
                  <c:v>100.771999999999</c:v>
                </c:pt>
                <c:pt idx="4">
                  <c:v>49.606999999999999</c:v>
                </c:pt>
                <c:pt idx="5">
                  <c:v>85.525999999999996</c:v>
                </c:pt>
                <c:pt idx="6">
                  <c:v>71.080999999999904</c:v>
                </c:pt>
                <c:pt idx="7">
                  <c:v>42.036000000000001</c:v>
                </c:pt>
                <c:pt idx="8">
                  <c:v>67.617000000000004</c:v>
                </c:pt>
                <c:pt idx="9">
                  <c:v>57.888999999999903</c:v>
                </c:pt>
                <c:pt idx="10">
                  <c:v>47.241999999999997</c:v>
                </c:pt>
                <c:pt idx="11">
                  <c:v>41.81</c:v>
                </c:pt>
                <c:pt idx="12">
                  <c:v>45.286000000000001</c:v>
                </c:pt>
                <c:pt idx="13">
                  <c:v>68.444000000000003</c:v>
                </c:pt>
                <c:pt idx="14">
                  <c:v>34.017000000000003</c:v>
                </c:pt>
                <c:pt idx="15">
                  <c:v>52.706000000000003</c:v>
                </c:pt>
                <c:pt idx="16">
                  <c:v>53.640999999999998</c:v>
                </c:pt>
                <c:pt idx="17">
                  <c:v>38.426000000000002</c:v>
                </c:pt>
                <c:pt idx="18">
                  <c:v>59.884</c:v>
                </c:pt>
                <c:pt idx="19">
                  <c:v>65.186999999999998</c:v>
                </c:pt>
                <c:pt idx="20">
                  <c:v>37.238</c:v>
                </c:pt>
                <c:pt idx="21">
                  <c:v>64.302999999999997</c:v>
                </c:pt>
                <c:pt idx="22">
                  <c:v>61.463000000000001</c:v>
                </c:pt>
                <c:pt idx="23">
                  <c:v>63.2</c:v>
                </c:pt>
                <c:pt idx="24">
                  <c:v>52.491999999999997</c:v>
                </c:pt>
                <c:pt idx="25">
                  <c:v>62.468000000000004</c:v>
                </c:pt>
                <c:pt idx="26">
                  <c:v>68.096999999999994</c:v>
                </c:pt>
                <c:pt idx="27">
                  <c:v>58.622</c:v>
                </c:pt>
                <c:pt idx="28">
                  <c:v>52.03</c:v>
                </c:pt>
                <c:pt idx="29">
                  <c:v>54.941000000000003</c:v>
                </c:pt>
                <c:pt idx="30">
                  <c:v>62.012</c:v>
                </c:pt>
                <c:pt idx="31">
                  <c:v>49.406999999999996</c:v>
                </c:pt>
                <c:pt idx="32">
                  <c:v>67.346999999999994</c:v>
                </c:pt>
                <c:pt idx="33">
                  <c:v>53.082999999999998</c:v>
                </c:pt>
                <c:pt idx="34">
                  <c:v>63.4329999999999</c:v>
                </c:pt>
                <c:pt idx="35">
                  <c:v>51.186999999999998</c:v>
                </c:pt>
                <c:pt idx="36">
                  <c:v>67.090999999999994</c:v>
                </c:pt>
                <c:pt idx="37">
                  <c:v>51.634999999999998</c:v>
                </c:pt>
                <c:pt idx="38">
                  <c:v>61.048000000000002</c:v>
                </c:pt>
                <c:pt idx="39">
                  <c:v>98.889999999999901</c:v>
                </c:pt>
                <c:pt idx="40">
                  <c:v>57.741</c:v>
                </c:pt>
                <c:pt idx="41">
                  <c:v>95.522999999999996</c:v>
                </c:pt>
                <c:pt idx="42">
                  <c:v>63.231999999999999</c:v>
                </c:pt>
                <c:pt idx="43">
                  <c:v>28.984999999999999</c:v>
                </c:pt>
                <c:pt idx="44">
                  <c:v>59.167000000000002</c:v>
                </c:pt>
                <c:pt idx="45">
                  <c:v>49.8</c:v>
                </c:pt>
                <c:pt idx="46">
                  <c:v>95.962000000000003</c:v>
                </c:pt>
                <c:pt idx="47">
                  <c:v>75.323999999999998</c:v>
                </c:pt>
                <c:pt idx="48">
                  <c:v>101.73</c:v>
                </c:pt>
                <c:pt idx="49">
                  <c:v>94.216999999999999</c:v>
                </c:pt>
                <c:pt idx="50">
                  <c:v>99.754999999999995</c:v>
                </c:pt>
                <c:pt idx="51">
                  <c:v>102.102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B-4F1B-B5AF-DC6FB5EE9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331360"/>
        <c:axId val="733338248"/>
      </c:barChart>
      <c:catAx>
        <c:axId val="73333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(Weekends)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8248"/>
        <c:crosses val="autoZero"/>
        <c:auto val="1"/>
        <c:lblAlgn val="ctr"/>
        <c:lblOffset val="100"/>
        <c:noMultiLvlLbl val="0"/>
      </c:catAx>
      <c:valAx>
        <c:axId val="7333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Generated</a:t>
                </a:r>
                <a:r>
                  <a:rPr lang="en-GB" baseline="0"/>
                  <a:t> (KWh)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2019 energy generation</a:t>
            </a:r>
            <a:r>
              <a:rPr lang="en-GB" baseline="0"/>
              <a:t> pattern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'weekly energy kano'!$B$1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'weekly energy kano'!$A$2:$A$55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'weekly energy kano'!$B$2:$B$55</c:f>
              <c:numCache>
                <c:formatCode>General</c:formatCode>
                <c:ptCount val="54"/>
                <c:pt idx="0">
                  <c:v>22.154</c:v>
                </c:pt>
                <c:pt idx="1">
                  <c:v>5.9939999999999998</c:v>
                </c:pt>
                <c:pt idx="2">
                  <c:v>46.491999999999997</c:v>
                </c:pt>
                <c:pt idx="3">
                  <c:v>9.8140000000000001</c:v>
                </c:pt>
                <c:pt idx="4">
                  <c:v>7.0589999999999904</c:v>
                </c:pt>
                <c:pt idx="5">
                  <c:v>13.09</c:v>
                </c:pt>
                <c:pt idx="6">
                  <c:v>88.13</c:v>
                </c:pt>
                <c:pt idx="7">
                  <c:v>79.972999999999999</c:v>
                </c:pt>
                <c:pt idx="8">
                  <c:v>22.2</c:v>
                </c:pt>
                <c:pt idx="9">
                  <c:v>57.576000000000001</c:v>
                </c:pt>
                <c:pt idx="10">
                  <c:v>19.782</c:v>
                </c:pt>
                <c:pt idx="11">
                  <c:v>100.657</c:v>
                </c:pt>
                <c:pt idx="12">
                  <c:v>108.143</c:v>
                </c:pt>
                <c:pt idx="13">
                  <c:v>28.378</c:v>
                </c:pt>
                <c:pt idx="14">
                  <c:v>121.166</c:v>
                </c:pt>
                <c:pt idx="15">
                  <c:v>114.09299999999899</c:v>
                </c:pt>
                <c:pt idx="16">
                  <c:v>84.937999999999903</c:v>
                </c:pt>
                <c:pt idx="17">
                  <c:v>90.628999999999905</c:v>
                </c:pt>
                <c:pt idx="18">
                  <c:v>83.822999999999993</c:v>
                </c:pt>
                <c:pt idx="19">
                  <c:v>80.025000000000006</c:v>
                </c:pt>
                <c:pt idx="20">
                  <c:v>122.21</c:v>
                </c:pt>
                <c:pt idx="21">
                  <c:v>112.628999999999</c:v>
                </c:pt>
                <c:pt idx="22">
                  <c:v>71.558999999999997</c:v>
                </c:pt>
                <c:pt idx="23">
                  <c:v>117.23699999999999</c:v>
                </c:pt>
                <c:pt idx="24">
                  <c:v>119.886</c:v>
                </c:pt>
                <c:pt idx="25">
                  <c:v>95.718999999999994</c:v>
                </c:pt>
                <c:pt idx="26">
                  <c:v>123.315</c:v>
                </c:pt>
                <c:pt idx="27">
                  <c:v>105.92</c:v>
                </c:pt>
                <c:pt idx="28">
                  <c:v>83.843999999999994</c:v>
                </c:pt>
                <c:pt idx="29">
                  <c:v>45.899000000000001</c:v>
                </c:pt>
                <c:pt idx="30">
                  <c:v>117.227</c:v>
                </c:pt>
                <c:pt idx="31">
                  <c:v>74.608999999999995</c:v>
                </c:pt>
                <c:pt idx="32">
                  <c:v>79.936999999999998</c:v>
                </c:pt>
                <c:pt idx="33">
                  <c:v>111.03700000000001</c:v>
                </c:pt>
                <c:pt idx="34">
                  <c:v>97.837999999999994</c:v>
                </c:pt>
                <c:pt idx="35">
                  <c:v>94.076999999999998</c:v>
                </c:pt>
                <c:pt idx="36">
                  <c:v>89.183000000000007</c:v>
                </c:pt>
                <c:pt idx="37">
                  <c:v>108.911</c:v>
                </c:pt>
                <c:pt idx="38">
                  <c:v>83.25</c:v>
                </c:pt>
                <c:pt idx="39">
                  <c:v>55.673999999999999</c:v>
                </c:pt>
                <c:pt idx="40">
                  <c:v>57.552</c:v>
                </c:pt>
                <c:pt idx="41">
                  <c:v>66.025000000000006</c:v>
                </c:pt>
                <c:pt idx="42">
                  <c:v>64.944000000000003</c:v>
                </c:pt>
                <c:pt idx="43">
                  <c:v>23.341999999999999</c:v>
                </c:pt>
                <c:pt idx="44">
                  <c:v>53.427999999999997</c:v>
                </c:pt>
                <c:pt idx="45">
                  <c:v>2.4239999999999999</c:v>
                </c:pt>
                <c:pt idx="46">
                  <c:v>21.175999999999998</c:v>
                </c:pt>
                <c:pt idx="47">
                  <c:v>9.4719999999999995</c:v>
                </c:pt>
                <c:pt idx="48">
                  <c:v>4.8209999999999997</c:v>
                </c:pt>
                <c:pt idx="49">
                  <c:v>24.125</c:v>
                </c:pt>
                <c:pt idx="50">
                  <c:v>25.058</c:v>
                </c:pt>
                <c:pt idx="51">
                  <c:v>10.228999999999999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52D-BDE5-2685B1E4F422}"/>
            </c:ext>
          </c:extLst>
        </c:ser>
        <c:ser>
          <c:idx val="1"/>
          <c:order val="1"/>
          <c:tx>
            <c:strRef>
              <c:f>'weekly energy kano'!$C$1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'weekly energy kano'!$A$2:$A$55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'weekly energy kano'!$C$2:$C$55</c:f>
              <c:numCache>
                <c:formatCode>General</c:formatCode>
                <c:ptCount val="54"/>
                <c:pt idx="0">
                  <c:v>21.209</c:v>
                </c:pt>
                <c:pt idx="1">
                  <c:v>3.33</c:v>
                </c:pt>
                <c:pt idx="2">
                  <c:v>7.0229999999999997</c:v>
                </c:pt>
                <c:pt idx="3">
                  <c:v>11.616</c:v>
                </c:pt>
                <c:pt idx="4">
                  <c:v>28.646999999999998</c:v>
                </c:pt>
                <c:pt idx="5">
                  <c:v>49.720999999999997</c:v>
                </c:pt>
                <c:pt idx="6">
                  <c:v>75.498999999999995</c:v>
                </c:pt>
                <c:pt idx="7">
                  <c:v>86.317999999999998</c:v>
                </c:pt>
                <c:pt idx="8">
                  <c:v>92.007999999999996</c:v>
                </c:pt>
                <c:pt idx="9">
                  <c:v>38.570999999999998</c:v>
                </c:pt>
                <c:pt idx="10">
                  <c:v>85.786000000000001</c:v>
                </c:pt>
                <c:pt idx="11">
                  <c:v>71.330999999999904</c:v>
                </c:pt>
                <c:pt idx="12">
                  <c:v>95.334999999999994</c:v>
                </c:pt>
                <c:pt idx="13">
                  <c:v>98.608000000000004</c:v>
                </c:pt>
                <c:pt idx="14">
                  <c:v>122.148</c:v>
                </c:pt>
                <c:pt idx="15">
                  <c:v>116.25</c:v>
                </c:pt>
                <c:pt idx="16">
                  <c:v>91.072999999999993</c:v>
                </c:pt>
                <c:pt idx="17">
                  <c:v>78.527000000000001</c:v>
                </c:pt>
                <c:pt idx="18">
                  <c:v>90.209000000000003</c:v>
                </c:pt>
                <c:pt idx="19">
                  <c:v>53.412999999999997</c:v>
                </c:pt>
                <c:pt idx="20">
                  <c:v>113.794</c:v>
                </c:pt>
                <c:pt idx="21">
                  <c:v>119.169</c:v>
                </c:pt>
                <c:pt idx="22">
                  <c:v>112.628</c:v>
                </c:pt>
                <c:pt idx="23">
                  <c:v>105.065</c:v>
                </c:pt>
                <c:pt idx="24">
                  <c:v>126.009</c:v>
                </c:pt>
                <c:pt idx="25">
                  <c:v>117.227</c:v>
                </c:pt>
                <c:pt idx="26">
                  <c:v>118.282</c:v>
                </c:pt>
                <c:pt idx="27">
                  <c:v>118.01300000000001</c:v>
                </c:pt>
                <c:pt idx="28">
                  <c:v>78.83</c:v>
                </c:pt>
                <c:pt idx="29">
                  <c:v>87.986000000000004</c:v>
                </c:pt>
                <c:pt idx="30">
                  <c:v>74.299000000000007</c:v>
                </c:pt>
                <c:pt idx="31">
                  <c:v>112.239</c:v>
                </c:pt>
                <c:pt idx="32">
                  <c:v>51.460999999999999</c:v>
                </c:pt>
                <c:pt idx="33">
                  <c:v>88.632000000000005</c:v>
                </c:pt>
                <c:pt idx="34">
                  <c:v>96.36</c:v>
                </c:pt>
                <c:pt idx="35">
                  <c:v>103.526</c:v>
                </c:pt>
                <c:pt idx="36">
                  <c:v>103.889</c:v>
                </c:pt>
                <c:pt idx="37">
                  <c:v>91.888000000000005</c:v>
                </c:pt>
                <c:pt idx="38">
                  <c:v>60.375999999999898</c:v>
                </c:pt>
                <c:pt idx="39">
                  <c:v>49.752999999999901</c:v>
                </c:pt>
                <c:pt idx="40">
                  <c:v>41.025999999999897</c:v>
                </c:pt>
                <c:pt idx="41">
                  <c:v>33.543999999999997</c:v>
                </c:pt>
                <c:pt idx="42">
                  <c:v>71.650000000000006</c:v>
                </c:pt>
                <c:pt idx="43">
                  <c:v>55.374999999999901</c:v>
                </c:pt>
                <c:pt idx="44">
                  <c:v>22.582000000000001</c:v>
                </c:pt>
                <c:pt idx="45">
                  <c:v>36.137999999999998</c:v>
                </c:pt>
                <c:pt idx="46">
                  <c:v>4.4239999999999897</c:v>
                </c:pt>
                <c:pt idx="47">
                  <c:v>10.026999999999999</c:v>
                </c:pt>
                <c:pt idx="48">
                  <c:v>31.791</c:v>
                </c:pt>
                <c:pt idx="49">
                  <c:v>33.79</c:v>
                </c:pt>
                <c:pt idx="50">
                  <c:v>31.317</c:v>
                </c:pt>
                <c:pt idx="51">
                  <c:v>21.981999999999999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0-452D-BDE5-2685B1E4F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94016"/>
        <c:axId val="541994344"/>
      </c:areaChart>
      <c:catAx>
        <c:axId val="54199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of 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94344"/>
        <c:crosses val="autoZero"/>
        <c:auto val="1"/>
        <c:lblAlgn val="ctr"/>
        <c:lblOffset val="100"/>
        <c:noMultiLvlLbl val="0"/>
      </c:catAx>
      <c:valAx>
        <c:axId val="5419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energy generated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'weekly energy kano'!$D$1</c:f>
              <c:strCache>
                <c:ptCount val="1"/>
                <c:pt idx="0">
                  <c:v>total_weekend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'weekly energy kano'!$A$2:$A$55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'weekly energy kano'!$D$2:$D$55</c:f>
              <c:numCache>
                <c:formatCode>General</c:formatCode>
                <c:ptCount val="54"/>
                <c:pt idx="0">
                  <c:v>43.363</c:v>
                </c:pt>
                <c:pt idx="1">
                  <c:v>9.3239999999999998</c:v>
                </c:pt>
                <c:pt idx="2">
                  <c:v>53.515000000000001</c:v>
                </c:pt>
                <c:pt idx="3">
                  <c:v>21.43</c:v>
                </c:pt>
                <c:pt idx="4">
                  <c:v>35.706000000000003</c:v>
                </c:pt>
                <c:pt idx="5">
                  <c:v>62.811</c:v>
                </c:pt>
                <c:pt idx="6">
                  <c:v>163.62899999999999</c:v>
                </c:pt>
                <c:pt idx="7">
                  <c:v>166.291</c:v>
                </c:pt>
                <c:pt idx="8">
                  <c:v>114.208</c:v>
                </c:pt>
                <c:pt idx="9">
                  <c:v>96.146999999999906</c:v>
                </c:pt>
                <c:pt idx="10">
                  <c:v>105.568</c:v>
                </c:pt>
                <c:pt idx="11">
                  <c:v>171.988</c:v>
                </c:pt>
                <c:pt idx="12">
                  <c:v>203.47800000000001</c:v>
                </c:pt>
                <c:pt idx="13">
                  <c:v>126.986</c:v>
                </c:pt>
                <c:pt idx="14">
                  <c:v>243.31399999999999</c:v>
                </c:pt>
                <c:pt idx="15">
                  <c:v>230.34299999999999</c:v>
                </c:pt>
                <c:pt idx="16">
                  <c:v>176.011</c:v>
                </c:pt>
                <c:pt idx="17">
                  <c:v>169.15600000000001</c:v>
                </c:pt>
                <c:pt idx="18">
                  <c:v>174.03200000000001</c:v>
                </c:pt>
                <c:pt idx="19">
                  <c:v>133.43799999999999</c:v>
                </c:pt>
                <c:pt idx="20">
                  <c:v>236.00399999999999</c:v>
                </c:pt>
                <c:pt idx="21">
                  <c:v>231.798</c:v>
                </c:pt>
                <c:pt idx="22">
                  <c:v>184.18700000000001</c:v>
                </c:pt>
                <c:pt idx="23">
                  <c:v>222.30199999999999</c:v>
                </c:pt>
                <c:pt idx="24">
                  <c:v>245.89499999999899</c:v>
                </c:pt>
                <c:pt idx="25">
                  <c:v>212.946</c:v>
                </c:pt>
                <c:pt idx="26">
                  <c:v>241.59700000000001</c:v>
                </c:pt>
                <c:pt idx="27">
                  <c:v>223.93299999999999</c:v>
                </c:pt>
                <c:pt idx="28">
                  <c:v>162.67400000000001</c:v>
                </c:pt>
                <c:pt idx="29">
                  <c:v>133.88499999999999</c:v>
                </c:pt>
                <c:pt idx="30">
                  <c:v>191.52600000000001</c:v>
                </c:pt>
                <c:pt idx="31">
                  <c:v>186.84800000000001</c:v>
                </c:pt>
                <c:pt idx="32">
                  <c:v>131.398</c:v>
                </c:pt>
                <c:pt idx="33">
                  <c:v>199.66900000000001</c:v>
                </c:pt>
                <c:pt idx="34">
                  <c:v>194.19800000000001</c:v>
                </c:pt>
                <c:pt idx="35">
                  <c:v>197.60300000000001</c:v>
                </c:pt>
                <c:pt idx="36">
                  <c:v>193.072</c:v>
                </c:pt>
                <c:pt idx="37">
                  <c:v>200.79900000000001</c:v>
                </c:pt>
                <c:pt idx="38">
                  <c:v>143.62599999999901</c:v>
                </c:pt>
                <c:pt idx="39">
                  <c:v>105.426999999999</c:v>
                </c:pt>
                <c:pt idx="40">
                  <c:v>98.578000000000003</c:v>
                </c:pt>
                <c:pt idx="41">
                  <c:v>99.569000000000003</c:v>
                </c:pt>
                <c:pt idx="42">
                  <c:v>136.59399999999999</c:v>
                </c:pt>
                <c:pt idx="43">
                  <c:v>78.716999999999899</c:v>
                </c:pt>
                <c:pt idx="44">
                  <c:v>76.010000000000005</c:v>
                </c:pt>
                <c:pt idx="45">
                  <c:v>38.561999999999998</c:v>
                </c:pt>
                <c:pt idx="46">
                  <c:v>25.599999999999898</c:v>
                </c:pt>
                <c:pt idx="47">
                  <c:v>19.498999999999999</c:v>
                </c:pt>
                <c:pt idx="48">
                  <c:v>36.612000000000002</c:v>
                </c:pt>
                <c:pt idx="49">
                  <c:v>57.914999999999999</c:v>
                </c:pt>
                <c:pt idx="50">
                  <c:v>56.375</c:v>
                </c:pt>
                <c:pt idx="51">
                  <c:v>32.210999999999999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C-49F0-9552-05F2FA1C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83176"/>
        <c:axId val="741583296"/>
      </c:areaChart>
      <c:catAx>
        <c:axId val="45448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83296"/>
        <c:crosses val="autoZero"/>
        <c:auto val="1"/>
        <c:lblAlgn val="ctr"/>
        <c:lblOffset val="100"/>
        <c:noMultiLvlLbl val="0"/>
      </c:catAx>
      <c:valAx>
        <c:axId val="7415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generation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[2]Weekend_energy_maiduguri!$B$1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[2]Weekend_energy_maiduguri!$A$2:$A$53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[2]Weekend_energy_maiduguri!$B$2:$B$53</c:f>
              <c:numCache>
                <c:formatCode>General</c:formatCode>
                <c:ptCount val="52"/>
                <c:pt idx="0">
                  <c:v>82.807000000000002</c:v>
                </c:pt>
                <c:pt idx="1">
                  <c:v>116.456</c:v>
                </c:pt>
                <c:pt idx="2">
                  <c:v>121.172</c:v>
                </c:pt>
                <c:pt idx="3">
                  <c:v>108.36</c:v>
                </c:pt>
                <c:pt idx="4">
                  <c:v>111.84699999999999</c:v>
                </c:pt>
                <c:pt idx="5">
                  <c:v>111.303</c:v>
                </c:pt>
                <c:pt idx="6">
                  <c:v>91.125</c:v>
                </c:pt>
                <c:pt idx="7">
                  <c:v>84.519000000000005</c:v>
                </c:pt>
                <c:pt idx="8">
                  <c:v>98.138999999999996</c:v>
                </c:pt>
                <c:pt idx="9">
                  <c:v>101.727</c:v>
                </c:pt>
                <c:pt idx="10">
                  <c:v>88.568999999999903</c:v>
                </c:pt>
                <c:pt idx="11">
                  <c:v>98.480999999999995</c:v>
                </c:pt>
                <c:pt idx="12">
                  <c:v>97.528000000000006</c:v>
                </c:pt>
                <c:pt idx="13">
                  <c:v>98.998999999999995</c:v>
                </c:pt>
                <c:pt idx="14">
                  <c:v>86.622</c:v>
                </c:pt>
                <c:pt idx="15">
                  <c:v>77.308999999999997</c:v>
                </c:pt>
                <c:pt idx="16">
                  <c:v>90.488</c:v>
                </c:pt>
                <c:pt idx="17">
                  <c:v>71.204999999999998</c:v>
                </c:pt>
                <c:pt idx="18">
                  <c:v>71.882999999999996</c:v>
                </c:pt>
                <c:pt idx="19">
                  <c:v>73.784999999999997</c:v>
                </c:pt>
                <c:pt idx="20">
                  <c:v>81.585999999999999</c:v>
                </c:pt>
                <c:pt idx="21">
                  <c:v>59.851999999999997</c:v>
                </c:pt>
                <c:pt idx="22">
                  <c:v>68.415999999999997</c:v>
                </c:pt>
                <c:pt idx="23">
                  <c:v>75.751000000000005</c:v>
                </c:pt>
                <c:pt idx="24">
                  <c:v>70.975999999999999</c:v>
                </c:pt>
                <c:pt idx="25">
                  <c:v>75.856999999999999</c:v>
                </c:pt>
                <c:pt idx="26">
                  <c:v>68.313000000000002</c:v>
                </c:pt>
                <c:pt idx="27">
                  <c:v>66.119</c:v>
                </c:pt>
                <c:pt idx="28">
                  <c:v>52.994999999999997</c:v>
                </c:pt>
                <c:pt idx="29">
                  <c:v>72.751999999999995</c:v>
                </c:pt>
                <c:pt idx="30">
                  <c:v>74.402000000000001</c:v>
                </c:pt>
                <c:pt idx="31">
                  <c:v>67.515999999999906</c:v>
                </c:pt>
                <c:pt idx="32">
                  <c:v>64.888000000000005</c:v>
                </c:pt>
                <c:pt idx="33">
                  <c:v>54.069000000000003</c:v>
                </c:pt>
                <c:pt idx="34">
                  <c:v>85.168999999999997</c:v>
                </c:pt>
                <c:pt idx="35">
                  <c:v>88.888000000000005</c:v>
                </c:pt>
                <c:pt idx="36">
                  <c:v>78.826999999999998</c:v>
                </c:pt>
                <c:pt idx="37">
                  <c:v>93.781999999999996</c:v>
                </c:pt>
                <c:pt idx="38">
                  <c:v>71.204999999999998</c:v>
                </c:pt>
                <c:pt idx="39">
                  <c:v>94.162000000000006</c:v>
                </c:pt>
                <c:pt idx="40">
                  <c:v>98.335999999999999</c:v>
                </c:pt>
                <c:pt idx="41">
                  <c:v>67.209999999999994</c:v>
                </c:pt>
                <c:pt idx="42">
                  <c:v>56.351999999999997</c:v>
                </c:pt>
                <c:pt idx="43">
                  <c:v>115.572</c:v>
                </c:pt>
                <c:pt idx="44">
                  <c:v>115.581</c:v>
                </c:pt>
                <c:pt idx="45">
                  <c:v>108.70099999999999</c:v>
                </c:pt>
                <c:pt idx="46">
                  <c:v>107.589</c:v>
                </c:pt>
                <c:pt idx="47">
                  <c:v>107.98699999999999</c:v>
                </c:pt>
                <c:pt idx="48">
                  <c:v>123.95699999999999</c:v>
                </c:pt>
                <c:pt idx="49">
                  <c:v>98.775999999999996</c:v>
                </c:pt>
                <c:pt idx="50">
                  <c:v>119.724</c:v>
                </c:pt>
                <c:pt idx="51">
                  <c:v>119.681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0-4507-B5F3-0DAB08A30F31}"/>
            </c:ext>
          </c:extLst>
        </c:ser>
        <c:ser>
          <c:idx val="1"/>
          <c:order val="1"/>
          <c:tx>
            <c:strRef>
              <c:f>[2]Weekend_energy_maiduguri!$C$1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[2]Weekend_energy_maiduguri!$A$2:$A$53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[2]Weekend_energy_maiduguri!$C$2:$C$53</c:f>
              <c:numCache>
                <c:formatCode>General</c:formatCode>
                <c:ptCount val="52"/>
                <c:pt idx="0">
                  <c:v>113.16500000000001</c:v>
                </c:pt>
                <c:pt idx="1">
                  <c:v>114.79900000000001</c:v>
                </c:pt>
                <c:pt idx="2">
                  <c:v>115.96899999999999</c:v>
                </c:pt>
                <c:pt idx="3">
                  <c:v>111.693</c:v>
                </c:pt>
                <c:pt idx="4">
                  <c:v>100.545999999999</c:v>
                </c:pt>
                <c:pt idx="5">
                  <c:v>111.44799999999999</c:v>
                </c:pt>
                <c:pt idx="6">
                  <c:v>105.91800000000001</c:v>
                </c:pt>
                <c:pt idx="7">
                  <c:v>100.228999999999</c:v>
                </c:pt>
                <c:pt idx="8">
                  <c:v>64.919999999999902</c:v>
                </c:pt>
                <c:pt idx="9">
                  <c:v>103.02200000000001</c:v>
                </c:pt>
                <c:pt idx="10">
                  <c:v>97.492999999999995</c:v>
                </c:pt>
                <c:pt idx="11">
                  <c:v>96.36</c:v>
                </c:pt>
                <c:pt idx="12">
                  <c:v>101.577</c:v>
                </c:pt>
                <c:pt idx="13">
                  <c:v>97.474999999999994</c:v>
                </c:pt>
                <c:pt idx="14">
                  <c:v>81.932999999999893</c:v>
                </c:pt>
                <c:pt idx="15">
                  <c:v>73.695999999999998</c:v>
                </c:pt>
                <c:pt idx="16">
                  <c:v>85.555000000000007</c:v>
                </c:pt>
                <c:pt idx="17">
                  <c:v>81.667000000000002</c:v>
                </c:pt>
                <c:pt idx="18">
                  <c:v>78.105000000000004</c:v>
                </c:pt>
                <c:pt idx="19">
                  <c:v>78.302999999999997</c:v>
                </c:pt>
                <c:pt idx="20">
                  <c:v>75.914999999999907</c:v>
                </c:pt>
                <c:pt idx="21">
                  <c:v>69.123999999999995</c:v>
                </c:pt>
                <c:pt idx="22">
                  <c:v>51.972000000000001</c:v>
                </c:pt>
                <c:pt idx="23">
                  <c:v>75.926999999999893</c:v>
                </c:pt>
                <c:pt idx="24">
                  <c:v>62.360999999999898</c:v>
                </c:pt>
                <c:pt idx="25">
                  <c:v>67.143000000000001</c:v>
                </c:pt>
                <c:pt idx="26">
                  <c:v>71.387</c:v>
                </c:pt>
                <c:pt idx="27">
                  <c:v>79.385999999999996</c:v>
                </c:pt>
                <c:pt idx="28">
                  <c:v>70.597999999999999</c:v>
                </c:pt>
                <c:pt idx="29">
                  <c:v>46.146999999999998</c:v>
                </c:pt>
                <c:pt idx="30">
                  <c:v>43.823999999999998</c:v>
                </c:pt>
                <c:pt idx="31">
                  <c:v>65.716999999999999</c:v>
                </c:pt>
                <c:pt idx="32">
                  <c:v>61.896999999999998</c:v>
                </c:pt>
                <c:pt idx="33">
                  <c:v>56.302</c:v>
                </c:pt>
                <c:pt idx="34">
                  <c:v>57.692999999999998</c:v>
                </c:pt>
                <c:pt idx="35">
                  <c:v>86.828999999999994</c:v>
                </c:pt>
                <c:pt idx="36">
                  <c:v>63.765000000000001</c:v>
                </c:pt>
                <c:pt idx="37">
                  <c:v>90.007999999999996</c:v>
                </c:pt>
                <c:pt idx="38">
                  <c:v>79.519000000000005</c:v>
                </c:pt>
                <c:pt idx="39">
                  <c:v>60.646000000000001</c:v>
                </c:pt>
                <c:pt idx="40">
                  <c:v>82.131</c:v>
                </c:pt>
                <c:pt idx="41">
                  <c:v>56.654000000000003</c:v>
                </c:pt>
                <c:pt idx="42">
                  <c:v>52.069000000000003</c:v>
                </c:pt>
                <c:pt idx="43">
                  <c:v>94.686000000000007</c:v>
                </c:pt>
                <c:pt idx="44">
                  <c:v>112.568</c:v>
                </c:pt>
                <c:pt idx="45">
                  <c:v>113.905</c:v>
                </c:pt>
                <c:pt idx="46">
                  <c:v>114.479</c:v>
                </c:pt>
                <c:pt idx="47">
                  <c:v>117.334</c:v>
                </c:pt>
                <c:pt idx="48">
                  <c:v>121.831</c:v>
                </c:pt>
                <c:pt idx="49">
                  <c:v>110.366</c:v>
                </c:pt>
                <c:pt idx="50">
                  <c:v>120.602</c:v>
                </c:pt>
                <c:pt idx="51">
                  <c:v>121.462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0-4507-B5F3-0DAB08A3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32144"/>
        <c:axId val="776729520"/>
      </c:areaChart>
      <c:catAx>
        <c:axId val="7767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29520"/>
        <c:crosses val="autoZero"/>
        <c:auto val="1"/>
        <c:lblAlgn val="ctr"/>
        <c:lblOffset val="100"/>
        <c:noMultiLvlLbl val="0"/>
      </c:catAx>
      <c:valAx>
        <c:axId val="7767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3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FAA3D5BF-950B-4816-8ACF-1812A9C673BF}">
          <cx:spPr>
            <a:solidFill>
              <a:srgbClr val="0070C0"/>
            </a:solidFill>
          </cx:spPr>
          <cx:dataPt idx="1">
            <cx:spPr>
              <a:solidFill>
                <a:srgbClr val="00B050"/>
              </a:solidFill>
            </cx:spPr>
          </cx:dataPt>
          <cx:dataId val="0"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sunburst" uniqueId="{7DB8D224-345B-49D5-B92A-D5A6F7354CC3}">
          <cx:dataLabels>
            <cx:visibility seriesName="0" categoryName="0" value="1"/>
            <cx:separator>, </cx:separator>
          </cx:dataLabels>
          <cx:dataId val="0"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treemap" uniqueId="{5241FCC5-2CA6-4475-B373-6D75666AEFBA}">
          <cx:dataLabels pos="inEnd"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plotArea>
      <cx:plotAreaRegion>
        <cx:series layoutId="waterfall" uniqueId="{A20395D8-B34A-43DA-A9FA-457106CB4F0D}">
          <cx:dataPt idx="0">
            <cx:spPr>
              <a:solidFill>
                <a:srgbClr val="00B050"/>
              </a:solidFill>
            </cx:spPr>
          </cx:dataPt>
          <cx:dataPt idx="1">
            <cx:spPr>
              <a:solidFill>
                <a:srgbClr val="F79646"/>
              </a:solidFill>
            </cx:spPr>
          </cx:dataPt>
          <cx:dataPt idx="2">
            <cx:spPr>
              <a:solidFill>
                <a:srgbClr val="0070C0"/>
              </a:solidFill>
            </cx:spPr>
          </cx:dataPt>
          <cx:dataPt idx="3">
            <cx:spPr>
              <a:solidFill>
                <a:srgbClr val="002060"/>
              </a:solidFill>
            </cx:spPr>
          </cx:dataPt>
          <cx:dataLabels pos="outEnd">
            <cx:visibility seriesName="0" categoryName="0" value="0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tle>
          <cx:tx>
            <cx:txData>
              <cx:v>Financial gains ($)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Financial gains ($)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16933</xdr:colOff>
      <xdr:row>5</xdr:row>
      <xdr:rowOff>165099</xdr:rowOff>
    </xdr:from>
    <xdr:to>
      <xdr:col>13</xdr:col>
      <xdr:colOff>794808</xdr:colOff>
      <xdr:row>14</xdr:row>
      <xdr:rowOff>22224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036EF7-354A-47B8-BA98-9D3A17679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2558" y="1117599"/>
              <a:ext cx="2435225" cy="157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180975</xdr:colOff>
      <xdr:row>0</xdr:row>
      <xdr:rowOff>0</xdr:rowOff>
    </xdr:from>
    <xdr:to>
      <xdr:col>20</xdr:col>
      <xdr:colOff>328612</xdr:colOff>
      <xdr:row>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24E99D-E059-44C7-A710-22495151A1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68650" y="0"/>
              <a:ext cx="2633662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1</xdr:row>
      <xdr:rowOff>9525</xdr:rowOff>
    </xdr:from>
    <xdr:to>
      <xdr:col>16</xdr:col>
      <xdr:colOff>444500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ECA8B-1CA4-4542-9BAC-EF4CC85FF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441325</xdr:colOff>
      <xdr:row>17</xdr:row>
      <xdr:rowOff>107950</xdr:rowOff>
    </xdr:from>
    <xdr:to>
      <xdr:col>16</xdr:col>
      <xdr:colOff>123825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67599-9FDB-D845-84C0-CCAA523A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0</xdr:rowOff>
    </xdr:from>
    <xdr:to>
      <xdr:col>17</xdr:col>
      <xdr:colOff>161925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CA191-2391-491D-BC0D-368692BBE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0</xdr:rowOff>
    </xdr:from>
    <xdr:to>
      <xdr:col>13</xdr:col>
      <xdr:colOff>533400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B0552-0BF0-4D3E-A446-93763BF91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</xdr:row>
      <xdr:rowOff>9525</xdr:rowOff>
    </xdr:from>
    <xdr:to>
      <xdr:col>22</xdr:col>
      <xdr:colOff>504825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DCCF2-F0AB-40BE-BDB4-50F0B01AD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85725</xdr:rowOff>
    </xdr:from>
    <xdr:to>
      <xdr:col>14</xdr:col>
      <xdr:colOff>104775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6F4EA-C963-4EC5-AE68-FA0C7987B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76200</xdr:rowOff>
    </xdr:from>
    <xdr:to>
      <xdr:col>14</xdr:col>
      <xdr:colOff>371475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1425D5-E518-4F2B-BE77-A1F36E734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45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3</xdr:row>
      <xdr:rowOff>85725</xdr:rowOff>
    </xdr:from>
    <xdr:to>
      <xdr:col>17</xdr:col>
      <xdr:colOff>85725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E2F12D-AE83-4710-A2D2-5E795FACDB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50" y="657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/Weekend_energy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/Weekend_energy_maiduguri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oad%20profile%20th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end_energy"/>
    </sheetNames>
    <sheetDataSet>
      <sheetData sheetId="0">
        <row r="1">
          <cell r="B1" t="str">
            <v>Saturday</v>
          </cell>
          <cell r="C1" t="str">
            <v>Sunday</v>
          </cell>
        </row>
        <row r="2">
          <cell r="A2">
            <v>0</v>
          </cell>
          <cell r="B2">
            <v>65.322000000000003</v>
          </cell>
          <cell r="C2">
            <v>95.125</v>
          </cell>
        </row>
        <row r="3">
          <cell r="A3">
            <v>1</v>
          </cell>
          <cell r="B3">
            <v>64.432999999999893</v>
          </cell>
          <cell r="C3">
            <v>82.537999999999997</v>
          </cell>
        </row>
        <row r="4">
          <cell r="A4">
            <v>2</v>
          </cell>
          <cell r="B4">
            <v>60.816999999999901</v>
          </cell>
          <cell r="C4">
            <v>80.766999999999996</v>
          </cell>
        </row>
        <row r="5">
          <cell r="A5">
            <v>3</v>
          </cell>
          <cell r="B5">
            <v>75.149000000000001</v>
          </cell>
          <cell r="C5">
            <v>100.771999999999</v>
          </cell>
        </row>
        <row r="6">
          <cell r="A6">
            <v>4</v>
          </cell>
          <cell r="B6">
            <v>83.406999999999996</v>
          </cell>
          <cell r="C6">
            <v>49.606999999999999</v>
          </cell>
        </row>
        <row r="7">
          <cell r="A7">
            <v>5</v>
          </cell>
          <cell r="B7">
            <v>98.453999999999994</v>
          </cell>
          <cell r="C7">
            <v>85.525999999999996</v>
          </cell>
        </row>
        <row r="8">
          <cell r="A8">
            <v>6</v>
          </cell>
          <cell r="B8">
            <v>80.06</v>
          </cell>
          <cell r="C8">
            <v>71.080999999999904</v>
          </cell>
        </row>
        <row r="9">
          <cell r="A9">
            <v>7</v>
          </cell>
          <cell r="B9">
            <v>54.019999999999897</v>
          </cell>
          <cell r="C9">
            <v>42.036000000000001</v>
          </cell>
        </row>
        <row r="10">
          <cell r="A10">
            <v>8</v>
          </cell>
          <cell r="B10">
            <v>31.190999999999999</v>
          </cell>
          <cell r="C10">
            <v>67.617000000000004</v>
          </cell>
        </row>
        <row r="11">
          <cell r="A11">
            <v>9</v>
          </cell>
          <cell r="B11">
            <v>41.283000000000001</v>
          </cell>
          <cell r="C11">
            <v>57.888999999999903</v>
          </cell>
        </row>
        <row r="12">
          <cell r="A12">
            <v>10</v>
          </cell>
          <cell r="B12">
            <v>57.301000000000002</v>
          </cell>
          <cell r="C12">
            <v>47.241999999999997</v>
          </cell>
        </row>
        <row r="13">
          <cell r="A13">
            <v>11</v>
          </cell>
          <cell r="B13">
            <v>50.403999999999897</v>
          </cell>
          <cell r="C13">
            <v>41.81</v>
          </cell>
        </row>
        <row r="14">
          <cell r="A14">
            <v>12</v>
          </cell>
          <cell r="B14">
            <v>48.941000000000003</v>
          </cell>
          <cell r="C14">
            <v>45.286000000000001</v>
          </cell>
        </row>
        <row r="15">
          <cell r="A15">
            <v>13</v>
          </cell>
          <cell r="B15">
            <v>71.765999999999906</v>
          </cell>
          <cell r="C15">
            <v>68.444000000000003</v>
          </cell>
        </row>
        <row r="16">
          <cell r="A16">
            <v>14</v>
          </cell>
          <cell r="B16">
            <v>72.313999999999993</v>
          </cell>
          <cell r="C16">
            <v>34.017000000000003</v>
          </cell>
        </row>
        <row r="17">
          <cell r="A17">
            <v>15</v>
          </cell>
          <cell r="B17">
            <v>63.194000000000003</v>
          </cell>
          <cell r="C17">
            <v>52.706000000000003</v>
          </cell>
        </row>
        <row r="18">
          <cell r="A18">
            <v>16</v>
          </cell>
          <cell r="B18">
            <v>67.025999999999996</v>
          </cell>
          <cell r="C18">
            <v>53.640999999999998</v>
          </cell>
        </row>
        <row r="19">
          <cell r="A19">
            <v>17</v>
          </cell>
          <cell r="B19">
            <v>39.997</v>
          </cell>
          <cell r="C19">
            <v>38.426000000000002</v>
          </cell>
        </row>
        <row r="20">
          <cell r="A20">
            <v>18</v>
          </cell>
          <cell r="B20">
            <v>54.111999999999902</v>
          </cell>
          <cell r="C20">
            <v>59.884</v>
          </cell>
        </row>
        <row r="21">
          <cell r="A21">
            <v>19</v>
          </cell>
          <cell r="B21">
            <v>56.759</v>
          </cell>
          <cell r="C21">
            <v>65.186999999999998</v>
          </cell>
        </row>
        <row r="22">
          <cell r="A22">
            <v>20</v>
          </cell>
          <cell r="B22">
            <v>48.362000000000002</v>
          </cell>
          <cell r="C22">
            <v>37.238</v>
          </cell>
        </row>
        <row r="23">
          <cell r="A23">
            <v>21</v>
          </cell>
          <cell r="B23">
            <v>67.418999999999997</v>
          </cell>
          <cell r="C23">
            <v>64.302999999999997</v>
          </cell>
        </row>
        <row r="24">
          <cell r="A24">
            <v>22</v>
          </cell>
          <cell r="B24">
            <v>53.61</v>
          </cell>
          <cell r="C24">
            <v>61.463000000000001</v>
          </cell>
        </row>
        <row r="25">
          <cell r="A25">
            <v>23</v>
          </cell>
          <cell r="B25">
            <v>54.612000000000002</v>
          </cell>
          <cell r="C25">
            <v>63.2</v>
          </cell>
        </row>
        <row r="26">
          <cell r="A26">
            <v>24</v>
          </cell>
          <cell r="B26">
            <v>52.727999999999902</v>
          </cell>
          <cell r="C26">
            <v>52.491999999999997</v>
          </cell>
        </row>
        <row r="27">
          <cell r="A27">
            <v>25</v>
          </cell>
          <cell r="B27">
            <v>55.028999999999897</v>
          </cell>
          <cell r="C27">
            <v>62.468000000000004</v>
          </cell>
        </row>
        <row r="28">
          <cell r="A28">
            <v>26</v>
          </cell>
          <cell r="B28">
            <v>35.656999999999996</v>
          </cell>
          <cell r="C28">
            <v>68.096999999999994</v>
          </cell>
        </row>
        <row r="29">
          <cell r="A29">
            <v>27</v>
          </cell>
          <cell r="B29">
            <v>46.534999999999997</v>
          </cell>
          <cell r="C29">
            <v>58.622</v>
          </cell>
        </row>
        <row r="30">
          <cell r="A30">
            <v>28</v>
          </cell>
          <cell r="B30">
            <v>51.614999999999903</v>
          </cell>
          <cell r="C30">
            <v>52.03</v>
          </cell>
        </row>
        <row r="31">
          <cell r="A31">
            <v>29</v>
          </cell>
          <cell r="B31">
            <v>42.033000000000001</v>
          </cell>
          <cell r="C31">
            <v>54.941000000000003</v>
          </cell>
        </row>
        <row r="32">
          <cell r="A32">
            <v>30</v>
          </cell>
          <cell r="B32">
            <v>33.063000000000002</v>
          </cell>
          <cell r="C32">
            <v>62.012</v>
          </cell>
        </row>
        <row r="33">
          <cell r="A33">
            <v>31</v>
          </cell>
          <cell r="B33">
            <v>54.777999999999999</v>
          </cell>
          <cell r="C33">
            <v>49.406999999999996</v>
          </cell>
        </row>
        <row r="34">
          <cell r="A34">
            <v>32</v>
          </cell>
          <cell r="B34">
            <v>75.287000000000006</v>
          </cell>
          <cell r="C34">
            <v>67.346999999999994</v>
          </cell>
        </row>
        <row r="35">
          <cell r="A35">
            <v>33</v>
          </cell>
          <cell r="B35">
            <v>67.757000000000005</v>
          </cell>
          <cell r="C35">
            <v>53.082999999999998</v>
          </cell>
        </row>
        <row r="36">
          <cell r="A36">
            <v>34</v>
          </cell>
          <cell r="B36">
            <v>50.144999999999897</v>
          </cell>
          <cell r="C36">
            <v>63.4329999999999</v>
          </cell>
        </row>
        <row r="37">
          <cell r="A37">
            <v>35</v>
          </cell>
          <cell r="B37">
            <v>40.685000000000002</v>
          </cell>
          <cell r="C37">
            <v>51.186999999999998</v>
          </cell>
        </row>
        <row r="38">
          <cell r="A38">
            <v>36</v>
          </cell>
          <cell r="B38">
            <v>47.204999999999998</v>
          </cell>
          <cell r="C38">
            <v>67.090999999999994</v>
          </cell>
        </row>
        <row r="39">
          <cell r="A39">
            <v>37</v>
          </cell>
          <cell r="B39">
            <v>57.637999999999998</v>
          </cell>
          <cell r="C39">
            <v>51.634999999999998</v>
          </cell>
        </row>
        <row r="40">
          <cell r="A40">
            <v>38</v>
          </cell>
          <cell r="B40">
            <v>65.686999999999998</v>
          </cell>
          <cell r="C40">
            <v>61.048000000000002</v>
          </cell>
        </row>
        <row r="41">
          <cell r="A41">
            <v>39</v>
          </cell>
          <cell r="B41">
            <v>58.192</v>
          </cell>
          <cell r="C41">
            <v>98.889999999999901</v>
          </cell>
        </row>
        <row r="42">
          <cell r="A42">
            <v>40</v>
          </cell>
          <cell r="B42">
            <v>32.423000000000002</v>
          </cell>
          <cell r="C42">
            <v>57.741</v>
          </cell>
        </row>
        <row r="43">
          <cell r="A43">
            <v>41</v>
          </cell>
          <cell r="B43">
            <v>54.959000000000003</v>
          </cell>
          <cell r="C43">
            <v>95.522999999999996</v>
          </cell>
        </row>
        <row r="44">
          <cell r="A44">
            <v>42</v>
          </cell>
          <cell r="B44">
            <v>71.900000000000006</v>
          </cell>
          <cell r="C44">
            <v>63.231999999999999</v>
          </cell>
        </row>
        <row r="45">
          <cell r="A45">
            <v>43</v>
          </cell>
          <cell r="B45">
            <v>49.841999999999999</v>
          </cell>
          <cell r="C45">
            <v>28.984999999999999</v>
          </cell>
        </row>
        <row r="46">
          <cell r="A46">
            <v>44</v>
          </cell>
          <cell r="B46">
            <v>87.317999999999998</v>
          </cell>
          <cell r="C46">
            <v>59.167000000000002</v>
          </cell>
        </row>
        <row r="47">
          <cell r="A47">
            <v>45</v>
          </cell>
          <cell r="B47">
            <v>37.875999999999998</v>
          </cell>
          <cell r="C47">
            <v>49.8</v>
          </cell>
        </row>
        <row r="48">
          <cell r="A48">
            <v>46</v>
          </cell>
          <cell r="B48">
            <v>82.418999999999997</v>
          </cell>
          <cell r="C48">
            <v>95.962000000000003</v>
          </cell>
        </row>
        <row r="49">
          <cell r="A49">
            <v>47</v>
          </cell>
          <cell r="B49">
            <v>98.447999999999993</v>
          </cell>
          <cell r="C49">
            <v>75.323999999999998</v>
          </cell>
        </row>
        <row r="50">
          <cell r="A50">
            <v>48</v>
          </cell>
          <cell r="B50">
            <v>82.046999999999997</v>
          </cell>
          <cell r="C50">
            <v>101.73</v>
          </cell>
        </row>
        <row r="51">
          <cell r="A51">
            <v>49</v>
          </cell>
          <cell r="B51">
            <v>97.218999999999994</v>
          </cell>
          <cell r="C51">
            <v>94.216999999999999</v>
          </cell>
        </row>
        <row r="52">
          <cell r="A52">
            <v>50</v>
          </cell>
          <cell r="B52">
            <v>98.456999999999994</v>
          </cell>
          <cell r="C52">
            <v>99.754999999999995</v>
          </cell>
        </row>
        <row r="53">
          <cell r="A53">
            <v>51</v>
          </cell>
          <cell r="B53">
            <v>94.16</v>
          </cell>
          <cell r="C53">
            <v>102.102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end_energy_maiduguri"/>
    </sheetNames>
    <sheetDataSet>
      <sheetData sheetId="0">
        <row r="1">
          <cell r="B1" t="str">
            <v>Saturday</v>
          </cell>
          <cell r="C1" t="str">
            <v>Sunday</v>
          </cell>
        </row>
        <row r="2">
          <cell r="A2">
            <v>0</v>
          </cell>
          <cell r="B2">
            <v>82.807000000000002</v>
          </cell>
          <cell r="C2">
            <v>113.16500000000001</v>
          </cell>
        </row>
        <row r="3">
          <cell r="A3">
            <v>1</v>
          </cell>
          <cell r="B3">
            <v>116.456</v>
          </cell>
          <cell r="C3">
            <v>114.79900000000001</v>
          </cell>
        </row>
        <row r="4">
          <cell r="A4">
            <v>2</v>
          </cell>
          <cell r="B4">
            <v>121.172</v>
          </cell>
          <cell r="C4">
            <v>115.96899999999999</v>
          </cell>
        </row>
        <row r="5">
          <cell r="A5">
            <v>3</v>
          </cell>
          <cell r="B5">
            <v>108.36</v>
          </cell>
          <cell r="C5">
            <v>111.693</v>
          </cell>
        </row>
        <row r="6">
          <cell r="A6">
            <v>4</v>
          </cell>
          <cell r="B6">
            <v>111.84699999999999</v>
          </cell>
          <cell r="C6">
            <v>100.545999999999</v>
          </cell>
        </row>
        <row r="7">
          <cell r="A7">
            <v>5</v>
          </cell>
          <cell r="B7">
            <v>111.303</v>
          </cell>
          <cell r="C7">
            <v>111.44799999999999</v>
          </cell>
        </row>
        <row r="8">
          <cell r="A8">
            <v>6</v>
          </cell>
          <cell r="B8">
            <v>91.125</v>
          </cell>
          <cell r="C8">
            <v>105.91800000000001</v>
          </cell>
        </row>
        <row r="9">
          <cell r="A9">
            <v>7</v>
          </cell>
          <cell r="B9">
            <v>84.519000000000005</v>
          </cell>
          <cell r="C9">
            <v>100.228999999999</v>
          </cell>
        </row>
        <row r="10">
          <cell r="A10">
            <v>8</v>
          </cell>
          <cell r="B10">
            <v>98.138999999999996</v>
          </cell>
          <cell r="C10">
            <v>64.919999999999902</v>
          </cell>
        </row>
        <row r="11">
          <cell r="A11">
            <v>9</v>
          </cell>
          <cell r="B11">
            <v>101.727</v>
          </cell>
          <cell r="C11">
            <v>103.02200000000001</v>
          </cell>
        </row>
        <row r="12">
          <cell r="A12">
            <v>10</v>
          </cell>
          <cell r="B12">
            <v>88.568999999999903</v>
          </cell>
          <cell r="C12">
            <v>97.492999999999995</v>
          </cell>
        </row>
        <row r="13">
          <cell r="A13">
            <v>11</v>
          </cell>
          <cell r="B13">
            <v>98.480999999999995</v>
          </cell>
          <cell r="C13">
            <v>96.36</v>
          </cell>
        </row>
        <row r="14">
          <cell r="A14">
            <v>12</v>
          </cell>
          <cell r="B14">
            <v>97.528000000000006</v>
          </cell>
          <cell r="C14">
            <v>101.577</v>
          </cell>
        </row>
        <row r="15">
          <cell r="A15">
            <v>13</v>
          </cell>
          <cell r="B15">
            <v>98.998999999999995</v>
          </cell>
          <cell r="C15">
            <v>97.474999999999994</v>
          </cell>
        </row>
        <row r="16">
          <cell r="A16">
            <v>14</v>
          </cell>
          <cell r="B16">
            <v>86.622</v>
          </cell>
          <cell r="C16">
            <v>81.932999999999893</v>
          </cell>
        </row>
        <row r="17">
          <cell r="A17">
            <v>15</v>
          </cell>
          <cell r="B17">
            <v>77.308999999999997</v>
          </cell>
          <cell r="C17">
            <v>73.695999999999998</v>
          </cell>
        </row>
        <row r="18">
          <cell r="A18">
            <v>16</v>
          </cell>
          <cell r="B18">
            <v>90.488</v>
          </cell>
          <cell r="C18">
            <v>85.555000000000007</v>
          </cell>
        </row>
        <row r="19">
          <cell r="A19">
            <v>17</v>
          </cell>
          <cell r="B19">
            <v>71.204999999999998</v>
          </cell>
          <cell r="C19">
            <v>81.667000000000002</v>
          </cell>
        </row>
        <row r="20">
          <cell r="A20">
            <v>18</v>
          </cell>
          <cell r="B20">
            <v>71.882999999999996</v>
          </cell>
          <cell r="C20">
            <v>78.105000000000004</v>
          </cell>
        </row>
        <row r="21">
          <cell r="A21">
            <v>19</v>
          </cell>
          <cell r="B21">
            <v>73.784999999999997</v>
          </cell>
          <cell r="C21">
            <v>78.302999999999997</v>
          </cell>
        </row>
        <row r="22">
          <cell r="A22">
            <v>20</v>
          </cell>
          <cell r="B22">
            <v>81.585999999999999</v>
          </cell>
          <cell r="C22">
            <v>75.914999999999907</v>
          </cell>
        </row>
        <row r="23">
          <cell r="A23">
            <v>21</v>
          </cell>
          <cell r="B23">
            <v>59.851999999999997</v>
          </cell>
          <cell r="C23">
            <v>69.123999999999995</v>
          </cell>
        </row>
        <row r="24">
          <cell r="A24">
            <v>22</v>
          </cell>
          <cell r="B24">
            <v>68.415999999999997</v>
          </cell>
          <cell r="C24">
            <v>51.972000000000001</v>
          </cell>
        </row>
        <row r="25">
          <cell r="A25">
            <v>23</v>
          </cell>
          <cell r="B25">
            <v>75.751000000000005</v>
          </cell>
          <cell r="C25">
            <v>75.926999999999893</v>
          </cell>
        </row>
        <row r="26">
          <cell r="A26">
            <v>24</v>
          </cell>
          <cell r="B26">
            <v>70.975999999999999</v>
          </cell>
          <cell r="C26">
            <v>62.360999999999898</v>
          </cell>
        </row>
        <row r="27">
          <cell r="A27">
            <v>25</v>
          </cell>
          <cell r="B27">
            <v>75.856999999999999</v>
          </cell>
          <cell r="C27">
            <v>67.143000000000001</v>
          </cell>
        </row>
        <row r="28">
          <cell r="A28">
            <v>26</v>
          </cell>
          <cell r="B28">
            <v>68.313000000000002</v>
          </cell>
          <cell r="C28">
            <v>71.387</v>
          </cell>
        </row>
        <row r="29">
          <cell r="A29">
            <v>27</v>
          </cell>
          <cell r="B29">
            <v>66.119</v>
          </cell>
          <cell r="C29">
            <v>79.385999999999996</v>
          </cell>
        </row>
        <row r="30">
          <cell r="A30">
            <v>28</v>
          </cell>
          <cell r="B30">
            <v>52.994999999999997</v>
          </cell>
          <cell r="C30">
            <v>70.597999999999999</v>
          </cell>
        </row>
        <row r="31">
          <cell r="A31">
            <v>29</v>
          </cell>
          <cell r="B31">
            <v>72.751999999999995</v>
          </cell>
          <cell r="C31">
            <v>46.146999999999998</v>
          </cell>
        </row>
        <row r="32">
          <cell r="A32">
            <v>30</v>
          </cell>
          <cell r="B32">
            <v>74.402000000000001</v>
          </cell>
          <cell r="C32">
            <v>43.823999999999998</v>
          </cell>
        </row>
        <row r="33">
          <cell r="A33">
            <v>31</v>
          </cell>
          <cell r="B33">
            <v>67.515999999999906</v>
          </cell>
          <cell r="C33">
            <v>65.716999999999999</v>
          </cell>
        </row>
        <row r="34">
          <cell r="A34">
            <v>32</v>
          </cell>
          <cell r="B34">
            <v>64.888000000000005</v>
          </cell>
          <cell r="C34">
            <v>61.896999999999998</v>
          </cell>
        </row>
        <row r="35">
          <cell r="A35">
            <v>33</v>
          </cell>
          <cell r="B35">
            <v>54.069000000000003</v>
          </cell>
          <cell r="C35">
            <v>56.302</v>
          </cell>
        </row>
        <row r="36">
          <cell r="A36">
            <v>34</v>
          </cell>
          <cell r="B36">
            <v>85.168999999999997</v>
          </cell>
          <cell r="C36">
            <v>57.692999999999998</v>
          </cell>
        </row>
        <row r="37">
          <cell r="A37">
            <v>35</v>
          </cell>
          <cell r="B37">
            <v>88.888000000000005</v>
          </cell>
          <cell r="C37">
            <v>86.828999999999994</v>
          </cell>
        </row>
        <row r="38">
          <cell r="A38">
            <v>36</v>
          </cell>
          <cell r="B38">
            <v>78.826999999999998</v>
          </cell>
          <cell r="C38">
            <v>63.765000000000001</v>
          </cell>
        </row>
        <row r="39">
          <cell r="A39">
            <v>37</v>
          </cell>
          <cell r="B39">
            <v>93.781999999999996</v>
          </cell>
          <cell r="C39">
            <v>90.007999999999996</v>
          </cell>
        </row>
        <row r="40">
          <cell r="A40">
            <v>38</v>
          </cell>
          <cell r="B40">
            <v>71.204999999999998</v>
          </cell>
          <cell r="C40">
            <v>79.519000000000005</v>
          </cell>
        </row>
        <row r="41">
          <cell r="A41">
            <v>39</v>
          </cell>
          <cell r="B41">
            <v>94.162000000000006</v>
          </cell>
          <cell r="C41">
            <v>60.646000000000001</v>
          </cell>
        </row>
        <row r="42">
          <cell r="A42">
            <v>40</v>
          </cell>
          <cell r="B42">
            <v>98.335999999999999</v>
          </cell>
          <cell r="C42">
            <v>82.131</v>
          </cell>
        </row>
        <row r="43">
          <cell r="A43">
            <v>41</v>
          </cell>
          <cell r="B43">
            <v>67.209999999999994</v>
          </cell>
          <cell r="C43">
            <v>56.654000000000003</v>
          </cell>
        </row>
        <row r="44">
          <cell r="A44">
            <v>42</v>
          </cell>
          <cell r="B44">
            <v>56.351999999999997</v>
          </cell>
          <cell r="C44">
            <v>52.069000000000003</v>
          </cell>
        </row>
        <row r="45">
          <cell r="A45">
            <v>43</v>
          </cell>
          <cell r="B45">
            <v>115.572</v>
          </cell>
          <cell r="C45">
            <v>94.686000000000007</v>
          </cell>
        </row>
        <row r="46">
          <cell r="A46">
            <v>44</v>
          </cell>
          <cell r="B46">
            <v>115.581</v>
          </cell>
          <cell r="C46">
            <v>112.568</v>
          </cell>
        </row>
        <row r="47">
          <cell r="A47">
            <v>45</v>
          </cell>
          <cell r="B47">
            <v>108.70099999999999</v>
          </cell>
          <cell r="C47">
            <v>113.905</v>
          </cell>
        </row>
        <row r="48">
          <cell r="A48">
            <v>46</v>
          </cell>
          <cell r="B48">
            <v>107.589</v>
          </cell>
          <cell r="C48">
            <v>114.479</v>
          </cell>
        </row>
        <row r="49">
          <cell r="A49">
            <v>47</v>
          </cell>
          <cell r="B49">
            <v>107.98699999999999</v>
          </cell>
          <cell r="C49">
            <v>117.334</v>
          </cell>
        </row>
        <row r="50">
          <cell r="A50">
            <v>48</v>
          </cell>
          <cell r="B50">
            <v>123.95699999999999</v>
          </cell>
          <cell r="C50">
            <v>121.831</v>
          </cell>
        </row>
        <row r="51">
          <cell r="A51">
            <v>49</v>
          </cell>
          <cell r="B51">
            <v>98.775999999999996</v>
          </cell>
          <cell r="C51">
            <v>110.366</v>
          </cell>
        </row>
        <row r="52">
          <cell r="A52">
            <v>50</v>
          </cell>
          <cell r="B52">
            <v>119.724</v>
          </cell>
          <cell r="C52">
            <v>120.602</v>
          </cell>
        </row>
        <row r="53">
          <cell r="A53">
            <v>51</v>
          </cell>
          <cell r="B53">
            <v>119.681</v>
          </cell>
          <cell r="C53">
            <v>121.462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day consumption"/>
      <sheetName val="Weekdays Assumptions"/>
      <sheetName val="Weekend consumption"/>
      <sheetName val="Weekend assumptions"/>
      <sheetName val="Secondary load consumption"/>
      <sheetName val="Secondary load assumptions"/>
      <sheetName val="Monthly demand profile"/>
      <sheetName val="Total weekend hourly demand"/>
      <sheetName val="Sheet1"/>
      <sheetName val="Sheet2"/>
      <sheetName val="Daily storage requirement"/>
      <sheetName val="Worst month"/>
      <sheetName val="Daily generation"/>
    </sheetNames>
    <sheetDataSet>
      <sheetData sheetId="0"/>
      <sheetData sheetId="1"/>
      <sheetData sheetId="2"/>
      <sheetData sheetId="3"/>
      <sheetData sheetId="4"/>
      <sheetData sheetId="5">
        <row r="16">
          <cell r="J16">
            <v>2.3096000000000001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topLeftCell="A22" zoomScale="60" zoomScaleNormal="60" workbookViewId="0">
      <selection activeCell="C29" sqref="C29"/>
    </sheetView>
  </sheetViews>
  <sheetFormatPr defaultColWidth="9.140625" defaultRowHeight="15" x14ac:dyDescent="0.25"/>
  <cols>
    <col min="1" max="1" width="9.140625" style="1"/>
    <col min="2" max="2" width="39.42578125" style="1" customWidth="1"/>
    <col min="3" max="3" width="16" style="1" customWidth="1"/>
    <col min="4" max="4" width="17.28515625" style="1" customWidth="1"/>
    <col min="5" max="5" width="25.85546875" style="1" customWidth="1"/>
    <col min="6" max="6" width="16.28515625" style="1" customWidth="1"/>
    <col min="7" max="7" width="23.7109375" style="1" customWidth="1"/>
    <col min="8" max="8" width="14.28515625" style="1" bestFit="1" customWidth="1"/>
    <col min="9" max="9" width="26.42578125" style="1" bestFit="1" customWidth="1"/>
    <col min="10" max="16384" width="9.140625" style="1"/>
  </cols>
  <sheetData>
    <row r="1" spans="1:13" ht="15.75" x14ac:dyDescent="0.25">
      <c r="A1" s="1" t="s">
        <v>69</v>
      </c>
      <c r="G1" s="5"/>
      <c r="H1" s="14"/>
    </row>
    <row r="2" spans="1:13" x14ac:dyDescent="0.25">
      <c r="B2" s="76" t="s">
        <v>73</v>
      </c>
      <c r="C2" s="76"/>
      <c r="D2" s="76"/>
      <c r="E2" s="76"/>
    </row>
    <row r="3" spans="1:13" x14ac:dyDescent="0.25">
      <c r="A3" s="1" t="s">
        <v>70</v>
      </c>
      <c r="B3" s="75" t="s">
        <v>109</v>
      </c>
      <c r="C3" s="75"/>
      <c r="D3" s="75"/>
    </row>
    <row r="4" spans="1:13" x14ac:dyDescent="0.25">
      <c r="A4" s="1" t="s">
        <v>71</v>
      </c>
      <c r="B4" s="75" t="s">
        <v>82</v>
      </c>
      <c r="C4" s="75"/>
      <c r="D4" s="75"/>
      <c r="J4" s="15"/>
    </row>
    <row r="5" spans="1:13" x14ac:dyDescent="0.25">
      <c r="A5" s="1" t="s">
        <v>72</v>
      </c>
      <c r="B5" s="75" t="s">
        <v>110</v>
      </c>
      <c r="C5" s="75"/>
      <c r="D5" s="75"/>
      <c r="J5" s="16"/>
      <c r="L5" s="17"/>
      <c r="M5" s="15"/>
    </row>
    <row r="6" spans="1:13" x14ac:dyDescent="0.25">
      <c r="C6" s="16"/>
      <c r="D6" s="15"/>
      <c r="J6" s="16"/>
      <c r="L6" s="15"/>
      <c r="M6" s="15"/>
    </row>
    <row r="7" spans="1:13" x14ac:dyDescent="0.25">
      <c r="B7" s="2" t="s">
        <v>80</v>
      </c>
      <c r="C7" s="2" t="s">
        <v>289</v>
      </c>
      <c r="H7" s="16"/>
      <c r="I7" s="15"/>
      <c r="J7" s="16"/>
    </row>
    <row r="8" spans="1:13" x14ac:dyDescent="0.25">
      <c r="H8" s="16"/>
      <c r="I8" s="15"/>
      <c r="J8" s="16"/>
    </row>
    <row r="9" spans="1:13" x14ac:dyDescent="0.25">
      <c r="B9" s="2" t="s">
        <v>83</v>
      </c>
      <c r="C9" s="2" t="s">
        <v>68</v>
      </c>
      <c r="D9" s="9" t="s">
        <v>0</v>
      </c>
      <c r="E9" s="9"/>
      <c r="H9" s="16"/>
      <c r="I9" s="15"/>
      <c r="J9" s="16"/>
    </row>
    <row r="10" spans="1:13" x14ac:dyDescent="0.25">
      <c r="B10" s="1" t="s">
        <v>74</v>
      </c>
      <c r="C10" s="13">
        <v>1</v>
      </c>
      <c r="D10" s="1">
        <f>C10*415</f>
        <v>415</v>
      </c>
      <c r="I10" s="15"/>
      <c r="J10" s="16"/>
    </row>
    <row r="11" spans="1:13" x14ac:dyDescent="0.25">
      <c r="C11" s="2"/>
    </row>
    <row r="12" spans="1:13" x14ac:dyDescent="0.25">
      <c r="B12" s="2" t="s">
        <v>1</v>
      </c>
      <c r="I12" s="73"/>
      <c r="J12" s="73"/>
    </row>
    <row r="13" spans="1:13" x14ac:dyDescent="0.25">
      <c r="B13" s="1" t="s">
        <v>65</v>
      </c>
      <c r="C13" s="28">
        <f>D13/415</f>
        <v>240.96385542168676</v>
      </c>
      <c r="D13" s="5">
        <v>100000</v>
      </c>
      <c r="G13" s="2"/>
      <c r="I13" s="74"/>
      <c r="J13" s="74"/>
    </row>
    <row r="14" spans="1:13" x14ac:dyDescent="0.25">
      <c r="B14" s="1" t="s">
        <v>75</v>
      </c>
      <c r="C14" s="4">
        <f>D14/415</f>
        <v>57.831325301204821</v>
      </c>
      <c r="D14" s="5">
        <v>24000</v>
      </c>
      <c r="G14" s="2"/>
    </row>
    <row r="15" spans="1:13" x14ac:dyDescent="0.25">
      <c r="B15" s="2" t="s">
        <v>14</v>
      </c>
      <c r="C15" s="9">
        <f>SUM(C13:C14)</f>
        <v>298.79518072289159</v>
      </c>
      <c r="D15" s="9">
        <f>SUM(D13:D14)</f>
        <v>124000</v>
      </c>
    </row>
    <row r="16" spans="1:13" x14ac:dyDescent="0.25">
      <c r="G16" s="4"/>
    </row>
    <row r="18" spans="2:16" x14ac:dyDescent="0.25">
      <c r="B18" s="2" t="s">
        <v>56</v>
      </c>
      <c r="E18" s="2" t="s">
        <v>3</v>
      </c>
    </row>
    <row r="19" spans="2:16" x14ac:dyDescent="0.25">
      <c r="B19" s="1" t="s">
        <v>76</v>
      </c>
      <c r="C19" s="4">
        <f>'BOM Smart sequential loader'!G96</f>
        <v>595.87248000000034</v>
      </c>
      <c r="D19" s="66">
        <f>C19*D10</f>
        <v>247287.07920000015</v>
      </c>
      <c r="E19" s="1" t="s">
        <v>67</v>
      </c>
      <c r="F19" s="3">
        <v>0.05</v>
      </c>
    </row>
    <row r="20" spans="2:16" x14ac:dyDescent="0.25">
      <c r="C20" s="7">
        <f>SUM(C19:C19)</f>
        <v>595.87248000000034</v>
      </c>
      <c r="D20" s="7">
        <f>SUM(D19:D19)</f>
        <v>247287.07920000015</v>
      </c>
      <c r="E20" s="1" t="s">
        <v>108</v>
      </c>
      <c r="F20" s="3">
        <v>0.05</v>
      </c>
    </row>
    <row r="21" spans="2:16" x14ac:dyDescent="0.25">
      <c r="E21" s="2"/>
      <c r="F21" s="9"/>
    </row>
    <row r="24" spans="2:16" x14ac:dyDescent="0.25">
      <c r="B24" t="s">
        <v>84</v>
      </c>
      <c r="C24">
        <v>20</v>
      </c>
      <c r="D24" t="s">
        <v>85</v>
      </c>
      <c r="E24"/>
      <c r="F24"/>
      <c r="H24"/>
      <c r="I24"/>
      <c r="J24"/>
      <c r="K24"/>
      <c r="L24"/>
      <c r="M24"/>
      <c r="N24"/>
      <c r="O24"/>
      <c r="P24"/>
    </row>
    <row r="25" spans="2:16" x14ac:dyDescent="0.25">
      <c r="B25" t="s">
        <v>101</v>
      </c>
      <c r="C25">
        <f>C24*24*0.192</f>
        <v>92.16</v>
      </c>
      <c r="D25" t="s">
        <v>86</v>
      </c>
      <c r="E25"/>
      <c r="F25"/>
      <c r="H25"/>
      <c r="I25"/>
      <c r="J25"/>
      <c r="K25"/>
      <c r="L25"/>
      <c r="M25"/>
      <c r="N25"/>
      <c r="O25"/>
      <c r="P25"/>
    </row>
    <row r="26" spans="2:16" x14ac:dyDescent="0.25">
      <c r="B26" t="s">
        <v>102</v>
      </c>
      <c r="C26">
        <f>C25*7</f>
        <v>645.12</v>
      </c>
      <c r="D26" t="s">
        <v>86</v>
      </c>
      <c r="E26"/>
      <c r="F26"/>
      <c r="H26"/>
      <c r="I26"/>
      <c r="J26"/>
      <c r="K26"/>
      <c r="L26"/>
      <c r="M26"/>
      <c r="N26"/>
      <c r="O26"/>
      <c r="P26"/>
    </row>
    <row r="27" spans="2:16" x14ac:dyDescent="0.25">
      <c r="B27" t="s">
        <v>103</v>
      </c>
      <c r="C27">
        <f>2/7*C26</f>
        <v>184.32</v>
      </c>
      <c r="D27" t="s">
        <v>86</v>
      </c>
      <c r="E27" t="s">
        <v>87</v>
      </c>
      <c r="F27"/>
      <c r="G27"/>
      <c r="H27"/>
      <c r="I27"/>
      <c r="J27"/>
      <c r="K27"/>
      <c r="L27"/>
      <c r="M27"/>
      <c r="N27"/>
      <c r="O27"/>
      <c r="P27"/>
    </row>
    <row r="28" spans="2:16" x14ac:dyDescent="0.25">
      <c r="B28" t="s">
        <v>343</v>
      </c>
      <c r="C28">
        <f>C27*52</f>
        <v>9584.64</v>
      </c>
      <c r="D28" t="s">
        <v>86</v>
      </c>
      <c r="E28"/>
      <c r="F28"/>
      <c r="G28"/>
      <c r="H28"/>
      <c r="I28"/>
      <c r="J28"/>
      <c r="K28"/>
      <c r="L28"/>
      <c r="M28"/>
      <c r="N28"/>
      <c r="O28"/>
      <c r="P28"/>
    </row>
    <row r="29" spans="2:16" x14ac:dyDescent="0.25">
      <c r="B29" t="s">
        <v>344</v>
      </c>
      <c r="C29">
        <f>E29*C27</f>
        <v>92.16</v>
      </c>
      <c r="D29" t="s">
        <v>86</v>
      </c>
      <c r="E29" s="25">
        <v>0.5</v>
      </c>
      <c r="F29" t="s">
        <v>126</v>
      </c>
      <c r="G29">
        <f>C29/5</f>
        <v>18.431999999999999</v>
      </c>
      <c r="H29"/>
      <c r="I29"/>
      <c r="J29"/>
      <c r="K29"/>
      <c r="L29" t="s">
        <v>88</v>
      </c>
      <c r="M29"/>
      <c r="N29"/>
      <c r="O29"/>
      <c r="P29"/>
    </row>
    <row r="30" spans="2:16" x14ac:dyDescent="0.25">
      <c r="B30" t="s">
        <v>89</v>
      </c>
      <c r="C30">
        <f>C35*C29</f>
        <v>46.08</v>
      </c>
      <c r="D30">
        <f>C30*415</f>
        <v>19123.2</v>
      </c>
      <c r="F30"/>
      <c r="G30">
        <f>G29/24</f>
        <v>0.7679999999999999</v>
      </c>
      <c r="H30"/>
      <c r="I30"/>
      <c r="J30"/>
      <c r="K30" t="s">
        <v>91</v>
      </c>
      <c r="L30"/>
      <c r="M30"/>
      <c r="N30"/>
      <c r="O30"/>
      <c r="P30"/>
    </row>
    <row r="31" spans="2:16" x14ac:dyDescent="0.25">
      <c r="B31" t="s">
        <v>92</v>
      </c>
      <c r="C31">
        <f>C30*4</f>
        <v>184.32</v>
      </c>
      <c r="D31">
        <f>C31*415</f>
        <v>76492.800000000003</v>
      </c>
      <c r="F31"/>
      <c r="G31"/>
      <c r="H31"/>
      <c r="I31"/>
      <c r="J31"/>
      <c r="K31"/>
      <c r="L31">
        <f>2000/415</f>
        <v>4.8192771084337354</v>
      </c>
      <c r="M31"/>
      <c r="N31"/>
      <c r="O31"/>
      <c r="P31"/>
    </row>
    <row r="32" spans="2:16" x14ac:dyDescent="0.25">
      <c r="B32" t="s">
        <v>93</v>
      </c>
      <c r="C32">
        <f>C31*12</f>
        <v>2211.84</v>
      </c>
      <c r="D32">
        <f>C32*415</f>
        <v>917913.60000000009</v>
      </c>
      <c r="F32"/>
      <c r="G32"/>
      <c r="H32"/>
      <c r="I32"/>
      <c r="J32"/>
      <c r="K32"/>
      <c r="L32">
        <f>L31/30</f>
        <v>0.16064257028112452</v>
      </c>
      <c r="M32"/>
      <c r="N32"/>
      <c r="O32"/>
      <c r="P32"/>
    </row>
    <row r="33" spans="2:16" x14ac:dyDescent="0.25">
      <c r="B33" t="s">
        <v>95</v>
      </c>
      <c r="C33" s="1">
        <f>D33/415</f>
        <v>21686.746987951807</v>
      </c>
      <c r="D33">
        <v>9000000</v>
      </c>
      <c r="F33" s="18"/>
      <c r="G33"/>
      <c r="H33"/>
      <c r="I33"/>
      <c r="J33"/>
      <c r="K33"/>
      <c r="L33"/>
      <c r="M33"/>
      <c r="N33"/>
      <c r="O33"/>
      <c r="P33"/>
    </row>
    <row r="34" spans="2:16" x14ac:dyDescent="0.25">
      <c r="B34" t="s">
        <v>105</v>
      </c>
      <c r="C34">
        <f>D32/D33*100</f>
        <v>10.19904</v>
      </c>
      <c r="D34" s="18" t="s">
        <v>104</v>
      </c>
      <c r="E34"/>
      <c r="F34"/>
      <c r="G34"/>
      <c r="H34"/>
      <c r="I34"/>
      <c r="J34"/>
      <c r="K34"/>
      <c r="L34"/>
      <c r="M34"/>
      <c r="N34"/>
      <c r="O34"/>
      <c r="P34"/>
    </row>
    <row r="35" spans="2:16" x14ac:dyDescent="0.25">
      <c r="B35" t="s">
        <v>125</v>
      </c>
      <c r="C35">
        <v>0.5</v>
      </c>
      <c r="D35"/>
      <c r="E35"/>
      <c r="F35"/>
      <c r="G35"/>
      <c r="H35"/>
      <c r="I35"/>
      <c r="J35"/>
      <c r="K35"/>
      <c r="L35"/>
      <c r="M35"/>
      <c r="N35" t="s">
        <v>96</v>
      </c>
      <c r="O35"/>
      <c r="P35"/>
    </row>
    <row r="36" spans="2:16" x14ac:dyDescent="0.25">
      <c r="B36" t="s">
        <v>346</v>
      </c>
      <c r="C36">
        <v>0.39</v>
      </c>
      <c r="D36" t="s">
        <v>90</v>
      </c>
      <c r="E36" t="s">
        <v>347</v>
      </c>
      <c r="F36"/>
      <c r="G36"/>
      <c r="H36"/>
      <c r="I36"/>
      <c r="J36"/>
      <c r="K36"/>
      <c r="L36"/>
      <c r="M36"/>
      <c r="N36"/>
      <c r="O36"/>
      <c r="P36"/>
    </row>
    <row r="37" spans="2:16" x14ac:dyDescent="0.25">
      <c r="B37" t="s">
        <v>348</v>
      </c>
      <c r="C37">
        <f>0.39*20</f>
        <v>7.8000000000000007</v>
      </c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2:16" x14ac:dyDescent="0.25">
      <c r="B38" t="s">
        <v>132</v>
      </c>
      <c r="C38">
        <f>C37*12</f>
        <v>93.600000000000009</v>
      </c>
      <c r="D38" t="s">
        <v>90</v>
      </c>
      <c r="E38"/>
      <c r="F38"/>
      <c r="G38"/>
      <c r="H38"/>
      <c r="I38"/>
      <c r="J38"/>
      <c r="K38"/>
      <c r="L38"/>
      <c r="M38"/>
      <c r="N38"/>
      <c r="O38"/>
      <c r="P38"/>
    </row>
    <row r="39" spans="2:16" x14ac:dyDescent="0.25">
      <c r="B39" t="s">
        <v>342</v>
      </c>
      <c r="C39">
        <f>39*12</f>
        <v>468</v>
      </c>
      <c r="D39" t="s">
        <v>90</v>
      </c>
      <c r="E39"/>
      <c r="F39"/>
      <c r="G39"/>
      <c r="H39"/>
      <c r="I39"/>
      <c r="J39"/>
      <c r="K39"/>
      <c r="L39"/>
      <c r="M39"/>
      <c r="N39"/>
      <c r="O39"/>
      <c r="P39"/>
    </row>
    <row r="40" spans="2:16" x14ac:dyDescent="0.25">
      <c r="B40" t="s">
        <v>345</v>
      </c>
      <c r="C40">
        <f>SUM(C38:C39)</f>
        <v>561.6</v>
      </c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16" x14ac:dyDescent="0.25">
      <c r="B41" t="s">
        <v>133</v>
      </c>
      <c r="C41">
        <v>0</v>
      </c>
      <c r="D41" t="s">
        <v>90</v>
      </c>
      <c r="E41">
        <f>'BOM Smart sequential loader'!G103</f>
        <v>380.8</v>
      </c>
      <c r="F41"/>
      <c r="G41"/>
      <c r="H41"/>
      <c r="I41"/>
      <c r="J41"/>
      <c r="K41"/>
      <c r="L41"/>
      <c r="M41"/>
      <c r="N41"/>
      <c r="O41"/>
      <c r="P41"/>
    </row>
    <row r="42" spans="2:16" x14ac:dyDescent="0.25">
      <c r="B42" t="s">
        <v>95</v>
      </c>
      <c r="C42">
        <f>'BOM Smart sequential loader'!G96</f>
        <v>595.87248000000034</v>
      </c>
      <c r="D42" t="s">
        <v>90</v>
      </c>
      <c r="E42"/>
      <c r="F42"/>
      <c r="G42"/>
      <c r="H42" t="s">
        <v>97</v>
      </c>
      <c r="I42"/>
      <c r="J42"/>
      <c r="K42"/>
      <c r="L42"/>
      <c r="M42"/>
      <c r="N42" t="s">
        <v>350</v>
      </c>
      <c r="O42"/>
      <c r="P42"/>
    </row>
    <row r="43" spans="2:16" x14ac:dyDescent="0.25">
      <c r="B43"/>
      <c r="C43"/>
      <c r="D43" t="s">
        <v>90</v>
      </c>
      <c r="E43"/>
      <c r="F43"/>
      <c r="G43"/>
      <c r="H43"/>
      <c r="I43"/>
      <c r="J43"/>
      <c r="K43"/>
      <c r="L43"/>
      <c r="M43"/>
      <c r="N43">
        <f>300*8</f>
        <v>2400</v>
      </c>
      <c r="O43">
        <f>1000/N43*1000</f>
        <v>416.66666666666669</v>
      </c>
      <c r="P43"/>
    </row>
    <row r="44" spans="2:16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16" x14ac:dyDescent="0.25">
      <c r="B45" t="s">
        <v>94</v>
      </c>
      <c r="C45">
        <f>C43*415</f>
        <v>0</v>
      </c>
      <c r="D45"/>
      <c r="E45"/>
      <c r="F45"/>
      <c r="G45"/>
      <c r="H45"/>
      <c r="I45"/>
      <c r="J45"/>
      <c r="K45"/>
      <c r="L45"/>
      <c r="M45"/>
      <c r="N45"/>
      <c r="O45">
        <f>O43/415</f>
        <v>1.0040160642570282</v>
      </c>
      <c r="P45"/>
    </row>
    <row r="46" spans="2:16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2:16" x14ac:dyDescent="0.25">
      <c r="B47" t="s">
        <v>106</v>
      </c>
      <c r="C47">
        <f>C32-C43-C42</f>
        <v>1615.9675199999997</v>
      </c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2:16" x14ac:dyDescent="0.25">
      <c r="B48" t="s">
        <v>98</v>
      </c>
      <c r="C48">
        <f>0.6*C47</f>
        <v>969.58051199999977</v>
      </c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2:16" x14ac:dyDescent="0.25">
      <c r="B49" t="s">
        <v>99</v>
      </c>
      <c r="C49">
        <f>C47-C48</f>
        <v>646.38700799999992</v>
      </c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x14ac:dyDescent="0.25">
      <c r="B50" t="s">
        <v>100</v>
      </c>
      <c r="C50">
        <f>C49*20</f>
        <v>12927.740159999998</v>
      </c>
      <c r="D50" t="s">
        <v>107</v>
      </c>
      <c r="E50"/>
      <c r="F50"/>
      <c r="G50"/>
      <c r="H50"/>
      <c r="I50"/>
      <c r="J50"/>
      <c r="K50"/>
      <c r="L50"/>
      <c r="M50"/>
      <c r="N50"/>
      <c r="O50"/>
      <c r="P50"/>
    </row>
    <row r="51" spans="2:16" x14ac:dyDescent="0.25">
      <c r="B51" t="s">
        <v>94</v>
      </c>
      <c r="C51">
        <f>C50*415</f>
        <v>5365012.1663999986</v>
      </c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2:16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2:16" x14ac:dyDescent="0.25">
      <c r="B53" t="s">
        <v>137</v>
      </c>
      <c r="C53" s="22">
        <v>0.5</v>
      </c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2:16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2:16" x14ac:dyDescent="0.25">
      <c r="B55"/>
      <c r="C55"/>
      <c r="D55"/>
      <c r="E55"/>
      <c r="F55" s="1">
        <v>56591</v>
      </c>
      <c r="G55" s="29">
        <v>6544.1809999999996</v>
      </c>
      <c r="H55"/>
      <c r="I55"/>
      <c r="J55"/>
      <c r="K55"/>
      <c r="L55"/>
      <c r="M55"/>
      <c r="N55"/>
      <c r="O55"/>
      <c r="P55"/>
    </row>
    <row r="56" spans="2:16" x14ac:dyDescent="0.25">
      <c r="B56"/>
      <c r="C56"/>
      <c r="D56"/>
      <c r="E56"/>
      <c r="F56">
        <f>645*52</f>
        <v>33540</v>
      </c>
      <c r="G56">
        <f>C27*52</f>
        <v>9584.64</v>
      </c>
      <c r="H56"/>
      <c r="I56"/>
      <c r="J56"/>
      <c r="K56"/>
      <c r="L56"/>
      <c r="M56"/>
      <c r="N56"/>
      <c r="O56"/>
      <c r="P56"/>
    </row>
    <row r="57" spans="2:16" x14ac:dyDescent="0.25">
      <c r="B57"/>
      <c r="C57"/>
      <c r="D57"/>
      <c r="E57"/>
      <c r="F57" s="29">
        <v>22632.866000000002</v>
      </c>
      <c r="G57"/>
      <c r="H57"/>
      <c r="I57"/>
      <c r="J57"/>
      <c r="K57"/>
      <c r="L57"/>
      <c r="M57"/>
      <c r="N57"/>
      <c r="O57"/>
      <c r="P57"/>
    </row>
    <row r="58" spans="2:16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2:16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2" spans="2:16" x14ac:dyDescent="0.25">
      <c r="B62" s="2"/>
      <c r="C62" s="12"/>
    </row>
    <row r="64" spans="2:16" x14ac:dyDescent="0.25">
      <c r="B64" s="4"/>
      <c r="C64" s="4"/>
    </row>
    <row r="65" spans="2:4" x14ac:dyDescent="0.25">
      <c r="B65" s="9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C70" s="4"/>
      <c r="D70" s="4"/>
    </row>
    <row r="71" spans="2:4" x14ac:dyDescent="0.25">
      <c r="B71" s="4"/>
      <c r="C71" s="4"/>
      <c r="D71" s="4"/>
    </row>
  </sheetData>
  <mergeCells count="6">
    <mergeCell ref="I12:J12"/>
    <mergeCell ref="I13:J13"/>
    <mergeCell ref="B4:D4"/>
    <mergeCell ref="B5:D5"/>
    <mergeCell ref="B2:E2"/>
    <mergeCell ref="B3:D3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EA0D-1A8D-4AAB-B045-F63EED6DB688}">
  <dimension ref="A1:D55"/>
  <sheetViews>
    <sheetView workbookViewId="0">
      <selection activeCell="P7" sqref="P7"/>
    </sheetView>
  </sheetViews>
  <sheetFormatPr defaultColWidth="8.85546875" defaultRowHeight="15" x14ac:dyDescent="0.25"/>
  <sheetData>
    <row r="1" spans="1:4" x14ac:dyDescent="0.25">
      <c r="B1" t="s">
        <v>127</v>
      </c>
      <c r="C1" t="s">
        <v>128</v>
      </c>
      <c r="D1" t="s">
        <v>129</v>
      </c>
    </row>
    <row r="2" spans="1:4" x14ac:dyDescent="0.25">
      <c r="A2">
        <v>0</v>
      </c>
      <c r="B2">
        <v>82.807000000000002</v>
      </c>
      <c r="C2">
        <v>113.16500000000001</v>
      </c>
      <c r="D2">
        <v>195.97200000000001</v>
      </c>
    </row>
    <row r="3" spans="1:4" x14ac:dyDescent="0.25">
      <c r="A3">
        <v>1</v>
      </c>
      <c r="B3">
        <v>116.456</v>
      </c>
      <c r="C3">
        <v>114.79900000000001</v>
      </c>
      <c r="D3">
        <v>231.255</v>
      </c>
    </row>
    <row r="4" spans="1:4" x14ac:dyDescent="0.25">
      <c r="A4">
        <v>2</v>
      </c>
      <c r="B4">
        <v>121.172</v>
      </c>
      <c r="C4">
        <v>115.96899999999999</v>
      </c>
      <c r="D4">
        <v>237.14099999999999</v>
      </c>
    </row>
    <row r="5" spans="1:4" x14ac:dyDescent="0.25">
      <c r="A5">
        <v>3</v>
      </c>
      <c r="B5">
        <v>108.36</v>
      </c>
      <c r="C5">
        <v>111.693</v>
      </c>
      <c r="D5">
        <v>220.053</v>
      </c>
    </row>
    <row r="6" spans="1:4" x14ac:dyDescent="0.25">
      <c r="A6">
        <v>4</v>
      </c>
      <c r="B6">
        <v>111.84699999999999</v>
      </c>
      <c r="C6">
        <v>100.545999999999</v>
      </c>
      <c r="D6">
        <v>212.393</v>
      </c>
    </row>
    <row r="7" spans="1:4" x14ac:dyDescent="0.25">
      <c r="A7">
        <v>5</v>
      </c>
      <c r="B7">
        <v>111.303</v>
      </c>
      <c r="C7">
        <v>111.44799999999999</v>
      </c>
      <c r="D7">
        <v>222.751</v>
      </c>
    </row>
    <row r="8" spans="1:4" x14ac:dyDescent="0.25">
      <c r="A8">
        <v>6</v>
      </c>
      <c r="B8">
        <v>91.125</v>
      </c>
      <c r="C8">
        <v>105.91800000000001</v>
      </c>
      <c r="D8">
        <v>197.04300000000001</v>
      </c>
    </row>
    <row r="9" spans="1:4" x14ac:dyDescent="0.25">
      <c r="A9">
        <v>7</v>
      </c>
      <c r="B9">
        <v>84.519000000000005</v>
      </c>
      <c r="C9">
        <v>100.228999999999</v>
      </c>
      <c r="D9">
        <v>184.74799999999999</v>
      </c>
    </row>
    <row r="10" spans="1:4" x14ac:dyDescent="0.25">
      <c r="A10">
        <v>8</v>
      </c>
      <c r="B10">
        <v>98.138999999999996</v>
      </c>
      <c r="C10">
        <v>64.919999999999902</v>
      </c>
      <c r="D10">
        <v>163.059</v>
      </c>
    </row>
    <row r="11" spans="1:4" x14ac:dyDescent="0.25">
      <c r="A11">
        <v>9</v>
      </c>
      <c r="B11">
        <v>101.727</v>
      </c>
      <c r="C11">
        <v>103.02200000000001</v>
      </c>
      <c r="D11">
        <v>204.749</v>
      </c>
    </row>
    <row r="12" spans="1:4" x14ac:dyDescent="0.25">
      <c r="A12">
        <v>10</v>
      </c>
      <c r="B12">
        <v>88.568999999999903</v>
      </c>
      <c r="C12">
        <v>97.492999999999995</v>
      </c>
      <c r="D12">
        <v>186.06199999999899</v>
      </c>
    </row>
    <row r="13" spans="1:4" x14ac:dyDescent="0.25">
      <c r="A13">
        <v>11</v>
      </c>
      <c r="B13">
        <v>98.480999999999995</v>
      </c>
      <c r="C13">
        <v>96.36</v>
      </c>
      <c r="D13">
        <v>194.84100000000001</v>
      </c>
    </row>
    <row r="14" spans="1:4" x14ac:dyDescent="0.25">
      <c r="A14">
        <v>12</v>
      </c>
      <c r="B14">
        <v>97.528000000000006</v>
      </c>
      <c r="C14">
        <v>101.577</v>
      </c>
      <c r="D14">
        <v>199.10499999999999</v>
      </c>
    </row>
    <row r="15" spans="1:4" x14ac:dyDescent="0.25">
      <c r="A15">
        <v>13</v>
      </c>
      <c r="B15">
        <v>98.998999999999995</v>
      </c>
      <c r="C15">
        <v>97.474999999999994</v>
      </c>
      <c r="D15">
        <v>196.47399999999999</v>
      </c>
    </row>
    <row r="16" spans="1:4" x14ac:dyDescent="0.25">
      <c r="A16">
        <v>14</v>
      </c>
      <c r="B16">
        <v>86.622</v>
      </c>
      <c r="C16">
        <v>81.932999999999893</v>
      </c>
      <c r="D16">
        <v>168.55500000000001</v>
      </c>
    </row>
    <row r="17" spans="1:4" x14ac:dyDescent="0.25">
      <c r="A17">
        <v>15</v>
      </c>
      <c r="B17">
        <v>77.308999999999997</v>
      </c>
      <c r="C17">
        <v>73.695999999999998</v>
      </c>
      <c r="D17">
        <v>151.005</v>
      </c>
    </row>
    <row r="18" spans="1:4" x14ac:dyDescent="0.25">
      <c r="A18">
        <v>16</v>
      </c>
      <c r="B18">
        <v>90.488</v>
      </c>
      <c r="C18">
        <v>85.555000000000007</v>
      </c>
      <c r="D18">
        <v>176.04300000000001</v>
      </c>
    </row>
    <row r="19" spans="1:4" x14ac:dyDescent="0.25">
      <c r="A19">
        <v>17</v>
      </c>
      <c r="B19">
        <v>71.204999999999998</v>
      </c>
      <c r="C19">
        <v>81.667000000000002</v>
      </c>
      <c r="D19">
        <v>152.87200000000001</v>
      </c>
    </row>
    <row r="20" spans="1:4" x14ac:dyDescent="0.25">
      <c r="A20">
        <v>18</v>
      </c>
      <c r="B20">
        <v>71.882999999999996</v>
      </c>
      <c r="C20">
        <v>78.105000000000004</v>
      </c>
      <c r="D20">
        <v>149.988</v>
      </c>
    </row>
    <row r="21" spans="1:4" x14ac:dyDescent="0.25">
      <c r="A21">
        <v>19</v>
      </c>
      <c r="B21">
        <v>73.784999999999997</v>
      </c>
      <c r="C21">
        <v>78.302999999999997</v>
      </c>
      <c r="D21">
        <v>152.08799999999999</v>
      </c>
    </row>
    <row r="22" spans="1:4" x14ac:dyDescent="0.25">
      <c r="A22">
        <v>20</v>
      </c>
      <c r="B22">
        <v>81.585999999999999</v>
      </c>
      <c r="C22">
        <v>75.914999999999907</v>
      </c>
      <c r="D22">
        <v>157.50099999999901</v>
      </c>
    </row>
    <row r="23" spans="1:4" x14ac:dyDescent="0.25">
      <c r="A23">
        <v>21</v>
      </c>
      <c r="B23">
        <v>59.851999999999997</v>
      </c>
      <c r="C23">
        <v>69.123999999999995</v>
      </c>
      <c r="D23">
        <v>128.976</v>
      </c>
    </row>
    <row r="24" spans="1:4" x14ac:dyDescent="0.25">
      <c r="A24">
        <v>22</v>
      </c>
      <c r="B24">
        <v>68.415999999999997</v>
      </c>
      <c r="C24">
        <v>51.972000000000001</v>
      </c>
      <c r="D24">
        <v>120.38800000000001</v>
      </c>
    </row>
    <row r="25" spans="1:4" x14ac:dyDescent="0.25">
      <c r="A25">
        <v>23</v>
      </c>
      <c r="B25">
        <v>75.751000000000005</v>
      </c>
      <c r="C25">
        <v>75.926999999999893</v>
      </c>
      <c r="D25">
        <v>151.678</v>
      </c>
    </row>
    <row r="26" spans="1:4" x14ac:dyDescent="0.25">
      <c r="A26">
        <v>24</v>
      </c>
      <c r="B26">
        <v>70.975999999999999</v>
      </c>
      <c r="C26">
        <v>62.360999999999898</v>
      </c>
      <c r="D26">
        <v>133.33699999999999</v>
      </c>
    </row>
    <row r="27" spans="1:4" x14ac:dyDescent="0.25">
      <c r="A27">
        <v>25</v>
      </c>
      <c r="B27">
        <v>75.856999999999999</v>
      </c>
      <c r="C27">
        <v>67.143000000000001</v>
      </c>
      <c r="D27">
        <v>143</v>
      </c>
    </row>
    <row r="28" spans="1:4" x14ac:dyDescent="0.25">
      <c r="A28">
        <v>26</v>
      </c>
      <c r="B28">
        <v>68.313000000000002</v>
      </c>
      <c r="C28">
        <v>71.387</v>
      </c>
      <c r="D28">
        <v>139.69999999999999</v>
      </c>
    </row>
    <row r="29" spans="1:4" x14ac:dyDescent="0.25">
      <c r="A29">
        <v>27</v>
      </c>
      <c r="B29">
        <v>66.119</v>
      </c>
      <c r="C29">
        <v>79.385999999999996</v>
      </c>
      <c r="D29">
        <v>145.505</v>
      </c>
    </row>
    <row r="30" spans="1:4" x14ac:dyDescent="0.25">
      <c r="A30">
        <v>28</v>
      </c>
      <c r="B30">
        <v>52.994999999999997</v>
      </c>
      <c r="C30">
        <v>70.597999999999999</v>
      </c>
      <c r="D30">
        <v>123.593</v>
      </c>
    </row>
    <row r="31" spans="1:4" x14ac:dyDescent="0.25">
      <c r="A31">
        <v>29</v>
      </c>
      <c r="B31">
        <v>72.751999999999995</v>
      </c>
      <c r="C31">
        <v>46.146999999999998</v>
      </c>
      <c r="D31">
        <v>118.899</v>
      </c>
    </row>
    <row r="32" spans="1:4" x14ac:dyDescent="0.25">
      <c r="A32">
        <v>30</v>
      </c>
      <c r="B32">
        <v>74.402000000000001</v>
      </c>
      <c r="C32">
        <v>43.823999999999998</v>
      </c>
      <c r="D32">
        <v>118.226</v>
      </c>
    </row>
    <row r="33" spans="1:4" x14ac:dyDescent="0.25">
      <c r="A33">
        <v>31</v>
      </c>
      <c r="B33">
        <v>67.515999999999906</v>
      </c>
      <c r="C33">
        <v>65.716999999999999</v>
      </c>
      <c r="D33">
        <v>133.233</v>
      </c>
    </row>
    <row r="34" spans="1:4" x14ac:dyDescent="0.25">
      <c r="A34">
        <v>32</v>
      </c>
      <c r="B34">
        <v>64.888000000000005</v>
      </c>
      <c r="C34">
        <v>61.896999999999998</v>
      </c>
      <c r="D34">
        <v>126.785</v>
      </c>
    </row>
    <row r="35" spans="1:4" x14ac:dyDescent="0.25">
      <c r="A35">
        <v>33</v>
      </c>
      <c r="B35">
        <v>54.069000000000003</v>
      </c>
      <c r="C35">
        <v>56.302</v>
      </c>
      <c r="D35">
        <v>110.371</v>
      </c>
    </row>
    <row r="36" spans="1:4" x14ac:dyDescent="0.25">
      <c r="A36">
        <v>34</v>
      </c>
      <c r="B36">
        <v>85.168999999999997</v>
      </c>
      <c r="C36">
        <v>57.692999999999998</v>
      </c>
      <c r="D36">
        <v>142.86199999999999</v>
      </c>
    </row>
    <row r="37" spans="1:4" x14ac:dyDescent="0.25">
      <c r="A37">
        <v>35</v>
      </c>
      <c r="B37">
        <v>88.888000000000005</v>
      </c>
      <c r="C37">
        <v>86.828999999999994</v>
      </c>
      <c r="D37">
        <v>175.71700000000001</v>
      </c>
    </row>
    <row r="38" spans="1:4" x14ac:dyDescent="0.25">
      <c r="A38">
        <v>36</v>
      </c>
      <c r="B38">
        <v>78.826999999999998</v>
      </c>
      <c r="C38">
        <v>63.765000000000001</v>
      </c>
      <c r="D38">
        <v>142.59199999999899</v>
      </c>
    </row>
    <row r="39" spans="1:4" x14ac:dyDescent="0.25">
      <c r="A39">
        <v>37</v>
      </c>
      <c r="B39">
        <v>93.781999999999996</v>
      </c>
      <c r="C39">
        <v>90.007999999999996</v>
      </c>
      <c r="D39">
        <v>183.79</v>
      </c>
    </row>
    <row r="40" spans="1:4" x14ac:dyDescent="0.25">
      <c r="A40">
        <v>38</v>
      </c>
      <c r="B40">
        <v>71.204999999999998</v>
      </c>
      <c r="C40">
        <v>79.519000000000005</v>
      </c>
      <c r="D40">
        <v>150.72399999999999</v>
      </c>
    </row>
    <row r="41" spans="1:4" x14ac:dyDescent="0.25">
      <c r="A41">
        <v>39</v>
      </c>
      <c r="B41">
        <v>94.162000000000006</v>
      </c>
      <c r="C41">
        <v>60.646000000000001</v>
      </c>
      <c r="D41">
        <v>154.80799999999999</v>
      </c>
    </row>
    <row r="42" spans="1:4" x14ac:dyDescent="0.25">
      <c r="A42">
        <v>40</v>
      </c>
      <c r="B42">
        <v>98.335999999999999</v>
      </c>
      <c r="C42">
        <v>82.131</v>
      </c>
      <c r="D42">
        <v>180.46700000000001</v>
      </c>
    </row>
    <row r="43" spans="1:4" x14ac:dyDescent="0.25">
      <c r="A43">
        <v>41</v>
      </c>
      <c r="B43">
        <v>67.209999999999994</v>
      </c>
      <c r="C43">
        <v>56.654000000000003</v>
      </c>
      <c r="D43">
        <v>123.864</v>
      </c>
    </row>
    <row r="44" spans="1:4" x14ac:dyDescent="0.25">
      <c r="A44">
        <v>42</v>
      </c>
      <c r="B44">
        <v>56.351999999999997</v>
      </c>
      <c r="C44">
        <v>52.069000000000003</v>
      </c>
      <c r="D44">
        <v>108.42100000000001</v>
      </c>
    </row>
    <row r="45" spans="1:4" x14ac:dyDescent="0.25">
      <c r="A45">
        <v>43</v>
      </c>
      <c r="B45">
        <v>115.572</v>
      </c>
      <c r="C45">
        <v>94.686000000000007</v>
      </c>
      <c r="D45">
        <v>210.25800000000001</v>
      </c>
    </row>
    <row r="46" spans="1:4" x14ac:dyDescent="0.25">
      <c r="A46">
        <v>44</v>
      </c>
      <c r="B46">
        <v>115.581</v>
      </c>
      <c r="C46">
        <v>112.568</v>
      </c>
      <c r="D46">
        <v>228.149</v>
      </c>
    </row>
    <row r="47" spans="1:4" x14ac:dyDescent="0.25">
      <c r="A47">
        <v>45</v>
      </c>
      <c r="B47">
        <v>108.70099999999999</v>
      </c>
      <c r="C47">
        <v>113.905</v>
      </c>
      <c r="D47">
        <v>222.60599999999999</v>
      </c>
    </row>
    <row r="48" spans="1:4" x14ac:dyDescent="0.25">
      <c r="A48">
        <v>46</v>
      </c>
      <c r="B48">
        <v>107.589</v>
      </c>
      <c r="C48">
        <v>114.479</v>
      </c>
      <c r="D48">
        <v>222.06800000000001</v>
      </c>
    </row>
    <row r="49" spans="1:4" x14ac:dyDescent="0.25">
      <c r="A49">
        <v>47</v>
      </c>
      <c r="B49">
        <v>107.98699999999999</v>
      </c>
      <c r="C49">
        <v>117.334</v>
      </c>
      <c r="D49">
        <v>225.321</v>
      </c>
    </row>
    <row r="50" spans="1:4" x14ac:dyDescent="0.25">
      <c r="A50">
        <v>48</v>
      </c>
      <c r="B50">
        <v>123.95699999999999</v>
      </c>
      <c r="C50">
        <v>121.831</v>
      </c>
      <c r="D50">
        <v>245.78800000000001</v>
      </c>
    </row>
    <row r="51" spans="1:4" x14ac:dyDescent="0.25">
      <c r="A51">
        <v>49</v>
      </c>
      <c r="B51">
        <v>98.775999999999996</v>
      </c>
      <c r="C51">
        <v>110.366</v>
      </c>
      <c r="D51">
        <v>209.142</v>
      </c>
    </row>
    <row r="52" spans="1:4" x14ac:dyDescent="0.25">
      <c r="A52">
        <v>50</v>
      </c>
      <c r="B52">
        <v>119.724</v>
      </c>
      <c r="C52">
        <v>120.602</v>
      </c>
      <c r="D52">
        <v>240.32599999999999</v>
      </c>
    </row>
    <row r="53" spans="1:4" x14ac:dyDescent="0.25">
      <c r="A53">
        <v>51</v>
      </c>
      <c r="B53">
        <v>119.681</v>
      </c>
      <c r="C53">
        <v>121.462</v>
      </c>
      <c r="D53">
        <v>241.143</v>
      </c>
    </row>
    <row r="54" spans="1:4" x14ac:dyDescent="0.25">
      <c r="D54">
        <f>SUM(D2:D53)</f>
        <v>9055.434999999994</v>
      </c>
    </row>
    <row r="55" spans="1:4" x14ac:dyDescent="0.25">
      <c r="D55">
        <f>D54/2</f>
        <v>4527.717499999997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FE27-C81D-4F0D-85B7-F00B5F47B4E0}">
  <dimension ref="A1:J103"/>
  <sheetViews>
    <sheetView topLeftCell="A82" zoomScale="80" zoomScaleNormal="80" workbookViewId="0">
      <selection activeCell="G96" sqref="G96"/>
    </sheetView>
  </sheetViews>
  <sheetFormatPr defaultColWidth="8.85546875" defaultRowHeight="15" x14ac:dyDescent="0.25"/>
  <cols>
    <col min="1" max="1" width="17.42578125" bestFit="1" customWidth="1"/>
    <col min="2" max="2" width="8.7109375" bestFit="1" customWidth="1"/>
    <col min="3" max="3" width="31.85546875" bestFit="1" customWidth="1"/>
    <col min="4" max="4" width="25.28515625" bestFit="1" customWidth="1"/>
    <col min="5" max="5" width="21.42578125" bestFit="1" customWidth="1"/>
    <col min="8" max="8" width="17.42578125" bestFit="1" customWidth="1"/>
    <col min="9" max="9" width="8.7109375" bestFit="1" customWidth="1"/>
  </cols>
  <sheetData>
    <row r="1" spans="1:10" ht="15.75" x14ac:dyDescent="0.25">
      <c r="A1" s="30" t="s">
        <v>139</v>
      </c>
    </row>
    <row r="3" spans="1:10" x14ac:dyDescent="0.25">
      <c r="A3" s="77" t="s">
        <v>140</v>
      </c>
      <c r="B3" s="78"/>
      <c r="C3" s="78"/>
      <c r="D3" s="79" t="s">
        <v>290</v>
      </c>
      <c r="E3" s="78"/>
    </row>
    <row r="4" spans="1:10" x14ac:dyDescent="0.25">
      <c r="A4" s="77" t="s">
        <v>141</v>
      </c>
      <c r="B4" s="78"/>
      <c r="C4" s="78"/>
      <c r="D4" s="79"/>
      <c r="E4" s="78"/>
    </row>
    <row r="5" spans="1:10" x14ac:dyDescent="0.25">
      <c r="A5" s="77" t="s">
        <v>142</v>
      </c>
      <c r="B5" s="78"/>
      <c r="C5" s="78"/>
      <c r="D5" s="79"/>
      <c r="E5" s="78"/>
    </row>
    <row r="6" spans="1:10" x14ac:dyDescent="0.25">
      <c r="A6" s="77" t="s">
        <v>143</v>
      </c>
      <c r="B6" s="78"/>
      <c r="C6" s="78"/>
      <c r="D6" s="79"/>
      <c r="E6" s="78"/>
    </row>
    <row r="7" spans="1:10" x14ac:dyDescent="0.25">
      <c r="A7" s="77" t="s">
        <v>144</v>
      </c>
      <c r="B7" s="78"/>
      <c r="C7" s="78"/>
      <c r="D7" s="79" t="s">
        <v>145</v>
      </c>
      <c r="E7" s="78"/>
    </row>
    <row r="8" spans="1:10" x14ac:dyDescent="0.25">
      <c r="A8" s="77" t="s">
        <v>146</v>
      </c>
      <c r="B8" s="78"/>
      <c r="C8" s="78"/>
      <c r="D8" s="79" t="s">
        <v>291</v>
      </c>
      <c r="E8" s="78"/>
    </row>
    <row r="9" spans="1:10" x14ac:dyDescent="0.25">
      <c r="A9" s="77" t="s">
        <v>147</v>
      </c>
      <c r="B9" s="78"/>
      <c r="C9" s="78"/>
      <c r="D9" s="79">
        <v>159</v>
      </c>
      <c r="E9" s="78"/>
    </row>
    <row r="10" spans="1:10" ht="15.75" thickBot="1" x14ac:dyDescent="0.3">
      <c r="H10" t="s">
        <v>292</v>
      </c>
    </row>
    <row r="11" spans="1:10" ht="15.75" thickBot="1" x14ac:dyDescent="0.3">
      <c r="A11" s="31" t="s">
        <v>148</v>
      </c>
      <c r="B11" s="31" t="s">
        <v>149</v>
      </c>
      <c r="C11" s="31" t="s">
        <v>150</v>
      </c>
      <c r="D11" s="31" t="s">
        <v>151</v>
      </c>
      <c r="E11" s="31" t="s">
        <v>152</v>
      </c>
      <c r="F11" s="31" t="s">
        <v>153</v>
      </c>
      <c r="G11" s="32" t="s">
        <v>154</v>
      </c>
      <c r="H11" s="31" t="s">
        <v>148</v>
      </c>
      <c r="I11" s="31" t="s">
        <v>149</v>
      </c>
      <c r="J11" s="31" t="s">
        <v>153</v>
      </c>
    </row>
    <row r="12" spans="1:10" x14ac:dyDescent="0.25">
      <c r="A12" s="33" t="s">
        <v>155</v>
      </c>
      <c r="B12" s="34">
        <v>1</v>
      </c>
      <c r="C12" s="35" t="s">
        <v>156</v>
      </c>
      <c r="D12" s="35" t="s">
        <v>157</v>
      </c>
      <c r="E12" s="36" t="s">
        <v>158</v>
      </c>
      <c r="F12" s="37">
        <v>1.1200000000000001</v>
      </c>
      <c r="G12">
        <f>B12*F12</f>
        <v>1.1200000000000001</v>
      </c>
      <c r="H12" s="38" t="s">
        <v>293</v>
      </c>
      <c r="I12" s="39">
        <v>1</v>
      </c>
      <c r="J12" s="40">
        <v>0</v>
      </c>
    </row>
    <row r="13" spans="1:10" x14ac:dyDescent="0.25">
      <c r="A13" s="33" t="s">
        <v>155</v>
      </c>
      <c r="B13" s="34">
        <v>1</v>
      </c>
      <c r="C13" s="35" t="s">
        <v>159</v>
      </c>
      <c r="D13" s="35" t="s">
        <v>160</v>
      </c>
      <c r="E13" s="36" t="s">
        <v>158</v>
      </c>
      <c r="F13" s="37">
        <v>1.1200000000000001</v>
      </c>
      <c r="G13">
        <f t="shared" ref="G13:G76" si="0">B13*F13</f>
        <v>1.1200000000000001</v>
      </c>
      <c r="H13" s="38" t="s">
        <v>155</v>
      </c>
      <c r="I13" s="39">
        <v>36</v>
      </c>
      <c r="J13" s="40">
        <v>0</v>
      </c>
    </row>
    <row r="14" spans="1:10" x14ac:dyDescent="0.25">
      <c r="A14" s="33" t="s">
        <v>155</v>
      </c>
      <c r="B14" s="34">
        <v>1</v>
      </c>
      <c r="C14" s="35" t="s">
        <v>161</v>
      </c>
      <c r="D14" s="35" t="s">
        <v>162</v>
      </c>
      <c r="E14" s="36" t="s">
        <v>158</v>
      </c>
      <c r="F14" s="37">
        <v>1.1200000000000001</v>
      </c>
      <c r="G14">
        <f t="shared" si="0"/>
        <v>1.1200000000000001</v>
      </c>
      <c r="H14" s="38" t="s">
        <v>190</v>
      </c>
      <c r="I14" s="39">
        <v>39</v>
      </c>
      <c r="J14" s="40">
        <v>0</v>
      </c>
    </row>
    <row r="15" spans="1:10" x14ac:dyDescent="0.25">
      <c r="A15" s="33" t="s">
        <v>155</v>
      </c>
      <c r="B15" s="34">
        <v>1</v>
      </c>
      <c r="C15" s="35" t="s">
        <v>163</v>
      </c>
      <c r="D15" s="35" t="s">
        <v>164</v>
      </c>
      <c r="E15" s="36" t="s">
        <v>165</v>
      </c>
      <c r="F15" s="37">
        <v>2.6599999999999999E-2</v>
      </c>
      <c r="G15">
        <f t="shared" si="0"/>
        <v>2.6599999999999999E-2</v>
      </c>
      <c r="H15" s="38" t="s">
        <v>213</v>
      </c>
      <c r="I15" s="39">
        <v>13</v>
      </c>
      <c r="J15" s="40">
        <v>0</v>
      </c>
    </row>
    <row r="16" spans="1:10" x14ac:dyDescent="0.25">
      <c r="A16" s="33" t="s">
        <v>155</v>
      </c>
      <c r="B16" s="34">
        <v>1</v>
      </c>
      <c r="C16" s="35" t="s">
        <v>166</v>
      </c>
      <c r="D16" s="35" t="s">
        <v>167</v>
      </c>
      <c r="E16" s="36" t="s">
        <v>165</v>
      </c>
      <c r="F16" s="37">
        <v>2.6599999999999999E-2</v>
      </c>
      <c r="G16">
        <f t="shared" si="0"/>
        <v>2.6599999999999999E-2</v>
      </c>
      <c r="H16" s="38" t="s">
        <v>226</v>
      </c>
      <c r="I16" s="39">
        <v>7</v>
      </c>
      <c r="J16" s="40">
        <v>0</v>
      </c>
    </row>
    <row r="17" spans="1:10" x14ac:dyDescent="0.25">
      <c r="A17" s="33" t="s">
        <v>155</v>
      </c>
      <c r="B17" s="34">
        <v>2</v>
      </c>
      <c r="C17" s="35" t="s">
        <v>168</v>
      </c>
      <c r="D17" s="35" t="s">
        <v>169</v>
      </c>
      <c r="E17" s="36" t="s">
        <v>165</v>
      </c>
      <c r="F17" s="37">
        <v>2.6599999999999999E-2</v>
      </c>
      <c r="G17">
        <f t="shared" si="0"/>
        <v>5.3199999999999997E-2</v>
      </c>
      <c r="H17" s="38" t="s">
        <v>230</v>
      </c>
      <c r="I17" s="39">
        <v>20</v>
      </c>
      <c r="J17" s="40">
        <v>0</v>
      </c>
    </row>
    <row r="18" spans="1:10" ht="15.75" thickBot="1" x14ac:dyDescent="0.3">
      <c r="A18" s="33" t="s">
        <v>155</v>
      </c>
      <c r="B18" s="34">
        <v>1</v>
      </c>
      <c r="C18" s="35" t="s">
        <v>170</v>
      </c>
      <c r="D18" s="35" t="s">
        <v>171</v>
      </c>
      <c r="E18" s="36" t="s">
        <v>165</v>
      </c>
      <c r="F18" s="37">
        <v>2.6599999999999999E-2</v>
      </c>
      <c r="G18">
        <f t="shared" si="0"/>
        <v>2.6599999999999999E-2</v>
      </c>
      <c r="H18" s="38" t="s">
        <v>243</v>
      </c>
      <c r="I18" s="39">
        <v>44</v>
      </c>
      <c r="J18" s="40">
        <v>0</v>
      </c>
    </row>
    <row r="19" spans="1:10" ht="15.75" thickBot="1" x14ac:dyDescent="0.3">
      <c r="A19" s="33" t="s">
        <v>155</v>
      </c>
      <c r="B19" s="34">
        <v>1</v>
      </c>
      <c r="C19" s="35" t="s">
        <v>172</v>
      </c>
      <c r="D19" s="35" t="s">
        <v>173</v>
      </c>
      <c r="E19" s="36" t="s">
        <v>165</v>
      </c>
      <c r="F19" s="37">
        <v>2.6599999999999999E-2</v>
      </c>
      <c r="G19">
        <f t="shared" si="0"/>
        <v>2.6599999999999999E-2</v>
      </c>
      <c r="H19" s="41" t="s">
        <v>14</v>
      </c>
      <c r="I19" s="42">
        <v>159</v>
      </c>
      <c r="J19" s="43">
        <v>0</v>
      </c>
    </row>
    <row r="20" spans="1:10" x14ac:dyDescent="0.25">
      <c r="A20" s="33" t="s">
        <v>155</v>
      </c>
      <c r="B20" s="34">
        <v>1</v>
      </c>
      <c r="C20" s="35" t="s">
        <v>174</v>
      </c>
      <c r="D20" s="35" t="s">
        <v>175</v>
      </c>
      <c r="E20" s="36" t="s">
        <v>158</v>
      </c>
      <c r="F20" s="37">
        <v>1.1200000000000001</v>
      </c>
      <c r="G20">
        <f t="shared" si="0"/>
        <v>1.1200000000000001</v>
      </c>
    </row>
    <row r="21" spans="1:10" x14ac:dyDescent="0.25">
      <c r="A21" s="33" t="s">
        <v>155</v>
      </c>
      <c r="B21" s="34">
        <v>1</v>
      </c>
      <c r="C21" s="35" t="s">
        <v>176</v>
      </c>
      <c r="D21" s="35" t="s">
        <v>177</v>
      </c>
      <c r="E21" s="36" t="s">
        <v>158</v>
      </c>
      <c r="F21" s="37">
        <v>1.1200000000000001</v>
      </c>
      <c r="G21">
        <f t="shared" si="0"/>
        <v>1.1200000000000001</v>
      </c>
    </row>
    <row r="22" spans="1:10" x14ac:dyDescent="0.25">
      <c r="A22" s="33" t="s">
        <v>155</v>
      </c>
      <c r="B22" s="34">
        <v>2</v>
      </c>
      <c r="C22" s="35" t="s">
        <v>178</v>
      </c>
      <c r="D22" s="35" t="s">
        <v>179</v>
      </c>
      <c r="E22" s="36" t="s">
        <v>165</v>
      </c>
      <c r="F22" s="37">
        <v>2.6599999999999999E-2</v>
      </c>
      <c r="G22">
        <f t="shared" si="0"/>
        <v>5.3199999999999997E-2</v>
      </c>
    </row>
    <row r="23" spans="1:10" x14ac:dyDescent="0.25">
      <c r="A23" s="33" t="s">
        <v>155</v>
      </c>
      <c r="B23" s="34">
        <v>7</v>
      </c>
      <c r="C23" s="35" t="s">
        <v>180</v>
      </c>
      <c r="D23" s="35" t="s">
        <v>181</v>
      </c>
      <c r="E23" s="36" t="s">
        <v>182</v>
      </c>
      <c r="F23" s="37">
        <v>0.35</v>
      </c>
      <c r="G23">
        <f t="shared" si="0"/>
        <v>2.4499999999999997</v>
      </c>
    </row>
    <row r="24" spans="1:10" x14ac:dyDescent="0.25">
      <c r="A24" s="33" t="s">
        <v>155</v>
      </c>
      <c r="B24" s="34">
        <v>8</v>
      </c>
      <c r="C24" s="35" t="s">
        <v>183</v>
      </c>
      <c r="D24" s="35" t="s">
        <v>184</v>
      </c>
      <c r="E24" s="36" t="s">
        <v>182</v>
      </c>
      <c r="F24" s="37">
        <v>0.35</v>
      </c>
      <c r="G24">
        <f t="shared" si="0"/>
        <v>2.8</v>
      </c>
    </row>
    <row r="25" spans="1:10" x14ac:dyDescent="0.25">
      <c r="A25" s="33" t="s">
        <v>155</v>
      </c>
      <c r="B25" s="34">
        <v>5</v>
      </c>
      <c r="C25" s="35" t="s">
        <v>185</v>
      </c>
      <c r="D25" s="35" t="s">
        <v>186</v>
      </c>
      <c r="E25" s="44"/>
      <c r="F25" s="37">
        <v>0.35</v>
      </c>
      <c r="G25">
        <f t="shared" si="0"/>
        <v>1.75</v>
      </c>
    </row>
    <row r="26" spans="1:10" x14ac:dyDescent="0.25">
      <c r="A26" s="33" t="s">
        <v>155</v>
      </c>
      <c r="B26" s="34">
        <v>2</v>
      </c>
      <c r="C26" s="35" t="s">
        <v>294</v>
      </c>
      <c r="D26" s="35" t="s">
        <v>295</v>
      </c>
      <c r="E26" s="44"/>
      <c r="F26" s="37">
        <f>0.0154*1.4</f>
        <v>2.1559999999999999E-2</v>
      </c>
      <c r="G26">
        <f t="shared" si="0"/>
        <v>4.3119999999999999E-2</v>
      </c>
    </row>
    <row r="27" spans="1:10" ht="15.75" thickBot="1" x14ac:dyDescent="0.3">
      <c r="A27" s="45" t="s">
        <v>155</v>
      </c>
      <c r="B27" s="46">
        <v>1</v>
      </c>
      <c r="C27" s="47" t="s">
        <v>187</v>
      </c>
      <c r="D27" s="47" t="s">
        <v>188</v>
      </c>
      <c r="E27" s="48" t="s">
        <v>189</v>
      </c>
      <c r="F27" s="49">
        <v>0.224</v>
      </c>
      <c r="G27">
        <f t="shared" si="0"/>
        <v>0.224</v>
      </c>
    </row>
    <row r="28" spans="1:10" x14ac:dyDescent="0.25">
      <c r="A28" s="33" t="s">
        <v>190</v>
      </c>
      <c r="B28" s="34">
        <v>2</v>
      </c>
      <c r="C28" s="35" t="s">
        <v>191</v>
      </c>
      <c r="D28" s="35" t="s">
        <v>192</v>
      </c>
      <c r="E28" s="44"/>
      <c r="F28" s="37">
        <v>0.02</v>
      </c>
      <c r="G28">
        <f t="shared" si="0"/>
        <v>0.04</v>
      </c>
    </row>
    <row r="29" spans="1:10" x14ac:dyDescent="0.25">
      <c r="A29" s="33" t="s">
        <v>190</v>
      </c>
      <c r="B29" s="34">
        <v>1</v>
      </c>
      <c r="C29" s="35" t="s">
        <v>193</v>
      </c>
      <c r="D29" s="35" t="s">
        <v>194</v>
      </c>
      <c r="E29" s="44"/>
      <c r="F29" s="37">
        <v>0.02</v>
      </c>
      <c r="G29">
        <f t="shared" si="0"/>
        <v>0.02</v>
      </c>
    </row>
    <row r="30" spans="1:10" x14ac:dyDescent="0.25">
      <c r="A30" s="33" t="s">
        <v>190</v>
      </c>
      <c r="B30" s="34">
        <v>1</v>
      </c>
      <c r="C30" s="35" t="s">
        <v>195</v>
      </c>
      <c r="D30" s="35" t="s">
        <v>196</v>
      </c>
      <c r="E30" s="44"/>
      <c r="F30" s="37">
        <v>0.02</v>
      </c>
      <c r="G30">
        <f t="shared" si="0"/>
        <v>0.02</v>
      </c>
    </row>
    <row r="31" spans="1:10" x14ac:dyDescent="0.25">
      <c r="A31" s="33" t="s">
        <v>190</v>
      </c>
      <c r="B31" s="34">
        <v>2</v>
      </c>
      <c r="C31" s="35" t="s">
        <v>197</v>
      </c>
      <c r="D31" s="35" t="s">
        <v>198</v>
      </c>
      <c r="E31" s="44"/>
      <c r="F31" s="37">
        <v>0.02</v>
      </c>
      <c r="G31">
        <f t="shared" si="0"/>
        <v>0.04</v>
      </c>
    </row>
    <row r="32" spans="1:10" x14ac:dyDescent="0.25">
      <c r="A32" s="33" t="s">
        <v>190</v>
      </c>
      <c r="B32" s="34">
        <v>6</v>
      </c>
      <c r="C32" s="35" t="s">
        <v>199</v>
      </c>
      <c r="D32" s="35" t="s">
        <v>200</v>
      </c>
      <c r="E32" s="44"/>
      <c r="F32" s="37">
        <v>0.02</v>
      </c>
      <c r="G32">
        <f t="shared" si="0"/>
        <v>0.12</v>
      </c>
    </row>
    <row r="33" spans="1:7" x14ac:dyDescent="0.25">
      <c r="A33" s="33" t="s">
        <v>190</v>
      </c>
      <c r="B33" s="34">
        <v>1</v>
      </c>
      <c r="C33" s="35" t="s">
        <v>201</v>
      </c>
      <c r="D33" s="35" t="s">
        <v>202</v>
      </c>
      <c r="E33" s="44"/>
      <c r="F33" s="37">
        <v>0.02</v>
      </c>
      <c r="G33">
        <f t="shared" si="0"/>
        <v>0.02</v>
      </c>
    </row>
    <row r="34" spans="1:7" x14ac:dyDescent="0.25">
      <c r="A34" s="33" t="s">
        <v>190</v>
      </c>
      <c r="B34" s="34">
        <v>1</v>
      </c>
      <c r="C34" s="35" t="s">
        <v>203</v>
      </c>
      <c r="D34" s="35" t="s">
        <v>204</v>
      </c>
      <c r="E34" s="44"/>
      <c r="F34" s="37">
        <v>0.02</v>
      </c>
      <c r="G34">
        <f t="shared" si="0"/>
        <v>0.02</v>
      </c>
    </row>
    <row r="35" spans="1:7" x14ac:dyDescent="0.25">
      <c r="A35" s="33" t="s">
        <v>190</v>
      </c>
      <c r="B35" s="34">
        <v>1</v>
      </c>
      <c r="C35" s="35" t="s">
        <v>205</v>
      </c>
      <c r="D35" s="35" t="s">
        <v>206</v>
      </c>
      <c r="E35" s="44"/>
      <c r="F35" s="37">
        <v>0.02</v>
      </c>
      <c r="G35">
        <f t="shared" si="0"/>
        <v>0.02</v>
      </c>
    </row>
    <row r="36" spans="1:7" x14ac:dyDescent="0.25">
      <c r="A36" s="33" t="s">
        <v>190</v>
      </c>
      <c r="B36" s="34">
        <v>7</v>
      </c>
      <c r="C36" s="35" t="s">
        <v>296</v>
      </c>
      <c r="D36" s="35" t="s">
        <v>207</v>
      </c>
      <c r="E36" s="44"/>
      <c r="F36" s="37">
        <v>0.02</v>
      </c>
      <c r="G36">
        <f t="shared" si="0"/>
        <v>0.14000000000000001</v>
      </c>
    </row>
    <row r="37" spans="1:7" x14ac:dyDescent="0.25">
      <c r="A37" s="33" t="s">
        <v>190</v>
      </c>
      <c r="B37" s="34">
        <v>2</v>
      </c>
      <c r="C37" s="35" t="s">
        <v>208</v>
      </c>
      <c r="D37" s="35" t="s">
        <v>252</v>
      </c>
      <c r="E37" s="44"/>
      <c r="F37" s="37">
        <v>0.02</v>
      </c>
      <c r="G37">
        <f t="shared" si="0"/>
        <v>0.04</v>
      </c>
    </row>
    <row r="38" spans="1:7" x14ac:dyDescent="0.25">
      <c r="A38" s="33" t="s">
        <v>190</v>
      </c>
      <c r="B38" s="34">
        <v>1</v>
      </c>
      <c r="C38" s="35" t="s">
        <v>297</v>
      </c>
      <c r="D38" s="35" t="s">
        <v>298</v>
      </c>
      <c r="E38" s="44"/>
      <c r="F38" s="37">
        <v>0.02</v>
      </c>
      <c r="G38">
        <f t="shared" si="0"/>
        <v>0.02</v>
      </c>
    </row>
    <row r="39" spans="1:7" x14ac:dyDescent="0.25">
      <c r="A39" s="33" t="s">
        <v>190</v>
      </c>
      <c r="B39" s="34">
        <v>7</v>
      </c>
      <c r="C39" s="35" t="s">
        <v>299</v>
      </c>
      <c r="D39" s="35" t="s">
        <v>300</v>
      </c>
      <c r="E39" s="44"/>
      <c r="F39" s="37">
        <v>0.02</v>
      </c>
      <c r="G39">
        <f t="shared" si="0"/>
        <v>0.14000000000000001</v>
      </c>
    </row>
    <row r="40" spans="1:7" x14ac:dyDescent="0.25">
      <c r="A40" s="33" t="s">
        <v>190</v>
      </c>
      <c r="B40" s="34">
        <v>1</v>
      </c>
      <c r="C40" s="35" t="s">
        <v>301</v>
      </c>
      <c r="D40" s="35" t="s">
        <v>302</v>
      </c>
      <c r="E40" s="44"/>
      <c r="F40" s="37">
        <v>0.02</v>
      </c>
      <c r="G40">
        <f t="shared" si="0"/>
        <v>0.02</v>
      </c>
    </row>
    <row r="41" spans="1:7" x14ac:dyDescent="0.25">
      <c r="A41" s="33" t="s">
        <v>190</v>
      </c>
      <c r="B41" s="34">
        <v>1</v>
      </c>
      <c r="C41" s="35" t="s">
        <v>303</v>
      </c>
      <c r="D41" s="35" t="s">
        <v>304</v>
      </c>
      <c r="E41" s="44"/>
      <c r="F41" s="37">
        <v>0.02</v>
      </c>
      <c r="G41">
        <f t="shared" si="0"/>
        <v>0.02</v>
      </c>
    </row>
    <row r="42" spans="1:7" x14ac:dyDescent="0.25">
      <c r="A42" s="33" t="s">
        <v>190</v>
      </c>
      <c r="B42" s="34">
        <v>1</v>
      </c>
      <c r="C42" s="35" t="s">
        <v>305</v>
      </c>
      <c r="D42" s="35" t="s">
        <v>306</v>
      </c>
      <c r="E42" s="44"/>
      <c r="F42" s="37">
        <v>0.02</v>
      </c>
      <c r="G42">
        <f t="shared" si="0"/>
        <v>0.02</v>
      </c>
    </row>
    <row r="43" spans="1:7" x14ac:dyDescent="0.25">
      <c r="A43" s="33" t="s">
        <v>190</v>
      </c>
      <c r="B43" s="34">
        <v>2</v>
      </c>
      <c r="C43" s="35" t="s">
        <v>209</v>
      </c>
      <c r="D43" s="35" t="s">
        <v>210</v>
      </c>
      <c r="E43" s="44"/>
      <c r="F43" s="37">
        <v>0.02</v>
      </c>
      <c r="G43">
        <f t="shared" si="0"/>
        <v>0.04</v>
      </c>
    </row>
    <row r="44" spans="1:7" ht="15.75" thickBot="1" x14ac:dyDescent="0.3">
      <c r="A44" s="45" t="s">
        <v>190</v>
      </c>
      <c r="B44" s="46">
        <v>2</v>
      </c>
      <c r="C44" s="47" t="s">
        <v>211</v>
      </c>
      <c r="D44" s="47" t="s">
        <v>212</v>
      </c>
      <c r="E44" s="50"/>
      <c r="F44" s="37">
        <v>0.02</v>
      </c>
      <c r="G44">
        <f t="shared" si="0"/>
        <v>0.04</v>
      </c>
    </row>
    <row r="45" spans="1:7" x14ac:dyDescent="0.25">
      <c r="A45" s="33" t="s">
        <v>213</v>
      </c>
      <c r="B45" s="34">
        <v>1</v>
      </c>
      <c r="C45" s="35" t="s">
        <v>214</v>
      </c>
      <c r="D45" s="35" t="s">
        <v>215</v>
      </c>
      <c r="E45" s="44"/>
      <c r="F45" s="37">
        <v>8.68</v>
      </c>
      <c r="G45">
        <f t="shared" si="0"/>
        <v>8.68</v>
      </c>
    </row>
    <row r="46" spans="1:7" x14ac:dyDescent="0.25">
      <c r="A46" s="33" t="s">
        <v>213</v>
      </c>
      <c r="B46" s="34">
        <v>1</v>
      </c>
      <c r="C46" s="35" t="s">
        <v>216</v>
      </c>
      <c r="D46" s="35" t="s">
        <v>217</v>
      </c>
      <c r="E46" s="44"/>
      <c r="F46" s="37">
        <v>0.126</v>
      </c>
      <c r="G46">
        <f t="shared" si="0"/>
        <v>0.126</v>
      </c>
    </row>
    <row r="47" spans="1:7" x14ac:dyDescent="0.25">
      <c r="A47" s="33" t="s">
        <v>213</v>
      </c>
      <c r="B47" s="34">
        <v>1</v>
      </c>
      <c r="C47" s="35" t="s">
        <v>218</v>
      </c>
      <c r="D47" s="35" t="s">
        <v>219</v>
      </c>
      <c r="E47" s="44"/>
      <c r="F47" s="37">
        <v>5.32</v>
      </c>
      <c r="G47">
        <f t="shared" si="0"/>
        <v>5.32</v>
      </c>
    </row>
    <row r="48" spans="1:7" x14ac:dyDescent="0.25">
      <c r="A48" s="33" t="s">
        <v>213</v>
      </c>
      <c r="B48" s="34">
        <v>1</v>
      </c>
      <c r="C48" s="35" t="s">
        <v>220</v>
      </c>
      <c r="D48" s="35" t="s">
        <v>221</v>
      </c>
      <c r="E48" s="44"/>
      <c r="F48" s="37">
        <v>0.42</v>
      </c>
      <c r="G48">
        <f t="shared" si="0"/>
        <v>0.42</v>
      </c>
    </row>
    <row r="49" spans="1:7" x14ac:dyDescent="0.25">
      <c r="A49" s="33" t="s">
        <v>213</v>
      </c>
      <c r="B49" s="34">
        <v>7</v>
      </c>
      <c r="C49" s="35" t="s">
        <v>222</v>
      </c>
      <c r="D49" s="35" t="s">
        <v>223</v>
      </c>
      <c r="E49" s="44"/>
      <c r="F49" s="37">
        <v>4.0599999999999996</v>
      </c>
      <c r="G49">
        <f t="shared" si="0"/>
        <v>28.419999999999998</v>
      </c>
    </row>
    <row r="50" spans="1:7" x14ac:dyDescent="0.25">
      <c r="A50" s="33" t="s">
        <v>213</v>
      </c>
      <c r="B50" s="34">
        <v>1</v>
      </c>
      <c r="C50" s="35" t="s">
        <v>307</v>
      </c>
      <c r="D50" s="35" t="s">
        <v>308</v>
      </c>
      <c r="E50" s="44"/>
      <c r="F50" s="37">
        <v>0.5</v>
      </c>
      <c r="G50">
        <f t="shared" si="0"/>
        <v>0.5</v>
      </c>
    </row>
    <row r="51" spans="1:7" ht="15.75" thickBot="1" x14ac:dyDescent="0.3">
      <c r="A51" s="45" t="s">
        <v>213</v>
      </c>
      <c r="B51" s="46">
        <v>1</v>
      </c>
      <c r="C51" s="47" t="s">
        <v>224</v>
      </c>
      <c r="D51" s="47" t="s">
        <v>225</v>
      </c>
      <c r="E51" s="50"/>
      <c r="F51" s="49">
        <v>0.33600000000000002</v>
      </c>
      <c r="G51">
        <f t="shared" si="0"/>
        <v>0.33600000000000002</v>
      </c>
    </row>
    <row r="52" spans="1:7" x14ac:dyDescent="0.25">
      <c r="A52" s="33" t="s">
        <v>226</v>
      </c>
      <c r="B52" s="34">
        <v>1</v>
      </c>
      <c r="C52" s="35" t="s">
        <v>227</v>
      </c>
      <c r="D52" s="35" t="s">
        <v>228</v>
      </c>
      <c r="E52" s="44"/>
      <c r="F52" s="37">
        <v>1.1759999999999999</v>
      </c>
      <c r="G52">
        <f t="shared" si="0"/>
        <v>1.1759999999999999</v>
      </c>
    </row>
    <row r="53" spans="1:7" ht="15.75" thickBot="1" x14ac:dyDescent="0.3">
      <c r="A53" s="45" t="s">
        <v>226</v>
      </c>
      <c r="B53" s="46">
        <v>6</v>
      </c>
      <c r="C53" s="47" t="s">
        <v>309</v>
      </c>
      <c r="D53" s="47" t="s">
        <v>229</v>
      </c>
      <c r="E53" s="50"/>
      <c r="F53" s="49">
        <v>0.154</v>
      </c>
      <c r="G53">
        <f t="shared" si="0"/>
        <v>0.92399999999999993</v>
      </c>
    </row>
    <row r="54" spans="1:7" x14ac:dyDescent="0.25">
      <c r="A54" s="33" t="s">
        <v>230</v>
      </c>
      <c r="B54" s="34">
        <v>3</v>
      </c>
      <c r="C54" s="35" t="s">
        <v>231</v>
      </c>
      <c r="D54" s="35" t="s">
        <v>232</v>
      </c>
      <c r="E54" s="44"/>
      <c r="F54" s="37">
        <v>2.5399999999999999E-2</v>
      </c>
      <c r="G54">
        <f t="shared" si="0"/>
        <v>7.619999999999999E-2</v>
      </c>
    </row>
    <row r="55" spans="1:7" x14ac:dyDescent="0.25">
      <c r="A55" s="33" t="s">
        <v>230</v>
      </c>
      <c r="B55" s="34">
        <v>1</v>
      </c>
      <c r="C55" s="35" t="s">
        <v>233</v>
      </c>
      <c r="D55" s="35" t="s">
        <v>234</v>
      </c>
      <c r="E55" s="44"/>
      <c r="F55" s="37">
        <v>0.51800000000000002</v>
      </c>
      <c r="G55">
        <f t="shared" si="0"/>
        <v>0.51800000000000002</v>
      </c>
    </row>
    <row r="56" spans="1:7" x14ac:dyDescent="0.25">
      <c r="A56" s="33" t="s">
        <v>230</v>
      </c>
      <c r="B56" s="34">
        <v>1</v>
      </c>
      <c r="C56" s="35" t="s">
        <v>235</v>
      </c>
      <c r="D56" s="35" t="s">
        <v>236</v>
      </c>
      <c r="E56" s="44"/>
      <c r="F56" s="37">
        <v>0.19600000000000001</v>
      </c>
      <c r="G56">
        <f t="shared" si="0"/>
        <v>0.19600000000000001</v>
      </c>
    </row>
    <row r="57" spans="1:7" x14ac:dyDescent="0.25">
      <c r="A57" s="33" t="s">
        <v>230</v>
      </c>
      <c r="B57" s="34">
        <v>5</v>
      </c>
      <c r="C57" s="35" t="s">
        <v>237</v>
      </c>
      <c r="D57" s="35" t="s">
        <v>238</v>
      </c>
      <c r="E57" s="44"/>
      <c r="F57" s="37">
        <v>0.61599999999999999</v>
      </c>
      <c r="G57">
        <f t="shared" si="0"/>
        <v>3.08</v>
      </c>
    </row>
    <row r="58" spans="1:7" x14ac:dyDescent="0.25">
      <c r="A58" s="33" t="s">
        <v>230</v>
      </c>
      <c r="B58" s="34">
        <v>1</v>
      </c>
      <c r="C58" s="35" t="s">
        <v>239</v>
      </c>
      <c r="D58" s="35" t="s">
        <v>240</v>
      </c>
      <c r="E58" s="44"/>
      <c r="F58" s="37">
        <v>7.0000000000000007E-2</v>
      </c>
      <c r="G58">
        <f t="shared" si="0"/>
        <v>7.0000000000000007E-2</v>
      </c>
    </row>
    <row r="59" spans="1:7" x14ac:dyDescent="0.25">
      <c r="A59" s="33" t="s">
        <v>230</v>
      </c>
      <c r="B59" s="34">
        <v>1</v>
      </c>
      <c r="C59" s="35" t="s">
        <v>241</v>
      </c>
      <c r="D59" s="35" t="s">
        <v>242</v>
      </c>
      <c r="E59" s="44"/>
      <c r="F59" s="37">
        <v>0.19600000000000001</v>
      </c>
      <c r="G59">
        <f t="shared" si="0"/>
        <v>0.19600000000000001</v>
      </c>
    </row>
    <row r="60" spans="1:7" x14ac:dyDescent="0.25">
      <c r="A60" s="33" t="s">
        <v>230</v>
      </c>
      <c r="B60" s="34">
        <v>1</v>
      </c>
      <c r="C60" s="35" t="s">
        <v>310</v>
      </c>
      <c r="D60" s="35" t="s">
        <v>311</v>
      </c>
      <c r="E60" s="44"/>
      <c r="F60" s="37">
        <v>0.2</v>
      </c>
      <c r="G60">
        <f t="shared" si="0"/>
        <v>0.2</v>
      </c>
    </row>
    <row r="61" spans="1:7" x14ac:dyDescent="0.25">
      <c r="A61" s="33" t="s">
        <v>230</v>
      </c>
      <c r="B61" s="34">
        <v>6</v>
      </c>
      <c r="C61" s="35" t="s">
        <v>312</v>
      </c>
      <c r="D61" s="35" t="s">
        <v>313</v>
      </c>
      <c r="E61" s="44"/>
      <c r="F61" s="37">
        <v>0.2</v>
      </c>
      <c r="G61">
        <f t="shared" si="0"/>
        <v>1.2000000000000002</v>
      </c>
    </row>
    <row r="62" spans="1:7" ht="15.75" thickBot="1" x14ac:dyDescent="0.3">
      <c r="A62" s="45" t="s">
        <v>230</v>
      </c>
      <c r="B62" s="46">
        <v>1</v>
      </c>
      <c r="C62" s="47" t="s">
        <v>314</v>
      </c>
      <c r="D62" s="47" t="s">
        <v>315</v>
      </c>
      <c r="E62" s="50"/>
      <c r="F62" s="37">
        <v>0.2</v>
      </c>
      <c r="G62">
        <f t="shared" si="0"/>
        <v>0.2</v>
      </c>
    </row>
    <row r="63" spans="1:7" x14ac:dyDescent="0.25">
      <c r="A63" s="33" t="s">
        <v>243</v>
      </c>
      <c r="B63" s="34">
        <v>1</v>
      </c>
      <c r="C63" s="35" t="s">
        <v>244</v>
      </c>
      <c r="D63" s="35" t="s">
        <v>245</v>
      </c>
      <c r="E63" s="44"/>
      <c r="F63" s="37">
        <v>0.02</v>
      </c>
      <c r="G63">
        <f t="shared" si="0"/>
        <v>0.02</v>
      </c>
    </row>
    <row r="64" spans="1:7" x14ac:dyDescent="0.25">
      <c r="A64" s="33" t="s">
        <v>243</v>
      </c>
      <c r="B64" s="34">
        <v>1</v>
      </c>
      <c r="C64" s="35" t="s">
        <v>246</v>
      </c>
      <c r="D64" s="35" t="s">
        <v>247</v>
      </c>
      <c r="E64" s="44"/>
      <c r="F64" s="37">
        <v>0.112</v>
      </c>
      <c r="G64">
        <f t="shared" si="0"/>
        <v>0.112</v>
      </c>
    </row>
    <row r="65" spans="1:7" x14ac:dyDescent="0.25">
      <c r="A65" s="33" t="s">
        <v>243</v>
      </c>
      <c r="B65" s="34">
        <v>1</v>
      </c>
      <c r="C65" s="35" t="s">
        <v>248</v>
      </c>
      <c r="D65" s="35" t="s">
        <v>249</v>
      </c>
      <c r="E65" s="44"/>
      <c r="F65" s="37">
        <v>3.22</v>
      </c>
      <c r="G65">
        <f t="shared" si="0"/>
        <v>3.22</v>
      </c>
    </row>
    <row r="66" spans="1:7" x14ac:dyDescent="0.25">
      <c r="A66" s="33" t="s">
        <v>243</v>
      </c>
      <c r="B66" s="34">
        <v>1</v>
      </c>
      <c r="C66" s="35" t="s">
        <v>250</v>
      </c>
      <c r="D66" s="35" t="s">
        <v>251</v>
      </c>
      <c r="E66" s="44"/>
      <c r="F66" s="37">
        <v>1.4</v>
      </c>
      <c r="G66">
        <f t="shared" si="0"/>
        <v>1.4</v>
      </c>
    </row>
    <row r="67" spans="1:7" x14ac:dyDescent="0.25">
      <c r="A67" s="33" t="s">
        <v>243</v>
      </c>
      <c r="B67" s="34">
        <v>1</v>
      </c>
      <c r="C67" s="35" t="s">
        <v>316</v>
      </c>
      <c r="D67" s="35" t="s">
        <v>252</v>
      </c>
      <c r="E67" s="44"/>
      <c r="F67" s="37">
        <v>1.4</v>
      </c>
      <c r="G67">
        <f t="shared" si="0"/>
        <v>1.4</v>
      </c>
    </row>
    <row r="68" spans="1:7" x14ac:dyDescent="0.25">
      <c r="A68" s="33" t="s">
        <v>243</v>
      </c>
      <c r="B68" s="34">
        <v>1</v>
      </c>
      <c r="C68" s="35" t="s">
        <v>253</v>
      </c>
      <c r="D68" s="35" t="s">
        <v>254</v>
      </c>
      <c r="E68" s="44"/>
      <c r="F68" s="37">
        <v>1.4</v>
      </c>
      <c r="G68">
        <f t="shared" si="0"/>
        <v>1.4</v>
      </c>
    </row>
    <row r="69" spans="1:7" x14ac:dyDescent="0.25">
      <c r="A69" s="33" t="s">
        <v>243</v>
      </c>
      <c r="B69" s="34">
        <v>1</v>
      </c>
      <c r="C69" s="35" t="s">
        <v>255</v>
      </c>
      <c r="D69" s="35" t="s">
        <v>256</v>
      </c>
      <c r="E69" s="44"/>
      <c r="F69" s="37">
        <v>1.4</v>
      </c>
      <c r="G69">
        <f t="shared" si="0"/>
        <v>1.4</v>
      </c>
    </row>
    <row r="70" spans="1:7" x14ac:dyDescent="0.25">
      <c r="A70" s="33" t="s">
        <v>243</v>
      </c>
      <c r="B70" s="34">
        <v>1</v>
      </c>
      <c r="C70" s="35" t="s">
        <v>317</v>
      </c>
      <c r="D70" s="35" t="s">
        <v>318</v>
      </c>
      <c r="E70" s="44"/>
      <c r="F70" s="37">
        <v>1.4</v>
      </c>
      <c r="G70">
        <f t="shared" si="0"/>
        <v>1.4</v>
      </c>
    </row>
    <row r="71" spans="1:7" x14ac:dyDescent="0.25">
      <c r="A71" s="33" t="s">
        <v>243</v>
      </c>
      <c r="B71" s="34">
        <v>1</v>
      </c>
      <c r="C71" s="35" t="s">
        <v>257</v>
      </c>
      <c r="D71" s="35" t="s">
        <v>319</v>
      </c>
      <c r="E71" s="44"/>
      <c r="F71" s="37">
        <v>1.4</v>
      </c>
      <c r="G71">
        <f t="shared" si="0"/>
        <v>1.4</v>
      </c>
    </row>
    <row r="72" spans="1:7" x14ac:dyDescent="0.25">
      <c r="A72" s="33" t="s">
        <v>243</v>
      </c>
      <c r="B72" s="34">
        <v>1</v>
      </c>
      <c r="C72" s="35" t="s">
        <v>258</v>
      </c>
      <c r="D72" s="35" t="s">
        <v>259</v>
      </c>
      <c r="E72" s="44"/>
      <c r="F72" s="37">
        <v>1.4</v>
      </c>
      <c r="G72">
        <f t="shared" si="0"/>
        <v>1.4</v>
      </c>
    </row>
    <row r="73" spans="1:7" x14ac:dyDescent="0.25">
      <c r="A73" s="33" t="s">
        <v>243</v>
      </c>
      <c r="B73" s="34">
        <v>1</v>
      </c>
      <c r="C73" s="35" t="s">
        <v>260</v>
      </c>
      <c r="D73" s="35" t="s">
        <v>261</v>
      </c>
      <c r="E73" s="44"/>
      <c r="F73" s="37">
        <v>1.4</v>
      </c>
      <c r="G73">
        <f t="shared" si="0"/>
        <v>1.4</v>
      </c>
    </row>
    <row r="74" spans="1:7" x14ac:dyDescent="0.25">
      <c r="A74" s="33" t="s">
        <v>243</v>
      </c>
      <c r="B74" s="34">
        <v>1</v>
      </c>
      <c r="C74" s="35" t="s">
        <v>262</v>
      </c>
      <c r="D74" s="35" t="s">
        <v>263</v>
      </c>
      <c r="E74" s="44"/>
      <c r="F74" s="37">
        <v>1.4</v>
      </c>
      <c r="G74">
        <f t="shared" si="0"/>
        <v>1.4</v>
      </c>
    </row>
    <row r="75" spans="1:7" x14ac:dyDescent="0.25">
      <c r="A75" s="33" t="s">
        <v>243</v>
      </c>
      <c r="B75" s="34">
        <v>1</v>
      </c>
      <c r="C75" s="35" t="s">
        <v>320</v>
      </c>
      <c r="D75" s="35" t="s">
        <v>321</v>
      </c>
      <c r="E75" s="44"/>
      <c r="F75" s="37">
        <v>1.4</v>
      </c>
      <c r="G75">
        <f t="shared" si="0"/>
        <v>1.4</v>
      </c>
    </row>
    <row r="76" spans="1:7" x14ac:dyDescent="0.25">
      <c r="A76" s="33" t="s">
        <v>243</v>
      </c>
      <c r="B76" s="34">
        <v>1</v>
      </c>
      <c r="C76" s="35" t="s">
        <v>264</v>
      </c>
      <c r="D76" s="35" t="s">
        <v>265</v>
      </c>
      <c r="E76" s="44"/>
      <c r="F76" s="37">
        <v>1.4</v>
      </c>
      <c r="G76">
        <f t="shared" si="0"/>
        <v>1.4</v>
      </c>
    </row>
    <row r="77" spans="1:7" x14ac:dyDescent="0.25">
      <c r="A77" s="33" t="s">
        <v>243</v>
      </c>
      <c r="B77" s="34">
        <v>1</v>
      </c>
      <c r="C77" s="35" t="s">
        <v>266</v>
      </c>
      <c r="D77" s="35" t="s">
        <v>267</v>
      </c>
      <c r="E77" s="44"/>
      <c r="F77" s="37">
        <v>1.4</v>
      </c>
      <c r="G77">
        <f t="shared" ref="G77:G100" si="1">B77*F77</f>
        <v>1.4</v>
      </c>
    </row>
    <row r="78" spans="1:7" x14ac:dyDescent="0.25">
      <c r="A78" s="33" t="s">
        <v>243</v>
      </c>
      <c r="B78" s="34">
        <v>1</v>
      </c>
      <c r="C78" s="35" t="s">
        <v>268</v>
      </c>
      <c r="D78" s="35" t="s">
        <v>269</v>
      </c>
      <c r="E78" s="44"/>
      <c r="F78" s="37">
        <v>1.4</v>
      </c>
      <c r="G78">
        <f t="shared" si="1"/>
        <v>1.4</v>
      </c>
    </row>
    <row r="79" spans="1:7" x14ac:dyDescent="0.25">
      <c r="A79" s="33" t="s">
        <v>243</v>
      </c>
      <c r="B79" s="34">
        <v>1</v>
      </c>
      <c r="C79" s="35" t="s">
        <v>270</v>
      </c>
      <c r="D79" s="35" t="s">
        <v>271</v>
      </c>
      <c r="E79" s="44"/>
      <c r="F79" s="37">
        <v>1.4</v>
      </c>
      <c r="G79">
        <f t="shared" si="1"/>
        <v>1.4</v>
      </c>
    </row>
    <row r="80" spans="1:7" x14ac:dyDescent="0.25">
      <c r="A80" s="33" t="s">
        <v>243</v>
      </c>
      <c r="B80" s="34">
        <v>1</v>
      </c>
      <c r="C80" s="35" t="s">
        <v>272</v>
      </c>
      <c r="D80" s="35" t="s">
        <v>322</v>
      </c>
      <c r="E80" s="44"/>
      <c r="F80" s="37">
        <v>1.4</v>
      </c>
      <c r="G80">
        <f t="shared" si="1"/>
        <v>1.4</v>
      </c>
    </row>
    <row r="81" spans="1:7" x14ac:dyDescent="0.25">
      <c r="A81" s="33" t="s">
        <v>243</v>
      </c>
      <c r="B81" s="34">
        <v>1</v>
      </c>
      <c r="C81" s="35" t="s">
        <v>273</v>
      </c>
      <c r="D81" s="35" t="s">
        <v>323</v>
      </c>
      <c r="E81" s="44"/>
      <c r="F81" s="37">
        <v>1.4</v>
      </c>
      <c r="G81">
        <f t="shared" si="1"/>
        <v>1.4</v>
      </c>
    </row>
    <row r="82" spans="1:7" x14ac:dyDescent="0.25">
      <c r="A82" s="33" t="s">
        <v>243</v>
      </c>
      <c r="B82" s="34">
        <v>7</v>
      </c>
      <c r="C82" s="35" t="s">
        <v>324</v>
      </c>
      <c r="D82" s="35" t="s">
        <v>325</v>
      </c>
      <c r="E82" s="44"/>
      <c r="F82" s="37">
        <v>1</v>
      </c>
      <c r="G82">
        <f t="shared" si="1"/>
        <v>7</v>
      </c>
    </row>
    <row r="83" spans="1:7" x14ac:dyDescent="0.25">
      <c r="A83" s="33" t="s">
        <v>243</v>
      </c>
      <c r="B83" s="34">
        <v>1</v>
      </c>
      <c r="C83" s="35" t="s">
        <v>274</v>
      </c>
      <c r="D83" s="35" t="s">
        <v>275</v>
      </c>
      <c r="E83" s="36" t="s">
        <v>276</v>
      </c>
      <c r="F83" s="37">
        <v>0.32200000000000001</v>
      </c>
      <c r="G83">
        <f t="shared" si="1"/>
        <v>0.32200000000000001</v>
      </c>
    </row>
    <row r="84" spans="1:7" x14ac:dyDescent="0.25">
      <c r="A84" s="33" t="s">
        <v>243</v>
      </c>
      <c r="B84" s="34">
        <v>2</v>
      </c>
      <c r="C84" s="35" t="s">
        <v>326</v>
      </c>
      <c r="D84" s="35" t="s">
        <v>277</v>
      </c>
      <c r="E84" s="36" t="s">
        <v>276</v>
      </c>
      <c r="F84" s="37">
        <v>0.32200000000000001</v>
      </c>
      <c r="G84">
        <f t="shared" si="1"/>
        <v>0.64400000000000002</v>
      </c>
    </row>
    <row r="85" spans="1:7" x14ac:dyDescent="0.25">
      <c r="A85" s="33" t="s">
        <v>243</v>
      </c>
      <c r="B85" s="34">
        <v>1</v>
      </c>
      <c r="C85" s="35" t="s">
        <v>278</v>
      </c>
      <c r="D85" s="35" t="s">
        <v>279</v>
      </c>
      <c r="E85" s="36" t="s">
        <v>276</v>
      </c>
      <c r="F85" s="37">
        <v>0.32200000000000001</v>
      </c>
      <c r="G85">
        <f t="shared" si="1"/>
        <v>0.32200000000000001</v>
      </c>
    </row>
    <row r="86" spans="1:7" x14ac:dyDescent="0.25">
      <c r="A86" s="33" t="s">
        <v>243</v>
      </c>
      <c r="B86" s="34">
        <v>1</v>
      </c>
      <c r="C86" s="35" t="s">
        <v>327</v>
      </c>
      <c r="D86" s="35" t="s">
        <v>328</v>
      </c>
      <c r="E86" s="36" t="s">
        <v>276</v>
      </c>
      <c r="F86" s="37">
        <v>0.32200000000000001</v>
      </c>
      <c r="G86">
        <f t="shared" si="1"/>
        <v>0.32200000000000001</v>
      </c>
    </row>
    <row r="87" spans="1:7" x14ac:dyDescent="0.25">
      <c r="A87" s="33" t="s">
        <v>243</v>
      </c>
      <c r="B87" s="34">
        <v>2</v>
      </c>
      <c r="C87" s="35" t="s">
        <v>329</v>
      </c>
      <c r="D87" s="35" t="s">
        <v>330</v>
      </c>
      <c r="E87" s="44"/>
      <c r="F87" s="37">
        <v>0.5</v>
      </c>
      <c r="G87">
        <f t="shared" si="1"/>
        <v>1</v>
      </c>
    </row>
    <row r="88" spans="1:7" x14ac:dyDescent="0.25">
      <c r="A88" s="33" t="s">
        <v>243</v>
      </c>
      <c r="B88" s="34">
        <v>1</v>
      </c>
      <c r="C88" s="35" t="s">
        <v>331</v>
      </c>
      <c r="D88" s="35" t="s">
        <v>332</v>
      </c>
      <c r="E88" s="44"/>
      <c r="F88" s="37">
        <f>6*1.4</f>
        <v>8.3999999999999986</v>
      </c>
      <c r="G88">
        <f t="shared" si="1"/>
        <v>8.3999999999999986</v>
      </c>
    </row>
    <row r="89" spans="1:7" x14ac:dyDescent="0.25">
      <c r="A89" s="33" t="s">
        <v>243</v>
      </c>
      <c r="B89" s="34">
        <v>5</v>
      </c>
      <c r="C89" s="35" t="s">
        <v>280</v>
      </c>
      <c r="D89" s="35" t="s">
        <v>281</v>
      </c>
      <c r="E89" s="44"/>
      <c r="F89" s="37">
        <v>2.2400000000000002</v>
      </c>
      <c r="G89">
        <f t="shared" si="1"/>
        <v>11.200000000000001</v>
      </c>
    </row>
    <row r="90" spans="1:7" x14ac:dyDescent="0.25">
      <c r="A90" s="33" t="s">
        <v>243</v>
      </c>
      <c r="B90" s="34">
        <v>1</v>
      </c>
      <c r="C90" s="35" t="s">
        <v>282</v>
      </c>
      <c r="D90" s="35" t="s">
        <v>283</v>
      </c>
      <c r="E90" s="44"/>
      <c r="F90" s="37">
        <v>0.02</v>
      </c>
      <c r="G90">
        <f t="shared" si="1"/>
        <v>0.02</v>
      </c>
    </row>
    <row r="91" spans="1:7" x14ac:dyDescent="0.25">
      <c r="A91" s="33" t="s">
        <v>243</v>
      </c>
      <c r="B91" s="34">
        <v>1</v>
      </c>
      <c r="C91" s="35" t="s">
        <v>333</v>
      </c>
      <c r="D91" s="35" t="s">
        <v>284</v>
      </c>
      <c r="E91" s="44"/>
      <c r="F91" s="37">
        <v>2.66</v>
      </c>
      <c r="G91">
        <f t="shared" si="1"/>
        <v>2.66</v>
      </c>
    </row>
    <row r="92" spans="1:7" x14ac:dyDescent="0.25">
      <c r="A92" s="33" t="s">
        <v>243</v>
      </c>
      <c r="B92" s="34">
        <v>2</v>
      </c>
      <c r="C92" s="35" t="s">
        <v>285</v>
      </c>
      <c r="D92" s="35" t="s">
        <v>286</v>
      </c>
      <c r="E92" s="44"/>
      <c r="F92" s="37">
        <v>1.036</v>
      </c>
      <c r="G92">
        <f t="shared" si="1"/>
        <v>2.0720000000000001</v>
      </c>
    </row>
    <row r="93" spans="1:7" ht="15.75" thickBot="1" x14ac:dyDescent="0.3">
      <c r="A93" s="45" t="s">
        <v>243</v>
      </c>
      <c r="B93" s="46">
        <v>1</v>
      </c>
      <c r="C93" s="47" t="s">
        <v>287</v>
      </c>
      <c r="D93" s="47" t="s">
        <v>288</v>
      </c>
      <c r="E93" s="50"/>
      <c r="F93" s="49">
        <v>0.75600000000000001</v>
      </c>
      <c r="G93">
        <f t="shared" si="1"/>
        <v>0.75600000000000001</v>
      </c>
    </row>
    <row r="94" spans="1:7" x14ac:dyDescent="0.25">
      <c r="A94" s="51" t="s">
        <v>334</v>
      </c>
      <c r="B94" s="34">
        <v>1</v>
      </c>
      <c r="C94" s="35"/>
      <c r="D94" s="35"/>
      <c r="E94" s="44"/>
      <c r="F94" s="52">
        <v>8</v>
      </c>
      <c r="G94">
        <f t="shared" si="1"/>
        <v>8</v>
      </c>
    </row>
    <row r="95" spans="1:7" x14ac:dyDescent="0.25">
      <c r="A95" s="51" t="s">
        <v>335</v>
      </c>
      <c r="B95" s="34">
        <v>1</v>
      </c>
      <c r="C95" s="35"/>
      <c r="D95" s="35"/>
      <c r="E95" s="44"/>
      <c r="F95" s="52">
        <v>15</v>
      </c>
      <c r="G95" s="53">
        <f>B95*F95</f>
        <v>15</v>
      </c>
    </row>
    <row r="96" spans="1:7" x14ac:dyDescent="0.25">
      <c r="A96" s="54" t="s">
        <v>14</v>
      </c>
      <c r="B96" s="55"/>
      <c r="C96" s="56"/>
      <c r="D96" s="56"/>
      <c r="E96" s="57"/>
      <c r="F96" s="58"/>
      <c r="G96" s="59">
        <f>(SUM(G12:G95))*4</f>
        <v>595.87248000000034</v>
      </c>
    </row>
    <row r="97" spans="1:7" x14ac:dyDescent="0.25">
      <c r="A97" s="51"/>
      <c r="B97" s="34"/>
      <c r="C97" s="35"/>
      <c r="D97" s="35"/>
      <c r="E97" s="44"/>
      <c r="F97" s="52"/>
    </row>
    <row r="98" spans="1:7" x14ac:dyDescent="0.25">
      <c r="A98" s="51" t="s">
        <v>336</v>
      </c>
      <c r="B98" s="60">
        <v>1</v>
      </c>
      <c r="F98" s="61">
        <v>12</v>
      </c>
      <c r="G98">
        <f t="shared" si="1"/>
        <v>12</v>
      </c>
    </row>
    <row r="99" spans="1:7" x14ac:dyDescent="0.25">
      <c r="A99" s="51" t="s">
        <v>335</v>
      </c>
      <c r="B99" s="60">
        <v>1</v>
      </c>
      <c r="F99" s="61">
        <v>5</v>
      </c>
      <c r="G99">
        <f t="shared" si="1"/>
        <v>5</v>
      </c>
    </row>
    <row r="100" spans="1:7" x14ac:dyDescent="0.25">
      <c r="A100" s="51" t="s">
        <v>337</v>
      </c>
      <c r="B100" s="60">
        <v>2</v>
      </c>
      <c r="F100" s="61">
        <v>0.3</v>
      </c>
      <c r="G100">
        <f t="shared" si="1"/>
        <v>0.6</v>
      </c>
    </row>
    <row r="101" spans="1:7" x14ac:dyDescent="0.25">
      <c r="A101" s="62" t="s">
        <v>338</v>
      </c>
      <c r="B101" s="63">
        <v>100</v>
      </c>
      <c r="C101" s="62" t="s">
        <v>339</v>
      </c>
      <c r="D101" s="62"/>
      <c r="E101" s="64"/>
      <c r="F101" s="62" t="s">
        <v>340</v>
      </c>
      <c r="G101">
        <f>B101*F101</f>
        <v>30</v>
      </c>
    </row>
    <row r="102" spans="1:7" x14ac:dyDescent="0.25">
      <c r="G102">
        <f>SUM(G98:G101)</f>
        <v>47.6</v>
      </c>
    </row>
    <row r="103" spans="1:7" x14ac:dyDescent="0.25">
      <c r="A103" s="65" t="s">
        <v>341</v>
      </c>
      <c r="G103">
        <f>G102*8</f>
        <v>380.8</v>
      </c>
    </row>
  </sheetData>
  <mergeCells count="14">
    <mergeCell ref="A3:C3"/>
    <mergeCell ref="D3:E3"/>
    <mergeCell ref="A4:C4"/>
    <mergeCell ref="D4:E4"/>
    <mergeCell ref="A5:C5"/>
    <mergeCell ref="D5:E5"/>
    <mergeCell ref="A9:C9"/>
    <mergeCell ref="D9:E9"/>
    <mergeCell ref="A6:C6"/>
    <mergeCell ref="D6:E6"/>
    <mergeCell ref="A7:C7"/>
    <mergeCell ref="D7:E7"/>
    <mergeCell ref="A8:C8"/>
    <mergeCell ref="D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31A5-B809-48A5-8C67-CA6DBA2BAD59}">
  <dimension ref="A1:E11"/>
  <sheetViews>
    <sheetView workbookViewId="0">
      <selection activeCell="A9" activeCellId="1" sqref="C9:C10 A9:A10"/>
    </sheetView>
  </sheetViews>
  <sheetFormatPr defaultRowHeight="15" x14ac:dyDescent="0.25"/>
  <cols>
    <col min="1" max="1" width="13.42578125" bestFit="1" customWidth="1"/>
    <col min="3" max="3" width="11.5703125" bestFit="1" customWidth="1"/>
    <col min="4" max="4" width="11" bestFit="1" customWidth="1"/>
    <col min="5" max="5" width="11.42578125" bestFit="1" customWidth="1"/>
  </cols>
  <sheetData>
    <row r="1" spans="1:5" x14ac:dyDescent="0.25">
      <c r="A1" t="s">
        <v>353</v>
      </c>
      <c r="B1" t="s">
        <v>354</v>
      </c>
      <c r="C1" t="s">
        <v>355</v>
      </c>
      <c r="D1" t="s">
        <v>356</v>
      </c>
      <c r="E1" t="s">
        <v>357</v>
      </c>
    </row>
    <row r="2" spans="1:5" x14ac:dyDescent="0.25">
      <c r="A2" s="67" t="s">
        <v>336</v>
      </c>
      <c r="B2" s="68">
        <v>1</v>
      </c>
      <c r="C2" s="70">
        <v>12</v>
      </c>
      <c r="D2" s="69">
        <f>B2*C2</f>
        <v>12</v>
      </c>
      <c r="E2" s="63">
        <f>D2*416</f>
        <v>4992</v>
      </c>
    </row>
    <row r="3" spans="1:5" x14ac:dyDescent="0.25">
      <c r="A3" s="67" t="s">
        <v>335</v>
      </c>
      <c r="B3" s="68">
        <v>1</v>
      </c>
      <c r="C3" s="70">
        <v>5</v>
      </c>
      <c r="D3" s="69">
        <f>B3*C3</f>
        <v>5</v>
      </c>
      <c r="E3" s="63">
        <f t="shared" ref="E3:E6" si="0">D3*416</f>
        <v>2080</v>
      </c>
    </row>
    <row r="4" spans="1:5" x14ac:dyDescent="0.25">
      <c r="A4" s="67" t="s">
        <v>337</v>
      </c>
      <c r="B4" s="68">
        <v>2</v>
      </c>
      <c r="C4" s="70">
        <v>0.3</v>
      </c>
      <c r="D4" s="69">
        <f>B4*C4</f>
        <v>0.6</v>
      </c>
      <c r="E4" s="63">
        <f t="shared" si="0"/>
        <v>249.6</v>
      </c>
    </row>
    <row r="5" spans="1:5" x14ac:dyDescent="0.25">
      <c r="A5" s="67" t="s">
        <v>338</v>
      </c>
      <c r="B5" s="71">
        <v>100</v>
      </c>
      <c r="C5" s="67" t="s">
        <v>340</v>
      </c>
      <c r="D5" s="69">
        <f>B5*C5</f>
        <v>30</v>
      </c>
      <c r="E5" s="63">
        <f t="shared" si="0"/>
        <v>12480</v>
      </c>
    </row>
    <row r="6" spans="1:5" x14ac:dyDescent="0.25">
      <c r="A6" s="69" t="s">
        <v>14</v>
      </c>
      <c r="B6" s="69"/>
      <c r="C6" s="69"/>
      <c r="D6" s="69">
        <f>SUM(D2:D5)</f>
        <v>47.6</v>
      </c>
      <c r="E6" s="63">
        <f t="shared" si="0"/>
        <v>19801.600000000002</v>
      </c>
    </row>
    <row r="9" spans="1:5" x14ac:dyDescent="0.25">
      <c r="A9" t="s">
        <v>358</v>
      </c>
      <c r="B9">
        <v>596</v>
      </c>
      <c r="C9" s="25">
        <f>B9/$B$11</f>
        <v>0.32497273718647762</v>
      </c>
    </row>
    <row r="10" spans="1:5" x14ac:dyDescent="0.25">
      <c r="A10" t="s">
        <v>359</v>
      </c>
      <c r="B10">
        <v>1238</v>
      </c>
      <c r="C10" s="25">
        <f>B10/$B$11</f>
        <v>0.67502726281352232</v>
      </c>
    </row>
    <row r="11" spans="1:5" x14ac:dyDescent="0.25">
      <c r="B11">
        <f>SUM(B9:B10)</f>
        <v>1834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B6A9-3D98-4E9B-AB58-14C8BB555B7B}">
  <dimension ref="A2:H17"/>
  <sheetViews>
    <sheetView workbookViewId="0">
      <selection activeCell="D7" sqref="D7"/>
    </sheetView>
  </sheetViews>
  <sheetFormatPr defaultRowHeight="15" x14ac:dyDescent="0.25"/>
  <cols>
    <col min="1" max="1" width="31.5703125" bestFit="1" customWidth="1"/>
  </cols>
  <sheetData>
    <row r="2" spans="1:8" x14ac:dyDescent="0.25">
      <c r="A2" t="s">
        <v>360</v>
      </c>
      <c r="B2">
        <f>'[3]Secondary load assumptions'!$J$16*2</f>
        <v>4.6192000000000002</v>
      </c>
      <c r="D2">
        <f>B2*4</f>
        <v>18.476800000000001</v>
      </c>
      <c r="E2">
        <f>D2*12*20</f>
        <v>4434.4320000000007</v>
      </c>
      <c r="F2">
        <f>E2/'Weekly energy Anambra'!$D$55</f>
        <v>0.67761450974537618</v>
      </c>
    </row>
    <row r="3" spans="1:8" x14ac:dyDescent="0.25">
      <c r="A3" t="s">
        <v>361</v>
      </c>
      <c r="B3">
        <f>0.5</f>
        <v>0.5</v>
      </c>
    </row>
    <row r="4" spans="1:8" x14ac:dyDescent="0.25">
      <c r="A4" t="s">
        <v>362</v>
      </c>
      <c r="B4">
        <f>B2*B3</f>
        <v>2.3096000000000001</v>
      </c>
    </row>
    <row r="5" spans="1:8" x14ac:dyDescent="0.25">
      <c r="A5" t="s">
        <v>363</v>
      </c>
      <c r="B5">
        <f>B4*4</f>
        <v>9.2384000000000004</v>
      </c>
    </row>
    <row r="6" spans="1:8" x14ac:dyDescent="0.25">
      <c r="A6" t="s">
        <v>364</v>
      </c>
      <c r="B6">
        <f>B5*20</f>
        <v>184.768</v>
      </c>
    </row>
    <row r="7" spans="1:8" x14ac:dyDescent="0.25">
      <c r="A7" t="s">
        <v>365</v>
      </c>
      <c r="B7">
        <f>B6*12</f>
        <v>2217.2159999999999</v>
      </c>
    </row>
    <row r="8" spans="1:8" x14ac:dyDescent="0.25">
      <c r="A8" t="s">
        <v>366</v>
      </c>
      <c r="B8">
        <f>B7*0.5</f>
        <v>1108.6079999999999</v>
      </c>
    </row>
    <row r="9" spans="1:8" x14ac:dyDescent="0.25">
      <c r="A9" t="s">
        <v>367</v>
      </c>
      <c r="B9">
        <f>B7-B8</f>
        <v>1108.6079999999999</v>
      </c>
    </row>
    <row r="11" spans="1:8" x14ac:dyDescent="0.25">
      <c r="A11" t="s">
        <v>368</v>
      </c>
      <c r="B11">
        <v>1.07</v>
      </c>
      <c r="E11" t="s">
        <v>375</v>
      </c>
      <c r="F11" t="s">
        <v>376</v>
      </c>
      <c r="G11" t="s">
        <v>377</v>
      </c>
      <c r="H11" t="s">
        <v>378</v>
      </c>
    </row>
    <row r="12" spans="1:8" x14ac:dyDescent="0.25">
      <c r="A12" t="s">
        <v>369</v>
      </c>
      <c r="B12">
        <v>0.5</v>
      </c>
      <c r="E12" s="72">
        <f>B14</f>
        <v>2679.0000000000005</v>
      </c>
      <c r="F12" s="72">
        <f>B15</f>
        <v>1108.6079999999999</v>
      </c>
      <c r="G12" s="72">
        <f>B16</f>
        <v>1108.6079999999999</v>
      </c>
      <c r="H12" s="72">
        <f>B17</f>
        <v>4896.2160000000003</v>
      </c>
    </row>
    <row r="13" spans="1:8" x14ac:dyDescent="0.25">
      <c r="A13" t="s">
        <v>370</v>
      </c>
      <c r="B13">
        <v>4700</v>
      </c>
    </row>
    <row r="14" spans="1:8" x14ac:dyDescent="0.25">
      <c r="A14" t="s">
        <v>371</v>
      </c>
      <c r="B14" s="72">
        <f>(B11-B12)*B13</f>
        <v>2679.0000000000005</v>
      </c>
    </row>
    <row r="15" spans="1:8" x14ac:dyDescent="0.25">
      <c r="A15" t="s">
        <v>372</v>
      </c>
      <c r="B15" s="72">
        <f>B8</f>
        <v>1108.6079999999999</v>
      </c>
    </row>
    <row r="16" spans="1:8" x14ac:dyDescent="0.25">
      <c r="A16" t="s">
        <v>373</v>
      </c>
      <c r="B16" s="72">
        <f>B9</f>
        <v>1108.6079999999999</v>
      </c>
    </row>
    <row r="17" spans="1:2" x14ac:dyDescent="0.25">
      <c r="A17" t="s">
        <v>374</v>
      </c>
      <c r="B17" s="72">
        <f>SUM(B14:B16)</f>
        <v>4896.2160000000003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1A71-4034-4B51-B0AA-A43A4BF955B4}">
  <dimension ref="A1:J22"/>
  <sheetViews>
    <sheetView zoomScale="50" zoomScaleNormal="50" workbookViewId="0">
      <selection activeCell="L7" sqref="L7"/>
    </sheetView>
  </sheetViews>
  <sheetFormatPr defaultRowHeight="15" x14ac:dyDescent="0.25"/>
  <cols>
    <col min="8" max="8" width="11.85546875" bestFit="1" customWidth="1"/>
    <col min="10" max="10" width="10.85546875" bestFit="1" customWidth="1"/>
  </cols>
  <sheetData>
    <row r="1" spans="1:10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H1" t="s">
        <v>121</v>
      </c>
      <c r="I1" t="s">
        <v>121</v>
      </c>
      <c r="J1" t="s">
        <v>124</v>
      </c>
    </row>
    <row r="2" spans="1:10" x14ac:dyDescent="0.25">
      <c r="A2">
        <v>0</v>
      </c>
      <c r="B2" s="20"/>
      <c r="C2" s="20"/>
      <c r="D2" s="20">
        <f>-ASSUMPTIONS!C33</f>
        <v>-21686.746987951807</v>
      </c>
      <c r="E2" s="21">
        <f t="shared" ref="E2:E22" si="0">(1+$H$8)^-A2</f>
        <v>1</v>
      </c>
      <c r="F2" s="20">
        <f>D2*E2</f>
        <v>-21686.746987951807</v>
      </c>
      <c r="H2" s="22">
        <f>IRR(D2:D22)</f>
        <v>0.13740728047656448</v>
      </c>
    </row>
    <row r="3" spans="1:10" x14ac:dyDescent="0.25">
      <c r="A3">
        <v>1</v>
      </c>
      <c r="B3" s="20">
        <v>0</v>
      </c>
      <c r="C3" s="20">
        <f>'Yearly earnings'!B9</f>
        <v>1108.6079999999999</v>
      </c>
      <c r="D3" s="20">
        <f>SUM(B3:C3)</f>
        <v>1108.6079999999999</v>
      </c>
      <c r="E3" s="21">
        <f t="shared" si="0"/>
        <v>0.90909090909090906</v>
      </c>
      <c r="F3" s="20">
        <f>D3*E3</f>
        <v>1007.8254545454545</v>
      </c>
      <c r="I3" s="25">
        <f>IRR($D$2:D3)</f>
        <v>-0.94888085333333339</v>
      </c>
      <c r="J3" s="26">
        <f>NPV($H$8,$D$3:D4)</f>
        <v>2061.4611570247926</v>
      </c>
    </row>
    <row r="4" spans="1:10" x14ac:dyDescent="0.25">
      <c r="A4">
        <v>2</v>
      </c>
      <c r="B4" s="23">
        <f>(1+$H$11)*B3</f>
        <v>0</v>
      </c>
      <c r="C4" s="20">
        <f>(1+$H$11)*C3</f>
        <v>1274.8991999999998</v>
      </c>
      <c r="D4" s="20">
        <f t="shared" ref="D4:D22" si="1">SUM(B4:C4)</f>
        <v>1274.8991999999998</v>
      </c>
      <c r="E4" s="21">
        <f t="shared" si="0"/>
        <v>0.82644628099173545</v>
      </c>
      <c r="F4" s="20">
        <f t="shared" ref="F4:F22" si="2">D4*E4</f>
        <v>1053.6357024793385</v>
      </c>
      <c r="H4" t="s">
        <v>122</v>
      </c>
      <c r="I4" s="25">
        <f>IRR($D$2:D4)</f>
        <v>-0.73063659065162623</v>
      </c>
      <c r="J4" s="26">
        <f>NPV($H$8,$D$3:D5)</f>
        <v>3162.9893914350105</v>
      </c>
    </row>
    <row r="5" spans="1:10" x14ac:dyDescent="0.25">
      <c r="A5">
        <v>3</v>
      </c>
      <c r="B5" s="23">
        <f t="shared" ref="B5:C20" si="3">(1+$H$11)*B4</f>
        <v>0</v>
      </c>
      <c r="C5" s="20">
        <f>(1+$H$11)*C4</f>
        <v>1466.1340799999998</v>
      </c>
      <c r="D5" s="20">
        <f t="shared" si="1"/>
        <v>1466.1340799999998</v>
      </c>
      <c r="E5" s="21">
        <f t="shared" si="0"/>
        <v>0.75131480090157754</v>
      </c>
      <c r="F5" s="20">
        <f t="shared" si="2"/>
        <v>1101.5282344102175</v>
      </c>
      <c r="H5" s="24">
        <f>NPV($H$8,D3:D22)</f>
        <v>31767.860580566608</v>
      </c>
      <c r="I5" s="25">
        <f>IRR($D$2:D5)</f>
        <v>-0.52519184899688987</v>
      </c>
      <c r="J5" s="26">
        <f>NPV($H$8,$D$3:D6)</f>
        <v>4314.5870910456915</v>
      </c>
    </row>
    <row r="6" spans="1:10" x14ac:dyDescent="0.25">
      <c r="A6">
        <v>4</v>
      </c>
      <c r="B6" s="23">
        <f t="shared" si="3"/>
        <v>0</v>
      </c>
      <c r="C6" s="20">
        <f t="shared" si="3"/>
        <v>1686.0541919999996</v>
      </c>
      <c r="D6" s="20">
        <f t="shared" si="1"/>
        <v>1686.0541919999996</v>
      </c>
      <c r="E6" s="21">
        <f t="shared" si="0"/>
        <v>0.68301345536507052</v>
      </c>
      <c r="F6" s="20">
        <f t="shared" si="2"/>
        <v>1151.5976996106817</v>
      </c>
      <c r="I6" s="25">
        <f>IRR($D$2:D6)</f>
        <v>-0.37135638882762445</v>
      </c>
      <c r="J6" s="26">
        <f>NPV($H$8,$D$3:D7)</f>
        <v>5518.530140638677</v>
      </c>
    </row>
    <row r="7" spans="1:10" x14ac:dyDescent="0.25">
      <c r="A7">
        <v>5</v>
      </c>
      <c r="B7" s="23">
        <f t="shared" si="3"/>
        <v>0</v>
      </c>
      <c r="C7" s="20">
        <f t="shared" si="3"/>
        <v>1938.9623207999994</v>
      </c>
      <c r="D7" s="20">
        <f t="shared" si="1"/>
        <v>1938.9623207999994</v>
      </c>
      <c r="E7" s="21">
        <f t="shared" si="0"/>
        <v>0.62092132305915493</v>
      </c>
      <c r="F7" s="20">
        <f t="shared" si="2"/>
        <v>1203.9430495929853</v>
      </c>
      <c r="H7" t="s">
        <v>119</v>
      </c>
      <c r="I7" s="25">
        <f>IRR($D$2:D7)</f>
        <v>-0.25894389316872091</v>
      </c>
      <c r="J7" s="26">
        <f>NPV($H$8,$D$3:D8)</f>
        <v>6777.19787430407</v>
      </c>
    </row>
    <row r="8" spans="1:10" x14ac:dyDescent="0.25">
      <c r="A8">
        <v>6</v>
      </c>
      <c r="B8" s="23">
        <f t="shared" si="3"/>
        <v>0</v>
      </c>
      <c r="C8" s="20">
        <f t="shared" si="3"/>
        <v>2229.8066689199991</v>
      </c>
      <c r="D8" s="20">
        <f t="shared" si="1"/>
        <v>2229.8066689199991</v>
      </c>
      <c r="E8" s="21">
        <f t="shared" si="0"/>
        <v>0.56447393005377722</v>
      </c>
      <c r="F8" s="20">
        <f t="shared" si="2"/>
        <v>1258.6677336653936</v>
      </c>
      <c r="H8">
        <v>0.1</v>
      </c>
      <c r="I8" s="25">
        <f>IRR($D$2:D8)</f>
        <v>-0.17563732618657812</v>
      </c>
      <c r="J8" s="26">
        <f>NPV($H$8,$D$3:D9)</f>
        <v>8093.0777776815266</v>
      </c>
    </row>
    <row r="9" spans="1:10" x14ac:dyDescent="0.25">
      <c r="A9">
        <v>7</v>
      </c>
      <c r="B9" s="23">
        <f t="shared" si="3"/>
        <v>0</v>
      </c>
      <c r="C9" s="20">
        <f t="shared" si="3"/>
        <v>2564.2776692579987</v>
      </c>
      <c r="D9" s="20">
        <f>SUM(B9:C9)</f>
        <v>2564.2776692579987</v>
      </c>
      <c r="E9" s="21">
        <f t="shared" si="0"/>
        <v>0.51315811823070645</v>
      </c>
      <c r="F9" s="20">
        <f t="shared" si="2"/>
        <v>1315.8799033774565</v>
      </c>
      <c r="I9" s="25">
        <f>IRR($D$2:D9)</f>
        <v>-0.11255518386131225</v>
      </c>
      <c r="J9" s="26">
        <f>NPV($H$8,$D$3:D10)</f>
        <v>9468.7704039397777</v>
      </c>
    </row>
    <row r="10" spans="1:10" x14ac:dyDescent="0.25">
      <c r="A10">
        <v>8</v>
      </c>
      <c r="B10" s="23">
        <f t="shared" si="3"/>
        <v>0</v>
      </c>
      <c r="C10" s="20">
        <f t="shared" si="3"/>
        <v>2948.9193196466981</v>
      </c>
      <c r="D10" s="20">
        <f t="shared" si="1"/>
        <v>2948.9193196466981</v>
      </c>
      <c r="E10" s="21">
        <f t="shared" si="0"/>
        <v>0.46650738020973315</v>
      </c>
      <c r="F10" s="20">
        <f t="shared" si="2"/>
        <v>1375.6926262582499</v>
      </c>
      <c r="H10" t="s">
        <v>123</v>
      </c>
      <c r="I10" s="25">
        <f>IRR($D$2:D10)</f>
        <v>-6.3749855005725276E-2</v>
      </c>
      <c r="J10" s="26">
        <f>NPV($H$8,$D$3:D11)</f>
        <v>10906.994513209766</v>
      </c>
    </row>
    <row r="11" spans="1:10" x14ac:dyDescent="0.25">
      <c r="A11">
        <v>9</v>
      </c>
      <c r="B11" s="23">
        <f t="shared" si="3"/>
        <v>0</v>
      </c>
      <c r="C11" s="20">
        <f t="shared" si="3"/>
        <v>3391.2572175937025</v>
      </c>
      <c r="D11" s="20">
        <f t="shared" si="1"/>
        <v>3391.2572175937025</v>
      </c>
      <c r="E11" s="21">
        <f t="shared" si="0"/>
        <v>0.42409761837248466</v>
      </c>
      <c r="F11" s="20">
        <f t="shared" si="2"/>
        <v>1438.2241092699883</v>
      </c>
      <c r="H11">
        <v>0.15</v>
      </c>
      <c r="I11" s="25">
        <f>IRR($D$2:D11)</f>
        <v>-2.5246303708848283E-2</v>
      </c>
      <c r="J11" s="26">
        <f>NPV($H$8,$D$3:D12)</f>
        <v>12410.592445628388</v>
      </c>
    </row>
    <row r="12" spans="1:10" x14ac:dyDescent="0.25">
      <c r="A12">
        <v>10</v>
      </c>
      <c r="B12" s="23">
        <f t="shared" si="3"/>
        <v>0</v>
      </c>
      <c r="C12" s="20">
        <f t="shared" si="3"/>
        <v>3899.9458002327574</v>
      </c>
      <c r="D12" s="20">
        <f t="shared" si="1"/>
        <v>3899.9458002327574</v>
      </c>
      <c r="E12" s="21">
        <f t="shared" si="0"/>
        <v>0.38554328942953148</v>
      </c>
      <c r="F12" s="20">
        <f t="shared" si="2"/>
        <v>1503.5979324186237</v>
      </c>
      <c r="I12" s="25">
        <f>IRR($D$2:D12)</f>
        <v>5.6572508029213431E-3</v>
      </c>
      <c r="J12" s="26">
        <f>NPV($H$8,$D$3:D13)</f>
        <v>13982.535738611496</v>
      </c>
    </row>
    <row r="13" spans="1:10" x14ac:dyDescent="0.25">
      <c r="A13">
        <v>11</v>
      </c>
      <c r="B13" s="23">
        <f t="shared" si="3"/>
        <v>0</v>
      </c>
      <c r="C13" s="20">
        <f t="shared" si="3"/>
        <v>4484.9376702676709</v>
      </c>
      <c r="D13" s="20">
        <f t="shared" si="1"/>
        <v>4484.9376702676709</v>
      </c>
      <c r="E13" s="21">
        <f t="shared" si="0"/>
        <v>0.3504938994813922</v>
      </c>
      <c r="F13" s="20">
        <f t="shared" si="2"/>
        <v>1571.9432929831064</v>
      </c>
      <c r="I13" s="25">
        <f>IRR($D$2:D13)</f>
        <v>3.0837355563533952E-2</v>
      </c>
      <c r="J13" s="26">
        <f>NPV($H$8,$D$3:D14)</f>
        <v>15625.930999457469</v>
      </c>
    </row>
    <row r="14" spans="1:10" x14ac:dyDescent="0.25">
      <c r="A14">
        <v>12</v>
      </c>
      <c r="B14" s="23">
        <f t="shared" si="3"/>
        <v>0</v>
      </c>
      <c r="C14" s="20">
        <f t="shared" si="3"/>
        <v>5157.6783208078214</v>
      </c>
      <c r="D14" s="20">
        <f t="shared" si="1"/>
        <v>5157.6783208078214</v>
      </c>
      <c r="E14" s="21">
        <f t="shared" si="0"/>
        <v>0.31863081771035656</v>
      </c>
      <c r="F14" s="20">
        <f t="shared" si="2"/>
        <v>1643.3952608459749</v>
      </c>
      <c r="I14" s="25">
        <f>IRR($D$2:D14)</f>
        <v>5.1626301172944977E-2</v>
      </c>
      <c r="J14" s="26">
        <f>NPV($H$8,$D$3:D15)</f>
        <v>17344.026044887352</v>
      </c>
    </row>
    <row r="15" spans="1:10" x14ac:dyDescent="0.25">
      <c r="A15">
        <v>13</v>
      </c>
      <c r="B15" s="23">
        <f t="shared" si="3"/>
        <v>0</v>
      </c>
      <c r="C15" s="20">
        <f t="shared" si="3"/>
        <v>5931.3300689289945</v>
      </c>
      <c r="D15" s="20">
        <f>SUM(B15:C15)</f>
        <v>5931.3300689289945</v>
      </c>
      <c r="E15" s="21">
        <f t="shared" si="0"/>
        <v>0.28966437973668779</v>
      </c>
      <c r="F15" s="20">
        <f t="shared" si="2"/>
        <v>1718.0950454298829</v>
      </c>
      <c r="I15" s="25">
        <f>IRR($D$2:D15)</f>
        <v>6.898976765788345E-2</v>
      </c>
      <c r="J15" s="26">
        <f>NPV($H$8,$D$3:D16)</f>
        <v>19140.216319654955</v>
      </c>
    </row>
    <row r="16" spans="1:10" x14ac:dyDescent="0.25">
      <c r="A16">
        <v>14</v>
      </c>
      <c r="B16" s="23">
        <f t="shared" si="3"/>
        <v>0</v>
      </c>
      <c r="C16" s="20">
        <f t="shared" si="3"/>
        <v>6821.0295792683428</v>
      </c>
      <c r="D16" s="20">
        <f t="shared" si="1"/>
        <v>6821.0295792683428</v>
      </c>
      <c r="E16" s="21">
        <f t="shared" si="0"/>
        <v>0.26333125430607973</v>
      </c>
      <c r="F16" s="20">
        <f t="shared" si="2"/>
        <v>1796.190274767604</v>
      </c>
      <c r="I16" s="25">
        <f>IRR($D$2:D16)</f>
        <v>8.3641144540854917E-2</v>
      </c>
      <c r="J16" s="26">
        <f>NPV($H$8,$D$3:D17)</f>
        <v>21018.051606911995</v>
      </c>
    </row>
    <row r="17" spans="1:10" x14ac:dyDescent="0.25">
      <c r="A17">
        <v>15</v>
      </c>
      <c r="B17" s="23">
        <f t="shared" si="3"/>
        <v>0</v>
      </c>
      <c r="C17" s="20">
        <f t="shared" si="3"/>
        <v>7844.1840161585933</v>
      </c>
      <c r="D17" s="20">
        <f t="shared" si="1"/>
        <v>7844.1840161585933</v>
      </c>
      <c r="E17" s="21">
        <f t="shared" si="0"/>
        <v>0.23939204936916339</v>
      </c>
      <c r="F17" s="20">
        <f t="shared" si="2"/>
        <v>1877.8352872570404</v>
      </c>
      <c r="I17" s="25">
        <f>IRR($D$2:D17)</f>
        <v>9.6116624765041125E-2</v>
      </c>
      <c r="J17" s="26">
        <f>NPV($H$8,$D$3:D18)</f>
        <v>22981.24304358981</v>
      </c>
    </row>
    <row r="18" spans="1:10" x14ac:dyDescent="0.25">
      <c r="A18">
        <v>16</v>
      </c>
      <c r="B18" s="23">
        <f t="shared" si="3"/>
        <v>0</v>
      </c>
      <c r="C18" s="20">
        <f t="shared" si="3"/>
        <v>9020.8116185823819</v>
      </c>
      <c r="D18" s="20">
        <f t="shared" si="1"/>
        <v>9020.8116185823819</v>
      </c>
      <c r="E18" s="21">
        <f t="shared" si="0"/>
        <v>0.21762913579014853</v>
      </c>
      <c r="F18" s="20">
        <f t="shared" si="2"/>
        <v>1963.1914366778149</v>
      </c>
      <c r="I18" s="25">
        <f>IRR($D$2:D18)</f>
        <v>0.10682556557829836</v>
      </c>
      <c r="J18" s="26">
        <f>NPV($H$8,$D$3:D19)</f>
        <v>25033.670454662068</v>
      </c>
    </row>
    <row r="19" spans="1:10" x14ac:dyDescent="0.25">
      <c r="A19">
        <v>17</v>
      </c>
      <c r="B19" s="23">
        <f t="shared" si="3"/>
        <v>0</v>
      </c>
      <c r="C19" s="20">
        <f t="shared" si="3"/>
        <v>10373.933361369738</v>
      </c>
      <c r="D19" s="20">
        <f t="shared" si="1"/>
        <v>10373.933361369738</v>
      </c>
      <c r="E19" s="21">
        <f t="shared" si="0"/>
        <v>0.19784466890013502</v>
      </c>
      <c r="F19" s="20">
        <f t="shared" si="2"/>
        <v>2052.4274110722608</v>
      </c>
      <c r="I19" s="25">
        <f>IRR($D$2:D19)</f>
        <v>0.11608494106362155</v>
      </c>
      <c r="J19" s="26">
        <f>NPV($H$8,$D$3:D20)</f>
        <v>27179.390020783067</v>
      </c>
    </row>
    <row r="20" spans="1:10" x14ac:dyDescent="0.25">
      <c r="A20">
        <v>18</v>
      </c>
      <c r="B20" s="23">
        <f t="shared" si="3"/>
        <v>0</v>
      </c>
      <c r="C20" s="20">
        <f t="shared" si="3"/>
        <v>11930.023365575198</v>
      </c>
      <c r="D20" s="20">
        <f t="shared" si="1"/>
        <v>11930.023365575198</v>
      </c>
      <c r="E20" s="21">
        <f t="shared" si="0"/>
        <v>0.17985878990921364</v>
      </c>
      <c r="F20" s="20">
        <f t="shared" si="2"/>
        <v>2145.7195661209994</v>
      </c>
      <c r="I20" s="25">
        <f>IRR($D$2:D20)</f>
        <v>0.12414335523447084</v>
      </c>
      <c r="J20" s="26">
        <f>NPV($H$8,$D$3:D21)</f>
        <v>29422.642294455021</v>
      </c>
    </row>
    <row r="21" spans="1:10" x14ac:dyDescent="0.25">
      <c r="A21">
        <v>19</v>
      </c>
      <c r="B21" s="23">
        <f t="shared" ref="B21:C22" si="4">(1+$H$11)*B20</f>
        <v>0</v>
      </c>
      <c r="C21" s="20">
        <f t="shared" si="4"/>
        <v>13719.526870411477</v>
      </c>
      <c r="D21" s="20">
        <f t="shared" si="1"/>
        <v>13719.526870411477</v>
      </c>
      <c r="E21" s="21">
        <f t="shared" si="0"/>
        <v>0.16350799082655781</v>
      </c>
      <c r="F21" s="20">
        <f t="shared" si="2"/>
        <v>2243.2522736719534</v>
      </c>
      <c r="I21" s="25">
        <f>IRR($D$2:D21)</f>
        <v>0.13119807096862179</v>
      </c>
      <c r="J21" s="26">
        <f>NPV($H$8,$D$3:D22)</f>
        <v>31767.860580566608</v>
      </c>
    </row>
    <row r="22" spans="1:10" x14ac:dyDescent="0.25">
      <c r="A22">
        <v>20</v>
      </c>
      <c r="B22" s="23">
        <f t="shared" si="4"/>
        <v>0</v>
      </c>
      <c r="C22" s="20">
        <f>(1+$H$11)*C21</f>
        <v>15777.455900973197</v>
      </c>
      <c r="D22" s="20">
        <f t="shared" si="1"/>
        <v>15777.455900973197</v>
      </c>
      <c r="E22" s="21">
        <f t="shared" si="0"/>
        <v>0.14864362802414349</v>
      </c>
      <c r="F22" s="20">
        <f t="shared" si="2"/>
        <v>2345.2182861115875</v>
      </c>
      <c r="I22" s="25">
        <f>IRR($D$2:D22)</f>
        <v>0.13740728047656448</v>
      </c>
      <c r="J22" s="26">
        <f>NPV($H$8,$D$3:D23)</f>
        <v>31767.860580566608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FC69-6120-40CC-AE8D-4AA01542FA61}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zoomScale="70" zoomScaleNormal="70" workbookViewId="0">
      <selection activeCell="D5" sqref="D5"/>
    </sheetView>
  </sheetViews>
  <sheetFormatPr defaultColWidth="8.85546875" defaultRowHeight="15" x14ac:dyDescent="0.25"/>
  <cols>
    <col min="1" max="1" width="40.140625" customWidth="1"/>
    <col min="2" max="2" width="14.42578125" bestFit="1" customWidth="1"/>
    <col min="3" max="3" width="15.42578125" bestFit="1" customWidth="1"/>
    <col min="4" max="5" width="16.42578125" bestFit="1" customWidth="1"/>
    <col min="6" max="6" width="18.140625" bestFit="1" customWidth="1"/>
  </cols>
  <sheetData>
    <row r="1" spans="1:10" x14ac:dyDescent="0.25">
      <c r="A1" s="2" t="s">
        <v>44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63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1"/>
      <c r="H3" s="1"/>
      <c r="I3" s="1"/>
      <c r="J3" s="1"/>
    </row>
    <row r="4" spans="1:10" x14ac:dyDescent="0.25">
      <c r="A4" s="1" t="s">
        <v>64</v>
      </c>
      <c r="B4" s="1">
        <v>10</v>
      </c>
      <c r="C4" s="1">
        <f>ROUND(B4+(B4*C6),0)</f>
        <v>30</v>
      </c>
      <c r="D4" s="1">
        <f>ROUND(C4+(C4*D6),0)</f>
        <v>90</v>
      </c>
      <c r="E4" s="1">
        <f>ROUND(D4+(D4*E6),0)</f>
        <v>270</v>
      </c>
      <c r="F4" s="1">
        <f>ROUND(E4+(E4*F6),0)</f>
        <v>810</v>
      </c>
      <c r="G4" s="1"/>
      <c r="H4" s="1"/>
      <c r="I4" s="1"/>
      <c r="J4" s="1"/>
    </row>
    <row r="5" spans="1:10" x14ac:dyDescent="0.25">
      <c r="A5" t="s">
        <v>130</v>
      </c>
      <c r="B5">
        <f>'Weekly energy Anambra'!$D$56</f>
        <v>4416</v>
      </c>
      <c r="C5">
        <f>'Weekly energy Anambra'!$D$56</f>
        <v>4416</v>
      </c>
      <c r="D5">
        <f>'Weekly energy Anambra'!$D$56</f>
        <v>4416</v>
      </c>
      <c r="E5">
        <f>'Weekly energy Anambra'!$D$56</f>
        <v>4416</v>
      </c>
      <c r="F5">
        <f>'Weekly energy Anambra'!$D$56</f>
        <v>4416</v>
      </c>
      <c r="G5" s="1"/>
      <c r="H5" s="1"/>
      <c r="I5" s="1"/>
      <c r="J5" s="1"/>
    </row>
    <row r="6" spans="1:10" x14ac:dyDescent="0.25">
      <c r="A6" s="1" t="s">
        <v>62</v>
      </c>
      <c r="B6" s="1"/>
      <c r="C6" s="3">
        <v>2</v>
      </c>
      <c r="D6" s="3">
        <v>2</v>
      </c>
      <c r="E6" s="3">
        <v>2</v>
      </c>
      <c r="F6" s="3">
        <v>2</v>
      </c>
      <c r="G6" s="1"/>
      <c r="H6" s="1"/>
      <c r="I6" s="1"/>
      <c r="J6" s="1"/>
    </row>
    <row r="7" spans="1:10" x14ac:dyDescent="0.25">
      <c r="A7" s="1" t="s">
        <v>77</v>
      </c>
      <c r="B7" s="27">
        <f>ASSUMPTIONS!C35</f>
        <v>0.5</v>
      </c>
      <c r="C7" s="27">
        <f>ASSUMPTIONS!$C$35</f>
        <v>0.5</v>
      </c>
      <c r="D7" s="27">
        <f>ASSUMPTIONS!$C$35</f>
        <v>0.5</v>
      </c>
      <c r="E7" s="27">
        <f>ASSUMPTIONS!$C$35</f>
        <v>0.5</v>
      </c>
      <c r="F7" s="27">
        <f>ASSUMPTIONS!$C$35</f>
        <v>0.5</v>
      </c>
      <c r="G7" s="1"/>
      <c r="H7" s="1"/>
      <c r="I7" s="1"/>
      <c r="J7" s="1"/>
    </row>
    <row r="8" spans="1:10" x14ac:dyDescent="0.25">
      <c r="G8" s="1"/>
      <c r="H8" s="1"/>
      <c r="I8" s="1"/>
      <c r="J8" s="1"/>
    </row>
    <row r="9" spans="1:10" x14ac:dyDescent="0.25">
      <c r="A9" s="12" t="s">
        <v>66</v>
      </c>
      <c r="B9" s="9">
        <f>(B4*B5*B7)</f>
        <v>22080</v>
      </c>
      <c r="C9" s="9">
        <f t="shared" ref="C9:F9" si="0">(C4*C5*C7)</f>
        <v>66240</v>
      </c>
      <c r="D9" s="9">
        <f t="shared" si="0"/>
        <v>198720</v>
      </c>
      <c r="E9" s="9">
        <f t="shared" si="0"/>
        <v>596160</v>
      </c>
      <c r="F9" s="9">
        <f t="shared" si="0"/>
        <v>1788480</v>
      </c>
      <c r="G9" s="1"/>
      <c r="H9" s="1"/>
      <c r="I9" s="1"/>
      <c r="J9" s="1"/>
    </row>
    <row r="10" spans="1:10" x14ac:dyDescent="0.25">
      <c r="A10" s="1"/>
      <c r="B10" s="4"/>
      <c r="C10" s="4"/>
      <c r="D10" s="4"/>
      <c r="E10" s="4"/>
      <c r="F10" s="4"/>
      <c r="G10" s="1"/>
      <c r="H10" s="1"/>
      <c r="I10" s="1"/>
      <c r="J10" s="1"/>
    </row>
    <row r="11" spans="1:10" x14ac:dyDescent="0.25">
      <c r="A11" s="12" t="s">
        <v>138</v>
      </c>
      <c r="B11" s="4">
        <f>B9*ASSUMPTIONS!$C$53</f>
        <v>11040</v>
      </c>
      <c r="C11" s="4">
        <f>C9*ASSUMPTIONS!$C$53</f>
        <v>33120</v>
      </c>
      <c r="D11" s="4">
        <f>D9*ASSUMPTIONS!$C$53</f>
        <v>99360</v>
      </c>
      <c r="E11" s="4">
        <f>E9*ASSUMPTIONS!$C$53</f>
        <v>298080</v>
      </c>
      <c r="F11" s="4">
        <f>F9*ASSUMPTIONS!$C$53</f>
        <v>894240</v>
      </c>
      <c r="G11" s="1"/>
      <c r="H11" s="1"/>
      <c r="I11" s="1"/>
      <c r="J11" s="1"/>
    </row>
    <row r="12" spans="1:10" x14ac:dyDescent="0.25">
      <c r="A12" s="2" t="s">
        <v>81</v>
      </c>
      <c r="B12" s="7">
        <f>B11</f>
        <v>11040</v>
      </c>
      <c r="C12" s="7">
        <f>C11+B11</f>
        <v>44160</v>
      </c>
      <c r="D12" s="7">
        <f>SUM(B11:D11)</f>
        <v>143520</v>
      </c>
      <c r="E12" s="7">
        <f>SUM(B11:E11)</f>
        <v>441600</v>
      </c>
      <c r="F12" s="7">
        <f>SUM(B11:F11)</f>
        <v>1335840</v>
      </c>
      <c r="G12" s="1"/>
      <c r="H12" s="1"/>
      <c r="I12" s="1"/>
      <c r="J12" s="1"/>
    </row>
    <row r="13" spans="1:10" x14ac:dyDescent="0.25">
      <c r="G13" s="1"/>
      <c r="H13" s="1"/>
      <c r="I13" s="1"/>
      <c r="J13" s="1"/>
    </row>
    <row r="14" spans="1:10" x14ac:dyDescent="0.25">
      <c r="A14" s="9"/>
      <c r="B14" s="4"/>
      <c r="C14" s="4"/>
      <c r="D14" s="4"/>
      <c r="E14" s="4"/>
      <c r="F14" s="4"/>
      <c r="G14" s="1"/>
      <c r="H14" s="1"/>
      <c r="I14" s="1"/>
      <c r="J14" s="1"/>
    </row>
    <row r="15" spans="1:10" x14ac:dyDescent="0.25">
      <c r="A15" s="4"/>
      <c r="B15" s="4"/>
      <c r="C15" s="4"/>
      <c r="D15" s="4"/>
      <c r="E15" s="4"/>
      <c r="F15" s="4"/>
      <c r="H15" s="1"/>
      <c r="I15" s="1"/>
      <c r="J15" s="1"/>
    </row>
    <row r="16" spans="1:10" x14ac:dyDescent="0.25">
      <c r="A16" s="4"/>
      <c r="B16" s="4"/>
      <c r="C16" s="4"/>
      <c r="D16" s="4"/>
      <c r="E16" s="4"/>
      <c r="F16" s="4"/>
      <c r="H16" s="1"/>
      <c r="I16" s="1"/>
      <c r="J16" s="1"/>
    </row>
    <row r="17" spans="1:10" x14ac:dyDescent="0.25">
      <c r="A17" s="4"/>
      <c r="B17" s="4"/>
      <c r="C17" s="4"/>
      <c r="D17" s="4"/>
      <c r="E17" s="4"/>
      <c r="F17" s="4"/>
      <c r="H17" s="1"/>
      <c r="I17" s="1"/>
      <c r="J17" s="1"/>
    </row>
    <row r="18" spans="1:10" x14ac:dyDescent="0.25">
      <c r="H18" s="1"/>
      <c r="I18" s="1"/>
      <c r="J18" s="1"/>
    </row>
    <row r="19" spans="1:10" x14ac:dyDescent="0.25">
      <c r="H19" s="1"/>
      <c r="I19" s="1"/>
      <c r="J19" s="1"/>
    </row>
    <row r="20" spans="1:10" x14ac:dyDescent="0.25">
      <c r="H20" s="1"/>
      <c r="I20" s="1"/>
      <c r="J20" s="1"/>
    </row>
    <row r="21" spans="1:10" x14ac:dyDescent="0.25">
      <c r="H21" s="1"/>
      <c r="I21" s="1"/>
      <c r="J21" s="1"/>
    </row>
    <row r="22" spans="1:10" x14ac:dyDescent="0.25">
      <c r="H22" s="1"/>
      <c r="I22" s="1"/>
      <c r="J22" s="1"/>
    </row>
    <row r="23" spans="1:10" x14ac:dyDescent="0.25">
      <c r="H23" s="1"/>
      <c r="I23" s="1"/>
      <c r="J23" s="1"/>
    </row>
    <row r="24" spans="1:10" x14ac:dyDescent="0.25">
      <c r="H24" s="1"/>
      <c r="I24" s="1"/>
      <c r="J24" s="1"/>
    </row>
    <row r="25" spans="1:10" x14ac:dyDescent="0.25">
      <c r="H25" s="1"/>
      <c r="I25" s="1"/>
      <c r="J25" s="1"/>
    </row>
    <row r="26" spans="1:10" x14ac:dyDescent="0.25"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2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4"/>
      <c r="C29" s="4"/>
      <c r="D29" s="4"/>
      <c r="E29" s="4"/>
      <c r="F29" s="4"/>
      <c r="G29" s="1"/>
      <c r="H29" s="1"/>
      <c r="I29" s="1"/>
      <c r="J29" s="1"/>
    </row>
    <row r="30" spans="1:10" x14ac:dyDescent="0.25">
      <c r="A30" s="1"/>
      <c r="B30" s="4"/>
      <c r="C30" s="4"/>
      <c r="D30" s="4"/>
      <c r="E30" s="4"/>
      <c r="F30" s="4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4"/>
      <c r="C33" s="4"/>
      <c r="D33" s="4"/>
      <c r="E33" s="4"/>
      <c r="F33" s="4"/>
      <c r="G33" s="1"/>
      <c r="H33" s="1"/>
      <c r="I33" s="1"/>
      <c r="J33" s="1"/>
    </row>
    <row r="34" spans="1:10" x14ac:dyDescent="0.25">
      <c r="A34" s="1"/>
      <c r="B34" s="4"/>
      <c r="C34" s="4"/>
      <c r="D34" s="4"/>
      <c r="E34" s="4"/>
      <c r="F34" s="4"/>
      <c r="G34" s="1"/>
      <c r="H34" s="1"/>
      <c r="I34" s="1"/>
      <c r="J34" s="1"/>
    </row>
    <row r="35" spans="1:10" x14ac:dyDescent="0.25">
      <c r="A35" s="2"/>
      <c r="B35" s="7"/>
      <c r="C35" s="7"/>
      <c r="D35" s="7"/>
      <c r="E35" s="7"/>
      <c r="F35" s="7"/>
      <c r="G35" s="1"/>
    </row>
    <row r="36" spans="1:10" x14ac:dyDescent="0.25">
      <c r="A36" s="1"/>
      <c r="B36" s="5"/>
      <c r="C36" s="5"/>
      <c r="D36" s="5"/>
      <c r="E36" s="5"/>
      <c r="F36" s="5"/>
      <c r="G36" s="1"/>
    </row>
    <row r="37" spans="1:10" x14ac:dyDescent="0.25">
      <c r="A37" s="1"/>
    </row>
    <row r="38" spans="1:10" x14ac:dyDescent="0.25">
      <c r="A38" s="2"/>
      <c r="B38" s="2"/>
      <c r="C38" s="7"/>
      <c r="D38" s="7"/>
      <c r="E38" s="7"/>
      <c r="F38" s="7"/>
      <c r="G38" s="1"/>
    </row>
    <row r="39" spans="1:10" x14ac:dyDescent="0.25">
      <c r="B39" s="5"/>
      <c r="C39" s="5"/>
      <c r="D39" s="5"/>
      <c r="E39" s="5"/>
      <c r="F39" s="5"/>
      <c r="G39" s="1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topLeftCell="A10" zoomScale="90" zoomScaleNormal="90" workbookViewId="0">
      <selection activeCell="C14" sqref="C14"/>
    </sheetView>
  </sheetViews>
  <sheetFormatPr defaultColWidth="12.42578125" defaultRowHeight="15" x14ac:dyDescent="0.25"/>
  <cols>
    <col min="1" max="1" width="12.42578125" style="1"/>
    <col min="2" max="2" width="30.42578125" style="1" bestFit="1" customWidth="1"/>
    <col min="3" max="3" width="11.85546875" style="1" customWidth="1"/>
    <col min="4" max="5" width="12.140625" style="1" customWidth="1"/>
    <col min="6" max="6" width="14" style="1" customWidth="1"/>
    <col min="7" max="7" width="18" style="1" bestFit="1" customWidth="1"/>
    <col min="8" max="16384" width="12.42578125" style="1"/>
  </cols>
  <sheetData>
    <row r="1" spans="1:10" x14ac:dyDescent="0.25"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10" x14ac:dyDescent="0.25">
      <c r="B2" s="2" t="s">
        <v>9</v>
      </c>
    </row>
    <row r="3" spans="1:10" x14ac:dyDescent="0.25">
      <c r="B3" s="1" t="s">
        <v>79</v>
      </c>
      <c r="C3" s="1">
        <v>1</v>
      </c>
      <c r="D3" s="1">
        <v>1</v>
      </c>
      <c r="E3" s="1">
        <v>1</v>
      </c>
      <c r="F3" s="1">
        <v>1</v>
      </c>
      <c r="G3" s="1">
        <v>1</v>
      </c>
    </row>
    <row r="4" spans="1:10" x14ac:dyDescent="0.25">
      <c r="B4" s="1" t="s">
        <v>58</v>
      </c>
      <c r="C4" s="1">
        <v>2</v>
      </c>
      <c r="D4" s="8">
        <v>2</v>
      </c>
      <c r="E4" s="8">
        <v>3</v>
      </c>
      <c r="F4" s="8">
        <v>3</v>
      </c>
      <c r="G4" s="8">
        <v>4</v>
      </c>
    </row>
    <row r="6" spans="1:10" x14ac:dyDescent="0.25">
      <c r="A6" s="4"/>
    </row>
    <row r="7" spans="1:10" x14ac:dyDescent="0.25">
      <c r="A7" s="4"/>
      <c r="B7" s="2" t="s">
        <v>10</v>
      </c>
      <c r="J7" s="1" t="s">
        <v>59</v>
      </c>
    </row>
    <row r="8" spans="1:10" x14ac:dyDescent="0.25">
      <c r="B8" s="4" t="s">
        <v>78</v>
      </c>
      <c r="C8" s="4">
        <v>50000</v>
      </c>
      <c r="D8" s="4">
        <f>C8+(C8*D13)</f>
        <v>52500</v>
      </c>
      <c r="E8" s="4">
        <f>D8+(D8*E13)</f>
        <v>55125</v>
      </c>
      <c r="F8" s="4">
        <f>E8+(E8*F13)</f>
        <v>57881.25</v>
      </c>
      <c r="G8" s="4">
        <f>F8+(F8*G13)</f>
        <v>60775.3125</v>
      </c>
    </row>
    <row r="9" spans="1:10" x14ac:dyDescent="0.25">
      <c r="B9" s="1" t="s">
        <v>58</v>
      </c>
      <c r="C9" s="1">
        <v>30000</v>
      </c>
      <c r="D9" s="4">
        <f>C9+(C9*D13)</f>
        <v>31500</v>
      </c>
      <c r="E9" s="4">
        <f>D9+(D9*D13)</f>
        <v>33075</v>
      </c>
      <c r="F9" s="10">
        <f>E9+(E9*F13)</f>
        <v>34728.75</v>
      </c>
      <c r="G9" s="4">
        <f>F9+(F9*G13)</f>
        <v>36465.1875</v>
      </c>
      <c r="H9" s="4"/>
    </row>
    <row r="10" spans="1:10" x14ac:dyDescent="0.25">
      <c r="H10" s="4"/>
    </row>
    <row r="13" spans="1:10" x14ac:dyDescent="0.25">
      <c r="B13" s="1" t="s">
        <v>11</v>
      </c>
      <c r="C13" s="5"/>
      <c r="D13" s="6">
        <v>0.05</v>
      </c>
      <c r="E13" s="6">
        <v>0.05</v>
      </c>
      <c r="F13" s="6">
        <v>0.05</v>
      </c>
      <c r="G13" s="6">
        <v>0.05</v>
      </c>
    </row>
    <row r="14" spans="1:10" x14ac:dyDescent="0.25">
      <c r="B14" s="1" t="s">
        <v>12</v>
      </c>
      <c r="C14" s="1">
        <v>415</v>
      </c>
      <c r="D14" s="1">
        <v>415</v>
      </c>
      <c r="E14" s="1">
        <v>415</v>
      </c>
      <c r="F14" s="1">
        <v>415</v>
      </c>
      <c r="G14" s="1">
        <v>415</v>
      </c>
    </row>
    <row r="16" spans="1:10" x14ac:dyDescent="0.25">
      <c r="B16" s="2"/>
    </row>
    <row r="17" spans="2:11" x14ac:dyDescent="0.25">
      <c r="B17" s="2" t="s">
        <v>13</v>
      </c>
    </row>
    <row r="18" spans="2:11" x14ac:dyDescent="0.25">
      <c r="B18" s="1" t="s">
        <v>78</v>
      </c>
      <c r="C18" s="4">
        <f>C8*C3*12</f>
        <v>600000</v>
      </c>
      <c r="D18" s="4">
        <f t="shared" ref="D18:G19" si="0">D8*D3*12</f>
        <v>630000</v>
      </c>
      <c r="E18" s="4">
        <f t="shared" si="0"/>
        <v>661500</v>
      </c>
      <c r="F18" s="4">
        <f t="shared" si="0"/>
        <v>694575</v>
      </c>
      <c r="G18" s="4">
        <f t="shared" si="0"/>
        <v>729303.75</v>
      </c>
      <c r="I18" s="1" t="s">
        <v>351</v>
      </c>
      <c r="J18" s="1">
        <v>596</v>
      </c>
      <c r="K18" s="3">
        <f>J18/J20</f>
        <v>0.49134377576257215</v>
      </c>
    </row>
    <row r="19" spans="2:11" x14ac:dyDescent="0.25">
      <c r="B19" s="1" t="s">
        <v>61</v>
      </c>
      <c r="C19" s="4">
        <f>C9*C4*12</f>
        <v>720000</v>
      </c>
      <c r="D19" s="4">
        <f t="shared" si="0"/>
        <v>756000</v>
      </c>
      <c r="E19" s="4">
        <f t="shared" si="0"/>
        <v>1190700</v>
      </c>
      <c r="F19" s="4">
        <f t="shared" si="0"/>
        <v>1250235</v>
      </c>
      <c r="G19" s="4">
        <f t="shared" si="0"/>
        <v>1750329</v>
      </c>
      <c r="I19" s="1" t="s">
        <v>352</v>
      </c>
      <c r="J19" s="1">
        <v>617</v>
      </c>
      <c r="K19" s="3">
        <f>J19/J20</f>
        <v>0.50865622423742785</v>
      </c>
    </row>
    <row r="20" spans="2:11" x14ac:dyDescent="0.25">
      <c r="B20" s="2" t="s">
        <v>14</v>
      </c>
      <c r="C20" s="7">
        <f>SUM(C18:C19)</f>
        <v>1320000</v>
      </c>
      <c r="D20" s="7">
        <f>SUM(D18:D19)</f>
        <v>1386000</v>
      </c>
      <c r="E20" s="7">
        <f>SUM(E18:E19)</f>
        <v>1852200</v>
      </c>
      <c r="F20" s="7">
        <f>SUM(F18:F19)</f>
        <v>1944810</v>
      </c>
      <c r="G20" s="7">
        <f>SUM(G18:G19)</f>
        <v>2479632.75</v>
      </c>
      <c r="J20" s="1">
        <f>SUM(J18:J19)</f>
        <v>1213</v>
      </c>
    </row>
    <row r="21" spans="2:11" x14ac:dyDescent="0.25">
      <c r="B21" s="1" t="s">
        <v>111</v>
      </c>
      <c r="C21" s="19">
        <f>C20/415</f>
        <v>3180.7228915662649</v>
      </c>
      <c r="D21" s="19">
        <f t="shared" ref="D21:F21" si="1">D20/415</f>
        <v>3339.7590361445782</v>
      </c>
      <c r="E21" s="19">
        <f t="shared" si="1"/>
        <v>4463.1325301204815</v>
      </c>
      <c r="F21" s="19">
        <f t="shared" si="1"/>
        <v>4686.2891566265062</v>
      </c>
      <c r="G21" s="19">
        <f>G20/415</f>
        <v>5975.0186746987956</v>
      </c>
    </row>
    <row r="22" spans="2:11" x14ac:dyDescent="0.25">
      <c r="C22" s="66"/>
    </row>
    <row r="23" spans="2:11" x14ac:dyDescent="0.25">
      <c r="C23" s="4"/>
      <c r="D23" s="4"/>
      <c r="E23" s="4"/>
      <c r="F23" s="4"/>
      <c r="G23" s="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8"/>
  <sheetViews>
    <sheetView workbookViewId="0">
      <selection activeCell="C11" sqref="C11"/>
    </sheetView>
  </sheetViews>
  <sheetFormatPr defaultColWidth="12.42578125" defaultRowHeight="15" x14ac:dyDescent="0.25"/>
  <cols>
    <col min="1" max="1" width="12.42578125" style="1"/>
    <col min="2" max="2" width="34.140625" style="1" bestFit="1" customWidth="1"/>
    <col min="3" max="3" width="14.7109375" style="4" bestFit="1" customWidth="1"/>
    <col min="4" max="4" width="15.42578125" style="4" bestFit="1" customWidth="1"/>
    <col min="5" max="5" width="16" style="4" bestFit="1" customWidth="1"/>
    <col min="6" max="7" width="16.140625" style="4" bestFit="1" customWidth="1"/>
    <col min="8" max="16384" width="12.42578125" style="1"/>
  </cols>
  <sheetData>
    <row r="2" spans="2:8" s="2" customFormat="1" x14ac:dyDescent="0.25"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</row>
    <row r="3" spans="2:8" s="2" customFormat="1" x14ac:dyDescent="0.25">
      <c r="B3" s="2" t="s">
        <v>22</v>
      </c>
      <c r="C3" s="9"/>
      <c r="D3" s="9"/>
      <c r="E3" s="9"/>
      <c r="F3" s="9"/>
      <c r="G3" s="9"/>
    </row>
    <row r="4" spans="2:8" s="2" customFormat="1" x14ac:dyDescent="0.25">
      <c r="B4" s="2" t="s">
        <v>23</v>
      </c>
      <c r="C4" s="9"/>
      <c r="D4" s="9"/>
      <c r="E4" s="9"/>
      <c r="F4" s="9"/>
      <c r="G4" s="9"/>
    </row>
    <row r="5" spans="2:8" x14ac:dyDescent="0.25">
      <c r="B5" s="1" t="s">
        <v>24</v>
      </c>
      <c r="C5" s="4">
        <f>'REVENUE MODEL'!B12</f>
        <v>11040</v>
      </c>
      <c r="D5" s="4">
        <f>'REVENUE MODEL'!C12</f>
        <v>44160</v>
      </c>
      <c r="E5" s="4">
        <f>'REVENUE MODEL'!D12</f>
        <v>143520</v>
      </c>
      <c r="F5" s="4">
        <f>'REVENUE MODEL'!E12</f>
        <v>441600</v>
      </c>
      <c r="G5" s="4">
        <f>'REVENUE MODEL'!F12</f>
        <v>1335840</v>
      </c>
    </row>
    <row r="6" spans="2:8" x14ac:dyDescent="0.25">
      <c r="B6" s="1" t="s">
        <v>25</v>
      </c>
      <c r="C6" s="4">
        <f>-'INCOME STATEMENT'!D2</f>
        <v>-595.87248000000034</v>
      </c>
      <c r="D6" s="4">
        <f>-'INCOME STATEMENT'!E2</f>
        <v>-595.87248000000034</v>
      </c>
      <c r="E6" s="4">
        <f>-'INCOME STATEMENT'!F2</f>
        <v>-595.87248000000034</v>
      </c>
      <c r="F6" s="4">
        <f>-'INCOME STATEMENT'!G2</f>
        <v>-595.87248000000034</v>
      </c>
      <c r="G6" s="4">
        <f>-'INCOME STATEMENT'!H2</f>
        <v>-595.87248000000034</v>
      </c>
    </row>
    <row r="7" spans="2:8" x14ac:dyDescent="0.25">
      <c r="B7" s="1" t="s">
        <v>26</v>
      </c>
      <c r="C7" s="4">
        <f>-'INCOME STATEMENT'!D12</f>
        <v>-1298.7951807228915</v>
      </c>
      <c r="D7" s="4">
        <f>-'INCOME STATEMENT'!E12</f>
        <v>-3298.7951807228915</v>
      </c>
      <c r="E7" s="4">
        <f>-'INCOME STATEMENT'!F12</f>
        <v>-5298.7951807228919</v>
      </c>
      <c r="F7" s="4">
        <f>-'INCOME STATEMENT'!G12</f>
        <v>-7298.7951807228919</v>
      </c>
      <c r="G7" s="4">
        <f>-'INCOME STATEMENT'!H12</f>
        <v>-9298.795180722891</v>
      </c>
    </row>
    <row r="8" spans="2:8" x14ac:dyDescent="0.25">
      <c r="B8" s="1" t="s">
        <v>27</v>
      </c>
      <c r="C8" s="4">
        <f>-'INCOME STATEMENT'!D7</f>
        <v>-3180.7228915662649</v>
      </c>
      <c r="D8" s="4">
        <f>-'INCOME STATEMENT'!E7</f>
        <v>-3339.7590361445782</v>
      </c>
      <c r="E8" s="4">
        <f>-'INCOME STATEMENT'!F7</f>
        <v>-4463.1325301204815</v>
      </c>
      <c r="F8" s="4">
        <f>-'INCOME STATEMENT'!G7</f>
        <v>-4686.2891566265062</v>
      </c>
      <c r="G8" s="4">
        <f>-'INCOME STATEMENT'!H7</f>
        <v>-5975.0186746987956</v>
      </c>
    </row>
    <row r="9" spans="2:8" x14ac:dyDescent="0.25">
      <c r="B9" s="1" t="s">
        <v>28</v>
      </c>
      <c r="C9" s="4">
        <f xml:space="preserve"> 'INCOME STATEMENT'!D24</f>
        <v>255.25366038554216</v>
      </c>
      <c r="D9" s="4">
        <f>-'INCOME STATEMENT'!E24</f>
        <v>-969.08038115662646</v>
      </c>
      <c r="E9" s="4">
        <f>-'INCOME STATEMENT'!F24</f>
        <v>-6495.9586824578309</v>
      </c>
      <c r="F9" s="4">
        <f>-'INCOME STATEMENT'!G24</f>
        <v>-14183.021527132527</v>
      </c>
      <c r="G9" s="4">
        <f>-'INCOME STATEMENT'!H24</f>
        <v>-64763.793911228917</v>
      </c>
    </row>
    <row r="10" spans="2:8" x14ac:dyDescent="0.25">
      <c r="B10" s="1" t="s">
        <v>55</v>
      </c>
      <c r="C10" s="4">
        <f>- 'INCOME STATEMENT'!D16</f>
        <v>-297.93624000000017</v>
      </c>
      <c r="D10" s="4">
        <f>- 'INCOME STATEMENT'!E16</f>
        <v>-16982.36568000001</v>
      </c>
      <c r="E10" s="4">
        <f>- 'INCOME STATEMENT'!F16</f>
        <v>-2681.4261600000018</v>
      </c>
      <c r="F10" s="4">
        <f>- 'INCOME STATEMENT'!G16</f>
        <v>-144797.01264000009</v>
      </c>
      <c r="G10" s="4">
        <f>- 'INCOME STATEMENT'!H16</f>
        <v>-24132.835440000017</v>
      </c>
    </row>
    <row r="11" spans="2:8" x14ac:dyDescent="0.25">
      <c r="B11" s="2" t="s">
        <v>29</v>
      </c>
      <c r="C11" s="9">
        <f>SUM(C5:C10)</f>
        <v>5921.926868096386</v>
      </c>
      <c r="D11" s="9">
        <f>SUM(D5:D10)</f>
        <v>18974.127241975897</v>
      </c>
      <c r="E11" s="9">
        <f>SUM(E5:E10)</f>
        <v>123984.81496669879</v>
      </c>
      <c r="F11" s="9">
        <f>SUM(F5:F10)</f>
        <v>270039.00901551795</v>
      </c>
      <c r="G11" s="9">
        <f>SUM(G5:G10)</f>
        <v>1231073.6843133494</v>
      </c>
      <c r="H11" s="2"/>
    </row>
    <row r="13" spans="2:8" x14ac:dyDescent="0.25">
      <c r="B13" s="2" t="s">
        <v>30</v>
      </c>
    </row>
    <row r="14" spans="2:8" x14ac:dyDescent="0.25">
      <c r="B14" s="1" t="s">
        <v>31</v>
      </c>
      <c r="C14" s="4">
        <f>-ASSUMPTIONS!C20</f>
        <v>-595.87248000000034</v>
      </c>
    </row>
    <row r="15" spans="2:8" x14ac:dyDescent="0.25">
      <c r="B15" s="2" t="s">
        <v>32</v>
      </c>
      <c r="C15" s="4">
        <f>SUM(C14)</f>
        <v>-595.87248000000034</v>
      </c>
      <c r="E15" s="4">
        <f>SUM(E14)</f>
        <v>0</v>
      </c>
      <c r="F15" s="4">
        <f>SUM(F14)</f>
        <v>0</v>
      </c>
      <c r="G15" s="4">
        <f>SUM(G14)</f>
        <v>0</v>
      </c>
    </row>
    <row r="18" s="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5"/>
  <sheetViews>
    <sheetView zoomScale="60" zoomScaleNormal="60" workbookViewId="0">
      <selection activeCell="B1" sqref="B1:D26"/>
    </sheetView>
  </sheetViews>
  <sheetFormatPr defaultColWidth="12.42578125" defaultRowHeight="15" x14ac:dyDescent="0.25"/>
  <cols>
    <col min="1" max="1" width="12.42578125" style="1"/>
    <col min="2" max="2" width="30.85546875" style="1" bestFit="1" customWidth="1"/>
    <col min="3" max="3" width="12.42578125" style="1"/>
    <col min="4" max="7" width="16" style="4" bestFit="1" customWidth="1"/>
    <col min="8" max="8" width="17.140625" style="4" bestFit="1" customWidth="1"/>
    <col min="9" max="16384" width="12.42578125" style="1"/>
  </cols>
  <sheetData>
    <row r="1" spans="2:8" x14ac:dyDescent="0.25">
      <c r="B1" s="2" t="s">
        <v>33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</row>
    <row r="2" spans="2:8" x14ac:dyDescent="0.25">
      <c r="B2" s="1" t="s">
        <v>60</v>
      </c>
      <c r="D2" s="4">
        <f>ASSUMPTIONS!$C$42</f>
        <v>595.87248000000034</v>
      </c>
      <c r="E2" s="4">
        <f>ASSUMPTIONS!$C$42</f>
        <v>595.87248000000034</v>
      </c>
      <c r="F2" s="4">
        <f>ASSUMPTIONS!$C$42</f>
        <v>595.87248000000034</v>
      </c>
      <c r="G2" s="4">
        <f>ASSUMPTIONS!$C$42</f>
        <v>595.87248000000034</v>
      </c>
      <c r="H2" s="4">
        <f>ASSUMPTIONS!$C$42</f>
        <v>595.87248000000034</v>
      </c>
    </row>
    <row r="3" spans="2:8" x14ac:dyDescent="0.25">
      <c r="B3" s="1" t="s">
        <v>349</v>
      </c>
      <c r="D3" s="4">
        <f>ASSUMPTIONS!$C$40</f>
        <v>561.6</v>
      </c>
      <c r="E3" s="4">
        <f>ASSUMPTIONS!$C$40</f>
        <v>561.6</v>
      </c>
      <c r="F3" s="4">
        <f>ASSUMPTIONS!$C$40</f>
        <v>561.6</v>
      </c>
      <c r="G3" s="4">
        <f>ASSUMPTIONS!$C$40</f>
        <v>561.6</v>
      </c>
      <c r="H3" s="4">
        <f>ASSUMPTIONS!$C$40</f>
        <v>561.6</v>
      </c>
    </row>
    <row r="4" spans="2:8" x14ac:dyDescent="0.25">
      <c r="B4" s="1" t="s">
        <v>33</v>
      </c>
      <c r="D4" s="4">
        <f>'REVENUE MODEL'!B12</f>
        <v>11040</v>
      </c>
      <c r="E4" s="4">
        <f>'REVENUE MODEL'!C12</f>
        <v>44160</v>
      </c>
      <c r="F4" s="4">
        <f>'REVENUE MODEL'!D12</f>
        <v>143520</v>
      </c>
      <c r="G4" s="4">
        <f>'REVENUE MODEL'!E12</f>
        <v>441600</v>
      </c>
      <c r="H4" s="4">
        <f>'REVENUE MODEL'!F12</f>
        <v>1335840</v>
      </c>
    </row>
    <row r="5" spans="2:8" x14ac:dyDescent="0.25">
      <c r="B5" s="2" t="s">
        <v>34</v>
      </c>
      <c r="D5" s="4">
        <f>D4-D2-D3</f>
        <v>9882.5275199999996</v>
      </c>
      <c r="E5" s="4">
        <f t="shared" ref="E5:H5" si="0">E4-E2-E3</f>
        <v>43002.527520000003</v>
      </c>
      <c r="F5" s="4">
        <f t="shared" si="0"/>
        <v>142362.52752</v>
      </c>
      <c r="G5" s="4">
        <f t="shared" si="0"/>
        <v>440442.52752</v>
      </c>
      <c r="H5" s="4">
        <f t="shared" si="0"/>
        <v>1334682.52752</v>
      </c>
    </row>
    <row r="6" spans="2:8" x14ac:dyDescent="0.25">
      <c r="B6" s="2"/>
    </row>
    <row r="7" spans="2:8" x14ac:dyDescent="0.25">
      <c r="B7" s="2" t="s">
        <v>35</v>
      </c>
      <c r="D7" s="4">
        <f>'HUMAN COST'!C21</f>
        <v>3180.7228915662649</v>
      </c>
      <c r="E7" s="4">
        <f>'HUMAN COST'!D21</f>
        <v>3339.7590361445782</v>
      </c>
      <c r="F7" s="4">
        <f>'HUMAN COST'!E21</f>
        <v>4463.1325301204815</v>
      </c>
      <c r="G7" s="4">
        <f>'HUMAN COST'!F21</f>
        <v>4686.2891566265062</v>
      </c>
      <c r="H7" s="4">
        <f>'HUMAN COST'!G21</f>
        <v>5975.0186746987956</v>
      </c>
    </row>
    <row r="9" spans="2:8" x14ac:dyDescent="0.25">
      <c r="B9" s="2" t="s">
        <v>36</v>
      </c>
    </row>
    <row r="10" spans="2:8" x14ac:dyDescent="0.25">
      <c r="B10" s="1" t="s">
        <v>134</v>
      </c>
      <c r="D10" s="4">
        <v>1000</v>
      </c>
      <c r="E10" s="4">
        <v>3000</v>
      </c>
      <c r="F10" s="4">
        <v>5000</v>
      </c>
      <c r="G10" s="4">
        <v>7000</v>
      </c>
      <c r="H10" s="4">
        <v>9000</v>
      </c>
    </row>
    <row r="11" spans="2:8" x14ac:dyDescent="0.25">
      <c r="B11" s="1" t="s">
        <v>37</v>
      </c>
      <c r="D11" s="4">
        <f>ASSUMPTIONS!C15</f>
        <v>298.79518072289159</v>
      </c>
      <c r="E11" s="4">
        <f>ASSUMPTIONS!C15</f>
        <v>298.79518072289159</v>
      </c>
      <c r="F11" s="4">
        <f t="shared" ref="F11:H11" si="1">E11</f>
        <v>298.79518072289159</v>
      </c>
      <c r="G11" s="4">
        <f t="shared" si="1"/>
        <v>298.79518072289159</v>
      </c>
      <c r="H11" s="4">
        <f t="shared" si="1"/>
        <v>298.79518072289159</v>
      </c>
    </row>
    <row r="12" spans="2:8" x14ac:dyDescent="0.25">
      <c r="B12" s="2" t="s">
        <v>38</v>
      </c>
      <c r="D12" s="4">
        <f>SUM(D10:D11)</f>
        <v>1298.7951807228915</v>
      </c>
      <c r="E12" s="4">
        <f>SUM(E10:E11)</f>
        <v>3298.7951807228915</v>
      </c>
      <c r="F12" s="4">
        <f>SUM(F10:F11)</f>
        <v>5298.7951807228919</v>
      </c>
      <c r="G12" s="4">
        <f>SUM(G10:G11)</f>
        <v>7298.7951807228919</v>
      </c>
      <c r="H12" s="4">
        <f>SUM(H10:H11)</f>
        <v>9298.795180722891</v>
      </c>
    </row>
    <row r="14" spans="2:8" s="2" customFormat="1" x14ac:dyDescent="0.25">
      <c r="B14" s="2" t="s">
        <v>48</v>
      </c>
      <c r="D14" s="9">
        <f>D5-D12-D7</f>
        <v>5403.0094477108432</v>
      </c>
      <c r="E14" s="9">
        <f>E5-E12-E7</f>
        <v>36363.973303132538</v>
      </c>
      <c r="F14" s="9">
        <f>F5-F12-F7</f>
        <v>132600.59980915661</v>
      </c>
      <c r="G14" s="9">
        <f>G5-G12-G7</f>
        <v>428457.4431826506</v>
      </c>
      <c r="H14" s="9">
        <f>H5-H12-H7</f>
        <v>1319408.7136645783</v>
      </c>
    </row>
    <row r="16" spans="2:8" x14ac:dyDescent="0.25">
      <c r="B16" s="1" t="s">
        <v>39</v>
      </c>
      <c r="D16" s="4">
        <f>'FIXED ASSETS'!D6*'REVENUE MODEL'!B4</f>
        <v>297.93624000000017</v>
      </c>
      <c r="E16" s="4">
        <f>'FIXED ASSETS'!E6*'REVENUE MODEL'!C4</f>
        <v>16982.36568000001</v>
      </c>
      <c r="F16" s="4">
        <f>'FIXED ASSETS'!F6*'REVENUE MODEL'!D4</f>
        <v>2681.4261600000018</v>
      </c>
      <c r="G16" s="4">
        <f>'FIXED ASSETS'!G6*'REVENUE MODEL'!E4</f>
        <v>144797.01264000009</v>
      </c>
      <c r="H16" s="4">
        <f>'FIXED ASSETS'!H6*'REVENUE MODEL'!F4</f>
        <v>24132.835440000017</v>
      </c>
    </row>
    <row r="18" spans="2:8" x14ac:dyDescent="0.25">
      <c r="B18" s="2" t="s">
        <v>53</v>
      </c>
      <c r="C18" s="2"/>
      <c r="D18" s="9">
        <f>SUM(D15:D17)</f>
        <v>297.93624000000017</v>
      </c>
      <c r="E18" s="9">
        <f>SUM(E15:E17)</f>
        <v>16982.36568000001</v>
      </c>
      <c r="F18" s="9">
        <f>SUM(F15:F17)</f>
        <v>2681.4261600000018</v>
      </c>
      <c r="G18" s="9">
        <f>SUM(G15:G17)</f>
        <v>144797.01264000009</v>
      </c>
      <c r="H18" s="9">
        <f>SUM(H15:H17)</f>
        <v>24132.835440000017</v>
      </c>
    </row>
    <row r="20" spans="2:8" s="2" customFormat="1" x14ac:dyDescent="0.25">
      <c r="B20" s="2" t="s">
        <v>40</v>
      </c>
      <c r="D20" s="9">
        <f>D14-D18</f>
        <v>5105.0732077108432</v>
      </c>
      <c r="E20" s="9">
        <f>E14-E18</f>
        <v>19381.607623132528</v>
      </c>
      <c r="F20" s="9">
        <f>F14-F18</f>
        <v>129919.17364915661</v>
      </c>
      <c r="G20" s="9">
        <f>G14-G18</f>
        <v>283660.43054265052</v>
      </c>
      <c r="H20" s="9">
        <f>H14-H18</f>
        <v>1295275.8782245782</v>
      </c>
    </row>
    <row r="22" spans="2:8" x14ac:dyDescent="0.25">
      <c r="B22" s="1" t="s">
        <v>43</v>
      </c>
      <c r="D22" s="4">
        <f>5%*D20</f>
        <v>255.25366038554216</v>
      </c>
      <c r="E22" s="4">
        <f t="shared" ref="E22:H22" si="2">5%*E20</f>
        <v>969.08038115662646</v>
      </c>
      <c r="F22" s="4">
        <f t="shared" si="2"/>
        <v>6495.9586824578309</v>
      </c>
      <c r="G22" s="4">
        <f t="shared" si="2"/>
        <v>14183.021527132527</v>
      </c>
      <c r="H22" s="4">
        <f t="shared" si="2"/>
        <v>64763.793911228917</v>
      </c>
    </row>
    <row r="24" spans="2:8" x14ac:dyDescent="0.25">
      <c r="B24" s="1" t="s">
        <v>41</v>
      </c>
      <c r="D24" s="4">
        <f>SUM(D22:D23)</f>
        <v>255.25366038554216</v>
      </c>
      <c r="E24" s="4">
        <f>SUM(E22:E23)</f>
        <v>969.08038115662646</v>
      </c>
      <c r="F24" s="4">
        <f>SUM(F22:F23)</f>
        <v>6495.9586824578309</v>
      </c>
      <c r="G24" s="4">
        <f>SUM(G22:G23)</f>
        <v>14183.021527132527</v>
      </c>
      <c r="H24" s="4">
        <f>SUM(H22:H23)</f>
        <v>64763.793911228917</v>
      </c>
    </row>
    <row r="25" spans="2:8" s="2" customFormat="1" x14ac:dyDescent="0.25">
      <c r="B25" s="1"/>
      <c r="C25" s="1"/>
      <c r="D25" s="4"/>
      <c r="E25" s="4"/>
      <c r="F25" s="4"/>
      <c r="G25" s="4"/>
      <c r="H25" s="4"/>
    </row>
    <row r="26" spans="2:8" x14ac:dyDescent="0.25">
      <c r="B26" s="2" t="s">
        <v>42</v>
      </c>
      <c r="C26" s="2"/>
      <c r="D26" s="9">
        <f>D20-D24</f>
        <v>4849.8195473253008</v>
      </c>
      <c r="E26" s="9">
        <f t="shared" ref="E26:H26" si="3">E20-E24</f>
        <v>18412.527241975902</v>
      </c>
      <c r="F26" s="9">
        <f t="shared" si="3"/>
        <v>123423.21496669878</v>
      </c>
      <c r="G26" s="9">
        <f t="shared" si="3"/>
        <v>269477.40901551797</v>
      </c>
      <c r="H26" s="9">
        <f t="shared" si="3"/>
        <v>1230512.0843133493</v>
      </c>
    </row>
    <row r="31" spans="2:8" s="2" customFormat="1" x14ac:dyDescent="0.25"/>
    <row r="33" spans="2:9" s="2" customFormat="1" x14ac:dyDescent="0.25">
      <c r="D33" s="9"/>
      <c r="E33" s="9"/>
      <c r="F33" s="9"/>
      <c r="G33" s="9"/>
      <c r="H33" s="9"/>
    </row>
    <row r="34" spans="2:9" x14ac:dyDescent="0.25">
      <c r="I34" s="5"/>
    </row>
    <row r="36" spans="2:9" x14ac:dyDescent="0.25">
      <c r="B36" s="1" t="s">
        <v>47</v>
      </c>
      <c r="C36" s="2" t="s">
        <v>46</v>
      </c>
      <c r="D36" s="4" t="s">
        <v>57</v>
      </c>
    </row>
    <row r="37" spans="2:9" x14ac:dyDescent="0.25">
      <c r="B37" s="1" t="s">
        <v>54</v>
      </c>
      <c r="F37" s="9" t="s">
        <v>48</v>
      </c>
    </row>
    <row r="38" spans="2:9" x14ac:dyDescent="0.25">
      <c r="B38" s="1" t="s">
        <v>50</v>
      </c>
      <c r="D38" s="9" t="s">
        <v>49</v>
      </c>
    </row>
    <row r="39" spans="2:9" x14ac:dyDescent="0.25">
      <c r="B39" s="1" t="s">
        <v>51</v>
      </c>
      <c r="C39" s="2" t="s">
        <v>40</v>
      </c>
    </row>
    <row r="40" spans="2:9" x14ac:dyDescent="0.25">
      <c r="B40" s="1" t="s">
        <v>52</v>
      </c>
      <c r="C40" s="2" t="s">
        <v>42</v>
      </c>
    </row>
    <row r="43" spans="2:9" x14ac:dyDescent="0.25">
      <c r="B43" s="1" t="s">
        <v>112</v>
      </c>
      <c r="C43" s="5">
        <f>SUM(D2,D7,D11)</f>
        <v>4075.3905522891569</v>
      </c>
    </row>
    <row r="44" spans="2:9" x14ac:dyDescent="0.25">
      <c r="B44" s="1" t="s">
        <v>113</v>
      </c>
      <c r="C44" s="5">
        <f>D26</f>
        <v>4849.8195473253008</v>
      </c>
    </row>
    <row r="45" spans="2:9" x14ac:dyDescent="0.25">
      <c r="B45" s="1" t="s">
        <v>114</v>
      </c>
      <c r="C45" s="1">
        <f>C44/C43*100</f>
        <v>119.00257128979075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1"/>
  <sheetViews>
    <sheetView workbookViewId="0">
      <selection activeCell="C14" sqref="C14"/>
    </sheetView>
  </sheetViews>
  <sheetFormatPr defaultColWidth="12.42578125" defaultRowHeight="15" x14ac:dyDescent="0.25"/>
  <cols>
    <col min="1" max="1" width="50.28515625" style="1" customWidth="1"/>
    <col min="2" max="2" width="24.140625" style="1" customWidth="1"/>
    <col min="3" max="3" width="14.85546875" style="1" bestFit="1" customWidth="1"/>
    <col min="4" max="4" width="20.28515625" style="1" customWidth="1"/>
    <col min="5" max="5" width="20.42578125" style="1" bestFit="1" customWidth="1"/>
    <col min="6" max="6" width="14.85546875" style="1" customWidth="1"/>
    <col min="7" max="7" width="20.42578125" style="1" bestFit="1" customWidth="1"/>
    <col min="8" max="10" width="14.85546875" style="1" bestFit="1" customWidth="1"/>
    <col min="11" max="11" width="13.140625" style="1" bestFit="1" customWidth="1"/>
    <col min="12" max="12" width="15.140625" style="1" bestFit="1" customWidth="1"/>
    <col min="13" max="16384" width="12.42578125" style="1"/>
  </cols>
  <sheetData>
    <row r="1" spans="1:15" x14ac:dyDescent="0.25">
      <c r="A1" s="1" t="s">
        <v>15</v>
      </c>
    </row>
    <row r="2" spans="1:15" x14ac:dyDescent="0.25">
      <c r="C2" s="1" t="s">
        <v>16</v>
      </c>
      <c r="D2" s="1" t="s">
        <v>17</v>
      </c>
      <c r="E2" s="1" t="s">
        <v>4</v>
      </c>
      <c r="F2" s="1" t="s">
        <v>17</v>
      </c>
      <c r="G2" s="1" t="s">
        <v>5</v>
      </c>
      <c r="H2" s="1" t="s">
        <v>17</v>
      </c>
      <c r="I2" s="1" t="s">
        <v>6</v>
      </c>
      <c r="J2" s="1" t="s">
        <v>17</v>
      </c>
      <c r="K2" s="1" t="s">
        <v>7</v>
      </c>
      <c r="L2" s="1" t="s">
        <v>17</v>
      </c>
      <c r="M2" s="1" t="s">
        <v>8</v>
      </c>
    </row>
    <row r="3" spans="1:15" ht="18.75" x14ac:dyDescent="0.3">
      <c r="A3" s="11" t="s">
        <v>45</v>
      </c>
      <c r="B3" s="2" t="s">
        <v>19</v>
      </c>
      <c r="C3" s="4"/>
      <c r="D3" s="4"/>
      <c r="E3" s="4"/>
      <c r="F3" s="4"/>
      <c r="G3" s="4"/>
      <c r="H3" s="4"/>
      <c r="I3" s="4"/>
      <c r="J3" s="4"/>
    </row>
    <row r="4" spans="1:15" x14ac:dyDescent="0.25">
      <c r="A4" s="1" t="s">
        <v>2</v>
      </c>
      <c r="B4" s="1" t="str">
        <f>ASSUMPTIONS!E19</f>
        <v>Power sharing Kit</v>
      </c>
      <c r="C4" s="1">
        <f>ASSUMPTIONS!C19</f>
        <v>595.87248000000034</v>
      </c>
      <c r="D4" s="4">
        <f>ASSUMPTIONS!F19* C4</f>
        <v>29.793624000000019</v>
      </c>
      <c r="E4" s="4">
        <f>C4-D4</f>
        <v>566.07885600000031</v>
      </c>
      <c r="F4" s="4">
        <f>D4</f>
        <v>29.793624000000019</v>
      </c>
      <c r="G4" s="4">
        <f>E4-F4</f>
        <v>536.28523200000029</v>
      </c>
      <c r="H4" s="4">
        <f>F4</f>
        <v>29.793624000000019</v>
      </c>
      <c r="I4" s="4">
        <f>G4-H4</f>
        <v>506.49160800000027</v>
      </c>
      <c r="J4" s="4">
        <f>H4</f>
        <v>29.793624000000019</v>
      </c>
      <c r="K4" s="5">
        <f>I4-J4</f>
        <v>476.69798400000025</v>
      </c>
      <c r="L4" s="5">
        <f>J4</f>
        <v>29.793624000000019</v>
      </c>
      <c r="M4" s="5">
        <f>K4-L4</f>
        <v>446.90436000000022</v>
      </c>
    </row>
    <row r="5" spans="1:15" x14ac:dyDescent="0.25">
      <c r="D5" s="4"/>
      <c r="E5" s="4"/>
      <c r="F5" s="4"/>
      <c r="G5" s="4"/>
      <c r="H5" s="4"/>
      <c r="I5" s="4"/>
      <c r="J5" s="4"/>
      <c r="K5" s="5"/>
      <c r="L5" s="5"/>
      <c r="M5" s="5"/>
    </row>
    <row r="6" spans="1:15" x14ac:dyDescent="0.25">
      <c r="A6" s="2" t="s">
        <v>20</v>
      </c>
      <c r="B6" s="2"/>
      <c r="C6" s="7">
        <f>SUM(C4:C5)</f>
        <v>595.87248000000034</v>
      </c>
      <c r="D6" s="7">
        <f t="shared" ref="D6:M6" si="0">SUM(D4:D5)</f>
        <v>29.793624000000019</v>
      </c>
      <c r="E6" s="7">
        <f t="shared" si="0"/>
        <v>566.07885600000031</v>
      </c>
      <c r="F6" s="7">
        <f t="shared" si="0"/>
        <v>29.793624000000019</v>
      </c>
      <c r="G6" s="7">
        <f t="shared" si="0"/>
        <v>536.28523200000029</v>
      </c>
      <c r="H6" s="7">
        <f t="shared" si="0"/>
        <v>29.793624000000019</v>
      </c>
      <c r="I6" s="7">
        <f t="shared" si="0"/>
        <v>506.49160800000027</v>
      </c>
      <c r="J6" s="7">
        <f t="shared" si="0"/>
        <v>29.793624000000019</v>
      </c>
      <c r="K6" s="7">
        <f t="shared" si="0"/>
        <v>476.69798400000025</v>
      </c>
      <c r="L6" s="7">
        <f t="shared" si="0"/>
        <v>29.793624000000019</v>
      </c>
      <c r="M6" s="7">
        <f t="shared" si="0"/>
        <v>446.90436000000022</v>
      </c>
    </row>
    <row r="7" spans="1:15" x14ac:dyDescent="0.25">
      <c r="D7" s="4"/>
      <c r="E7" s="4"/>
      <c r="F7" s="4"/>
      <c r="G7" s="4"/>
      <c r="H7" s="4"/>
      <c r="I7" s="4"/>
      <c r="J7" s="4"/>
      <c r="K7" s="5"/>
      <c r="L7" s="5"/>
      <c r="M7" s="5"/>
    </row>
    <row r="8" spans="1:15" x14ac:dyDescent="0.25">
      <c r="A8" s="1" t="s">
        <v>21</v>
      </c>
    </row>
    <row r="9" spans="1:15" x14ac:dyDescent="0.25">
      <c r="C9" s="1" t="s">
        <v>16</v>
      </c>
      <c r="D9" s="1" t="s">
        <v>17</v>
      </c>
      <c r="E9" s="1" t="s">
        <v>4</v>
      </c>
      <c r="F9" s="1" t="s">
        <v>17</v>
      </c>
      <c r="G9" s="1" t="s">
        <v>5</v>
      </c>
      <c r="H9" s="1" t="s">
        <v>17</v>
      </c>
      <c r="I9" s="1" t="s">
        <v>6</v>
      </c>
      <c r="J9" s="1" t="s">
        <v>17</v>
      </c>
      <c r="K9" s="1" t="s">
        <v>7</v>
      </c>
      <c r="L9" s="1" t="s">
        <v>17</v>
      </c>
      <c r="M9" s="1" t="s">
        <v>8</v>
      </c>
    </row>
    <row r="10" spans="1:15" x14ac:dyDescent="0.25">
      <c r="A10" s="1" t="s">
        <v>18</v>
      </c>
      <c r="B10" s="1" t="s">
        <v>19</v>
      </c>
      <c r="C10" s="4"/>
      <c r="D10" s="4"/>
      <c r="E10" s="4"/>
      <c r="F10" s="4"/>
      <c r="G10" s="4"/>
      <c r="H10" s="4"/>
      <c r="I10" s="4"/>
      <c r="J10" s="4"/>
      <c r="N10" s="5"/>
      <c r="O10" s="5"/>
    </row>
    <row r="11" spans="1:15" x14ac:dyDescent="0.25">
      <c r="A11" s="1" t="s">
        <v>2</v>
      </c>
      <c r="B11" s="1" t="str">
        <f>B4</f>
        <v>Power sharing Kit</v>
      </c>
      <c r="C11" s="4">
        <f>C4/360</f>
        <v>1.6552013333333342</v>
      </c>
      <c r="D11" s="4">
        <f>D4/360</f>
        <v>8.2760066666666715E-2</v>
      </c>
      <c r="E11" s="4">
        <f>C11-D11</f>
        <v>1.5724412666666674</v>
      </c>
      <c r="F11" s="4">
        <f>D11</f>
        <v>8.2760066666666715E-2</v>
      </c>
      <c r="G11" s="4">
        <f>E11-F11</f>
        <v>1.4896812000000006</v>
      </c>
      <c r="H11" s="4">
        <f>F11</f>
        <v>8.2760066666666715E-2</v>
      </c>
      <c r="I11" s="4">
        <f>G11-H11</f>
        <v>1.4069211333333338</v>
      </c>
      <c r="J11" s="4">
        <f>H11</f>
        <v>8.2760066666666715E-2</v>
      </c>
      <c r="K11" s="5">
        <f>I11-J11</f>
        <v>1.324161066666667</v>
      </c>
      <c r="L11" s="5">
        <f>J11</f>
        <v>8.2760066666666715E-2</v>
      </c>
      <c r="M11" s="5">
        <f>K11-L11</f>
        <v>1.2414010000000002</v>
      </c>
      <c r="N11" s="5"/>
      <c r="O11" s="5"/>
    </row>
    <row r="12" spans="1:15" x14ac:dyDescent="0.25">
      <c r="C12" s="4"/>
      <c r="D12" s="4"/>
      <c r="E12" s="4"/>
      <c r="F12" s="4"/>
      <c r="G12" s="4"/>
      <c r="H12" s="4"/>
      <c r="I12" s="4"/>
      <c r="J12" s="4"/>
      <c r="K12" s="5"/>
      <c r="L12" s="5"/>
      <c r="M12" s="5"/>
    </row>
    <row r="13" spans="1:15" x14ac:dyDescent="0.25">
      <c r="A13" s="2" t="s">
        <v>20</v>
      </c>
      <c r="B13" s="2"/>
      <c r="C13" s="7">
        <f>SUM(C11:C12)</f>
        <v>1.6552013333333342</v>
      </c>
      <c r="D13" s="7">
        <f t="shared" ref="D13:M13" si="1">SUM(D11:D12)</f>
        <v>8.2760066666666715E-2</v>
      </c>
      <c r="E13" s="7">
        <f t="shared" si="1"/>
        <v>1.5724412666666674</v>
      </c>
      <c r="F13" s="7">
        <f t="shared" si="1"/>
        <v>8.2760066666666715E-2</v>
      </c>
      <c r="G13" s="7">
        <f t="shared" si="1"/>
        <v>1.4896812000000006</v>
      </c>
      <c r="H13" s="7">
        <f t="shared" si="1"/>
        <v>8.2760066666666715E-2</v>
      </c>
      <c r="I13" s="7">
        <f t="shared" si="1"/>
        <v>1.4069211333333338</v>
      </c>
      <c r="J13" s="7">
        <f t="shared" si="1"/>
        <v>8.2760066666666715E-2</v>
      </c>
      <c r="K13" s="7">
        <f t="shared" si="1"/>
        <v>1.324161066666667</v>
      </c>
      <c r="L13" s="7">
        <f t="shared" si="1"/>
        <v>8.2760066666666715E-2</v>
      </c>
      <c r="M13" s="7">
        <f t="shared" si="1"/>
        <v>1.2414010000000002</v>
      </c>
    </row>
    <row r="14" spans="1:15" x14ac:dyDescent="0.25">
      <c r="C14" s="4"/>
      <c r="D14" s="4"/>
      <c r="E14" s="4"/>
      <c r="F14" s="4"/>
      <c r="G14" s="4"/>
      <c r="H14" s="4"/>
      <c r="I14" s="4"/>
      <c r="J14" s="4"/>
      <c r="K14" s="5"/>
      <c r="L14" s="5"/>
      <c r="M14" s="5"/>
    </row>
    <row r="15" spans="1:15" s="2" customFormat="1" x14ac:dyDescent="0.25">
      <c r="A15" s="1"/>
      <c r="B15" s="1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5" x14ac:dyDescent="0.25">
      <c r="C16" s="4"/>
      <c r="D16" s="4"/>
      <c r="E16" s="4"/>
      <c r="F16" s="4"/>
      <c r="G16" s="4"/>
      <c r="H16" s="4"/>
      <c r="I16" s="4"/>
      <c r="J16" s="4"/>
      <c r="K16" s="5"/>
      <c r="L16" s="5"/>
      <c r="M16" s="5"/>
    </row>
    <row r="26" spans="3:13" x14ac:dyDescent="0.25">
      <c r="C26" s="5"/>
      <c r="D26" s="5"/>
      <c r="E26" s="5"/>
      <c r="F26" s="5"/>
      <c r="G26" s="4"/>
      <c r="H26" s="4"/>
      <c r="I26" s="4"/>
      <c r="J26" s="4"/>
      <c r="K26" s="4"/>
      <c r="L26" s="4"/>
      <c r="M26" s="4"/>
    </row>
    <row r="27" spans="3:13" x14ac:dyDescent="0.25">
      <c r="E27" s="5"/>
      <c r="F27" s="5"/>
      <c r="G27" s="4"/>
      <c r="H27" s="4"/>
      <c r="I27" s="4"/>
      <c r="J27" s="4"/>
      <c r="K27" s="4"/>
      <c r="L27" s="4"/>
      <c r="M27" s="4"/>
    </row>
    <row r="28" spans="3:13" x14ac:dyDescent="0.25">
      <c r="C28" s="5"/>
      <c r="D28" s="5"/>
      <c r="E28" s="5"/>
      <c r="F28" s="5"/>
      <c r="G28" s="5"/>
      <c r="H28" s="4"/>
      <c r="I28" s="4"/>
      <c r="J28" s="4"/>
      <c r="K28" s="5"/>
      <c r="L28" s="5"/>
      <c r="M28" s="5"/>
    </row>
    <row r="29" spans="3:13" x14ac:dyDescent="0.25">
      <c r="K29" s="5"/>
      <c r="L29" s="5"/>
      <c r="M29" s="5"/>
    </row>
    <row r="30" spans="3:13" x14ac:dyDescent="0.25">
      <c r="K30" s="5"/>
      <c r="L30" s="5"/>
    </row>
    <row r="31" spans="3:13" s="2" customFormat="1" x14ac:dyDescent="0.25"/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B742-FB3D-9A40-92BA-EAFE02055846}">
  <dimension ref="A1:J23"/>
  <sheetViews>
    <sheetView topLeftCell="A6" zoomScaleNormal="100" workbookViewId="0">
      <selection sqref="A1:J22"/>
    </sheetView>
  </sheetViews>
  <sheetFormatPr defaultColWidth="11.42578125" defaultRowHeight="15" x14ac:dyDescent="0.25"/>
  <sheetData>
    <row r="1" spans="1:10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H1" t="s">
        <v>121</v>
      </c>
      <c r="I1" t="s">
        <v>121</v>
      </c>
      <c r="J1" t="s">
        <v>124</v>
      </c>
    </row>
    <row r="2" spans="1:10" x14ac:dyDescent="0.25">
      <c r="A2">
        <v>0</v>
      </c>
      <c r="B2" s="20"/>
      <c r="C2" s="20"/>
      <c r="D2" s="20">
        <f>-ASSUMPTIONS!C33</f>
        <v>-21686.746987951807</v>
      </c>
      <c r="E2" s="21">
        <f t="shared" ref="E2:E22" si="0">(1+$H$8)^-A2</f>
        <v>1</v>
      </c>
      <c r="F2" s="20">
        <f>D2*E2</f>
        <v>-21686.746987951807</v>
      </c>
      <c r="H2" s="22">
        <f>IRR(D2:D22)</f>
        <v>0.13740728047656448</v>
      </c>
    </row>
    <row r="3" spans="1:10" x14ac:dyDescent="0.25">
      <c r="A3">
        <v>1</v>
      </c>
      <c r="B3" s="20">
        <v>0</v>
      </c>
      <c r="C3" s="20">
        <f>'Yearly earnings'!$B$8</f>
        <v>1108.6079999999999</v>
      </c>
      <c r="D3" s="20">
        <f>SUM(B3:C3)</f>
        <v>1108.6079999999999</v>
      </c>
      <c r="E3" s="21">
        <f t="shared" si="0"/>
        <v>0.90909090909090906</v>
      </c>
      <c r="F3" s="20">
        <f>D3*E3</f>
        <v>1007.8254545454545</v>
      </c>
      <c r="I3" s="25">
        <f>IRR($D$2:D3)</f>
        <v>-0.94888085333333339</v>
      </c>
      <c r="J3" s="26">
        <f>NPV($H$8,$D$3:D4)</f>
        <v>2061.4611570247926</v>
      </c>
    </row>
    <row r="4" spans="1:10" x14ac:dyDescent="0.25">
      <c r="A4">
        <v>2</v>
      </c>
      <c r="B4" s="23">
        <f>(1+$H$11)*B3</f>
        <v>0</v>
      </c>
      <c r="C4" s="20">
        <f>(1+$H$11)*C3</f>
        <v>1274.8991999999998</v>
      </c>
      <c r="D4" s="20">
        <f t="shared" ref="D4:D22" si="1">SUM(B4:C4)</f>
        <v>1274.8991999999998</v>
      </c>
      <c r="E4" s="21">
        <f t="shared" si="0"/>
        <v>0.82644628099173545</v>
      </c>
      <c r="F4" s="20">
        <f t="shared" ref="F4:F22" si="2">D4*E4</f>
        <v>1053.6357024793385</v>
      </c>
      <c r="H4" t="s">
        <v>122</v>
      </c>
      <c r="I4" s="25">
        <f>IRR($D$2:D4)</f>
        <v>-0.73063659065162623</v>
      </c>
      <c r="J4" s="26">
        <f>NPV($H$8,$D$3:D5)</f>
        <v>3162.9893914350105</v>
      </c>
    </row>
    <row r="5" spans="1:10" x14ac:dyDescent="0.25">
      <c r="A5">
        <v>3</v>
      </c>
      <c r="B5" s="23">
        <f t="shared" ref="B5:B22" si="3">(1+$H$11)*B4</f>
        <v>0</v>
      </c>
      <c r="C5" s="20">
        <f>(1+$H$11)*C4</f>
        <v>1466.1340799999998</v>
      </c>
      <c r="D5" s="20">
        <f t="shared" si="1"/>
        <v>1466.1340799999998</v>
      </c>
      <c r="E5" s="21">
        <f t="shared" si="0"/>
        <v>0.75131480090157754</v>
      </c>
      <c r="F5" s="20">
        <f t="shared" si="2"/>
        <v>1101.5282344102175</v>
      </c>
      <c r="H5" s="24">
        <f>NPV($H$8,D3:D22)</f>
        <v>31767.860580566608</v>
      </c>
      <c r="I5" s="25">
        <f>IRR($D$2:D5)</f>
        <v>-0.52519184899688987</v>
      </c>
      <c r="J5" s="26">
        <f>NPV($H$8,$D$3:D6)</f>
        <v>4314.5870910456915</v>
      </c>
    </row>
    <row r="6" spans="1:10" x14ac:dyDescent="0.25">
      <c r="A6">
        <v>4</v>
      </c>
      <c r="B6" s="23">
        <f t="shared" si="3"/>
        <v>0</v>
      </c>
      <c r="C6" s="20">
        <f t="shared" ref="C6:C21" si="4">(1+$H$11)*C5</f>
        <v>1686.0541919999996</v>
      </c>
      <c r="D6" s="20">
        <f t="shared" si="1"/>
        <v>1686.0541919999996</v>
      </c>
      <c r="E6" s="21">
        <f t="shared" si="0"/>
        <v>0.68301345536507052</v>
      </c>
      <c r="F6" s="20">
        <f t="shared" si="2"/>
        <v>1151.5976996106817</v>
      </c>
      <c r="I6" s="25">
        <f>IRR($D$2:D6)</f>
        <v>-0.37135638882762445</v>
      </c>
      <c r="J6" s="26">
        <f>NPV($H$8,$D$3:D7)</f>
        <v>5518.530140638677</v>
      </c>
    </row>
    <row r="7" spans="1:10" x14ac:dyDescent="0.25">
      <c r="A7">
        <v>5</v>
      </c>
      <c r="B7" s="23">
        <f t="shared" si="3"/>
        <v>0</v>
      </c>
      <c r="C7" s="20">
        <f t="shared" si="4"/>
        <v>1938.9623207999994</v>
      </c>
      <c r="D7" s="20">
        <f t="shared" si="1"/>
        <v>1938.9623207999994</v>
      </c>
      <c r="E7" s="21">
        <f t="shared" si="0"/>
        <v>0.62092132305915493</v>
      </c>
      <c r="F7" s="20">
        <f t="shared" si="2"/>
        <v>1203.9430495929853</v>
      </c>
      <c r="H7" t="s">
        <v>119</v>
      </c>
      <c r="I7" s="25">
        <f>IRR($D$2:D7)</f>
        <v>-0.25894389316872091</v>
      </c>
      <c r="J7" s="26">
        <f>NPV($H$8,$D$3:D8)</f>
        <v>6777.19787430407</v>
      </c>
    </row>
    <row r="8" spans="1:10" x14ac:dyDescent="0.25">
      <c r="A8">
        <v>6</v>
      </c>
      <c r="B8" s="23">
        <f t="shared" si="3"/>
        <v>0</v>
      </c>
      <c r="C8" s="20">
        <f t="shared" si="4"/>
        <v>2229.8066689199991</v>
      </c>
      <c r="D8" s="20">
        <f t="shared" si="1"/>
        <v>2229.8066689199991</v>
      </c>
      <c r="E8" s="21">
        <f t="shared" si="0"/>
        <v>0.56447393005377722</v>
      </c>
      <c r="F8" s="20">
        <f t="shared" si="2"/>
        <v>1258.6677336653936</v>
      </c>
      <c r="H8">
        <v>0.1</v>
      </c>
      <c r="I8" s="25">
        <f>IRR($D$2:D8)</f>
        <v>-0.17563732618657812</v>
      </c>
      <c r="J8" s="26">
        <f>NPV($H$8,$D$3:D9)</f>
        <v>8093.0777776815266</v>
      </c>
    </row>
    <row r="9" spans="1:10" x14ac:dyDescent="0.25">
      <c r="A9">
        <v>7</v>
      </c>
      <c r="B9" s="23">
        <f t="shared" si="3"/>
        <v>0</v>
      </c>
      <c r="C9" s="20">
        <f t="shared" si="4"/>
        <v>2564.2776692579987</v>
      </c>
      <c r="D9" s="20">
        <f>SUM(B9:C9)</f>
        <v>2564.2776692579987</v>
      </c>
      <c r="E9" s="21">
        <f t="shared" si="0"/>
        <v>0.51315811823070645</v>
      </c>
      <c r="F9" s="20">
        <f t="shared" si="2"/>
        <v>1315.8799033774565</v>
      </c>
      <c r="I9" s="25">
        <f>IRR($D$2:D9)</f>
        <v>-0.11255518386131225</v>
      </c>
      <c r="J9" s="26">
        <f>NPV($H$8,$D$3:D10)</f>
        <v>9468.7704039397777</v>
      </c>
    </row>
    <row r="10" spans="1:10" x14ac:dyDescent="0.25">
      <c r="A10">
        <v>8</v>
      </c>
      <c r="B10" s="23">
        <f t="shared" si="3"/>
        <v>0</v>
      </c>
      <c r="C10" s="20">
        <f t="shared" si="4"/>
        <v>2948.9193196466981</v>
      </c>
      <c r="D10" s="20">
        <f t="shared" si="1"/>
        <v>2948.9193196466981</v>
      </c>
      <c r="E10" s="21">
        <f t="shared" si="0"/>
        <v>0.46650738020973315</v>
      </c>
      <c r="F10" s="20">
        <f t="shared" si="2"/>
        <v>1375.6926262582499</v>
      </c>
      <c r="H10" t="s">
        <v>123</v>
      </c>
      <c r="I10" s="25">
        <f>IRR($D$2:D10)</f>
        <v>-6.3749855005725276E-2</v>
      </c>
      <c r="J10" s="26">
        <f>NPV($H$8,$D$3:D11)</f>
        <v>10906.994513209766</v>
      </c>
    </row>
    <row r="11" spans="1:10" x14ac:dyDescent="0.25">
      <c r="A11">
        <v>9</v>
      </c>
      <c r="B11" s="23">
        <f t="shared" si="3"/>
        <v>0</v>
      </c>
      <c r="C11" s="20">
        <f t="shared" si="4"/>
        <v>3391.2572175937025</v>
      </c>
      <c r="D11" s="20">
        <f t="shared" si="1"/>
        <v>3391.2572175937025</v>
      </c>
      <c r="E11" s="21">
        <f t="shared" si="0"/>
        <v>0.42409761837248466</v>
      </c>
      <c r="F11" s="20">
        <f t="shared" si="2"/>
        <v>1438.2241092699883</v>
      </c>
      <c r="H11">
        <v>0.15</v>
      </c>
      <c r="I11" s="25">
        <f>IRR($D$2:D11)</f>
        <v>-2.5246303708848283E-2</v>
      </c>
      <c r="J11" s="26">
        <f>NPV($H$8,$D$3:D12)</f>
        <v>12410.592445628388</v>
      </c>
    </row>
    <row r="12" spans="1:10" x14ac:dyDescent="0.25">
      <c r="A12">
        <v>10</v>
      </c>
      <c r="B12" s="23">
        <f t="shared" si="3"/>
        <v>0</v>
      </c>
      <c r="C12" s="20">
        <f t="shared" si="4"/>
        <v>3899.9458002327574</v>
      </c>
      <c r="D12" s="20">
        <f t="shared" si="1"/>
        <v>3899.9458002327574</v>
      </c>
      <c r="E12" s="21">
        <f t="shared" si="0"/>
        <v>0.38554328942953148</v>
      </c>
      <c r="F12" s="20">
        <f t="shared" si="2"/>
        <v>1503.5979324186237</v>
      </c>
      <c r="I12" s="25">
        <f>IRR($D$2:D12)</f>
        <v>5.6572508029213431E-3</v>
      </c>
      <c r="J12" s="26">
        <f>NPV($H$8,$D$3:D13)</f>
        <v>13982.535738611496</v>
      </c>
    </row>
    <row r="13" spans="1:10" x14ac:dyDescent="0.25">
      <c r="A13">
        <v>11</v>
      </c>
      <c r="B13" s="23">
        <f t="shared" si="3"/>
        <v>0</v>
      </c>
      <c r="C13" s="20">
        <f t="shared" si="4"/>
        <v>4484.9376702676709</v>
      </c>
      <c r="D13" s="20">
        <f t="shared" si="1"/>
        <v>4484.9376702676709</v>
      </c>
      <c r="E13" s="21">
        <f t="shared" si="0"/>
        <v>0.3504938994813922</v>
      </c>
      <c r="F13" s="20">
        <f t="shared" si="2"/>
        <v>1571.9432929831064</v>
      </c>
      <c r="I13" s="25">
        <f>IRR($D$2:D13)</f>
        <v>3.0837355563533952E-2</v>
      </c>
      <c r="J13" s="26">
        <f>NPV($H$8,$D$3:D14)</f>
        <v>15625.930999457469</v>
      </c>
    </row>
    <row r="14" spans="1:10" x14ac:dyDescent="0.25">
      <c r="A14">
        <v>12</v>
      </c>
      <c r="B14" s="23">
        <f t="shared" si="3"/>
        <v>0</v>
      </c>
      <c r="C14" s="20">
        <f t="shared" si="4"/>
        <v>5157.6783208078214</v>
      </c>
      <c r="D14" s="20">
        <f t="shared" si="1"/>
        <v>5157.6783208078214</v>
      </c>
      <c r="E14" s="21">
        <f t="shared" si="0"/>
        <v>0.31863081771035656</v>
      </c>
      <c r="F14" s="20">
        <f t="shared" si="2"/>
        <v>1643.3952608459749</v>
      </c>
      <c r="I14" s="25">
        <f>IRR($D$2:D14)</f>
        <v>5.1626301172944977E-2</v>
      </c>
      <c r="J14" s="26">
        <f>NPV($H$8,$D$3:D15)</f>
        <v>17344.026044887352</v>
      </c>
    </row>
    <row r="15" spans="1:10" x14ac:dyDescent="0.25">
      <c r="A15">
        <v>13</v>
      </c>
      <c r="B15" s="23">
        <f t="shared" si="3"/>
        <v>0</v>
      </c>
      <c r="C15" s="20">
        <f t="shared" si="4"/>
        <v>5931.3300689289945</v>
      </c>
      <c r="D15" s="20">
        <f>SUM(B15:C15)</f>
        <v>5931.3300689289945</v>
      </c>
      <c r="E15" s="21">
        <f t="shared" si="0"/>
        <v>0.28966437973668779</v>
      </c>
      <c r="F15" s="20">
        <f t="shared" si="2"/>
        <v>1718.0950454298829</v>
      </c>
      <c r="I15" s="25">
        <f>IRR($D$2:D15)</f>
        <v>6.898976765788345E-2</v>
      </c>
      <c r="J15" s="26">
        <f>NPV($H$8,$D$3:D16)</f>
        <v>19140.216319654955</v>
      </c>
    </row>
    <row r="16" spans="1:10" x14ac:dyDescent="0.25">
      <c r="A16">
        <v>14</v>
      </c>
      <c r="B16" s="23">
        <f t="shared" si="3"/>
        <v>0</v>
      </c>
      <c r="C16" s="20">
        <f t="shared" si="4"/>
        <v>6821.0295792683428</v>
      </c>
      <c r="D16" s="20">
        <f t="shared" si="1"/>
        <v>6821.0295792683428</v>
      </c>
      <c r="E16" s="21">
        <f t="shared" si="0"/>
        <v>0.26333125430607973</v>
      </c>
      <c r="F16" s="20">
        <f t="shared" si="2"/>
        <v>1796.190274767604</v>
      </c>
      <c r="I16" s="25">
        <f>IRR($D$2:D16)</f>
        <v>8.3641144540854917E-2</v>
      </c>
      <c r="J16" s="26">
        <f>NPV($H$8,$D$3:D17)</f>
        <v>21018.051606911995</v>
      </c>
    </row>
    <row r="17" spans="1:10" x14ac:dyDescent="0.25">
      <c r="A17">
        <v>15</v>
      </c>
      <c r="B17" s="23">
        <f t="shared" si="3"/>
        <v>0</v>
      </c>
      <c r="C17" s="20">
        <f t="shared" si="4"/>
        <v>7844.1840161585933</v>
      </c>
      <c r="D17" s="20">
        <f t="shared" si="1"/>
        <v>7844.1840161585933</v>
      </c>
      <c r="E17" s="21">
        <f t="shared" si="0"/>
        <v>0.23939204936916339</v>
      </c>
      <c r="F17" s="20">
        <f t="shared" si="2"/>
        <v>1877.8352872570404</v>
      </c>
      <c r="I17" s="25">
        <f>IRR($D$2:D17)</f>
        <v>9.6116624765041125E-2</v>
      </c>
      <c r="J17" s="26">
        <f>NPV($H$8,$D$3:D18)</f>
        <v>22981.24304358981</v>
      </c>
    </row>
    <row r="18" spans="1:10" x14ac:dyDescent="0.25">
      <c r="A18">
        <v>16</v>
      </c>
      <c r="B18" s="23">
        <f t="shared" si="3"/>
        <v>0</v>
      </c>
      <c r="C18" s="20">
        <f t="shared" si="4"/>
        <v>9020.8116185823819</v>
      </c>
      <c r="D18" s="20">
        <f t="shared" si="1"/>
        <v>9020.8116185823819</v>
      </c>
      <c r="E18" s="21">
        <f t="shared" si="0"/>
        <v>0.21762913579014853</v>
      </c>
      <c r="F18" s="20">
        <f t="shared" si="2"/>
        <v>1963.1914366778149</v>
      </c>
      <c r="I18" s="25">
        <f>IRR($D$2:D18)</f>
        <v>0.10682556557829836</v>
      </c>
      <c r="J18" s="26">
        <f>NPV($H$8,$D$3:D19)</f>
        <v>25033.670454662068</v>
      </c>
    </row>
    <row r="19" spans="1:10" x14ac:dyDescent="0.25">
      <c r="A19">
        <v>17</v>
      </c>
      <c r="B19" s="23">
        <f t="shared" si="3"/>
        <v>0</v>
      </c>
      <c r="C19" s="20">
        <f t="shared" si="4"/>
        <v>10373.933361369738</v>
      </c>
      <c r="D19" s="20">
        <f t="shared" si="1"/>
        <v>10373.933361369738</v>
      </c>
      <c r="E19" s="21">
        <f t="shared" si="0"/>
        <v>0.19784466890013502</v>
      </c>
      <c r="F19" s="20">
        <f t="shared" si="2"/>
        <v>2052.4274110722608</v>
      </c>
      <c r="I19" s="25">
        <f>IRR($D$2:D19)</f>
        <v>0.11608494106362155</v>
      </c>
      <c r="J19" s="26">
        <f>NPV($H$8,$D$3:D20)</f>
        <v>27179.390020783067</v>
      </c>
    </row>
    <row r="20" spans="1:10" x14ac:dyDescent="0.25">
      <c r="A20">
        <v>18</v>
      </c>
      <c r="B20" s="23">
        <f t="shared" si="3"/>
        <v>0</v>
      </c>
      <c r="C20" s="20">
        <f t="shared" si="4"/>
        <v>11930.023365575198</v>
      </c>
      <c r="D20" s="20">
        <f t="shared" si="1"/>
        <v>11930.023365575198</v>
      </c>
      <c r="E20" s="21">
        <f t="shared" si="0"/>
        <v>0.17985878990921364</v>
      </c>
      <c r="F20" s="20">
        <f t="shared" si="2"/>
        <v>2145.7195661209994</v>
      </c>
      <c r="I20" s="25">
        <f>IRR($D$2:D20)</f>
        <v>0.12414335523447084</v>
      </c>
      <c r="J20" s="26">
        <f>NPV($H$8,$D$3:D21)</f>
        <v>29422.642294455021</v>
      </c>
    </row>
    <row r="21" spans="1:10" x14ac:dyDescent="0.25">
      <c r="A21">
        <v>19</v>
      </c>
      <c r="B21" s="23">
        <f t="shared" si="3"/>
        <v>0</v>
      </c>
      <c r="C21" s="20">
        <f t="shared" si="4"/>
        <v>13719.526870411477</v>
      </c>
      <c r="D21" s="20">
        <f t="shared" si="1"/>
        <v>13719.526870411477</v>
      </c>
      <c r="E21" s="21">
        <f t="shared" si="0"/>
        <v>0.16350799082655781</v>
      </c>
      <c r="F21" s="20">
        <f t="shared" si="2"/>
        <v>2243.2522736719534</v>
      </c>
      <c r="I21" s="25">
        <f>IRR($D$2:D21)</f>
        <v>0.13119807096862179</v>
      </c>
      <c r="J21" s="26">
        <f>NPV($H$8,$D$3:D22)</f>
        <v>31767.860580566608</v>
      </c>
    </row>
    <row r="22" spans="1:10" x14ac:dyDescent="0.25">
      <c r="A22">
        <v>20</v>
      </c>
      <c r="B22" s="23">
        <f t="shared" si="3"/>
        <v>0</v>
      </c>
      <c r="C22" s="20">
        <f>(1+$H$11)*C21</f>
        <v>15777.455900973197</v>
      </c>
      <c r="D22" s="20">
        <f t="shared" si="1"/>
        <v>15777.455900973197</v>
      </c>
      <c r="E22" s="21">
        <f t="shared" si="0"/>
        <v>0.14864362802414349</v>
      </c>
      <c r="F22" s="20">
        <f t="shared" si="2"/>
        <v>2345.2182861115875</v>
      </c>
      <c r="I22" s="25">
        <f>IRR($D$2:D22)</f>
        <v>0.13740728047656448</v>
      </c>
      <c r="J22" s="26">
        <f>NPV($H$8,$D$3:D23)</f>
        <v>31767.860580566608</v>
      </c>
    </row>
    <row r="23" spans="1:10" x14ac:dyDescent="0.25">
      <c r="C23" s="20"/>
      <c r="D23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240F-A0D7-4572-BB3A-D21690E81CD0}">
  <dimension ref="A1:J57"/>
  <sheetViews>
    <sheetView tabSelected="1" workbookViewId="0">
      <selection sqref="A1:A1048576"/>
    </sheetView>
  </sheetViews>
  <sheetFormatPr defaultColWidth="8.85546875" defaultRowHeight="15" x14ac:dyDescent="0.25"/>
  <sheetData>
    <row r="1" spans="1:5" x14ac:dyDescent="0.25">
      <c r="B1" t="s">
        <v>127</v>
      </c>
      <c r="C1" t="s">
        <v>128</v>
      </c>
      <c r="D1" t="s">
        <v>129</v>
      </c>
    </row>
    <row r="2" spans="1:5" x14ac:dyDescent="0.25">
      <c r="A2">
        <v>0</v>
      </c>
      <c r="B2">
        <v>65.322000000000003</v>
      </c>
      <c r="C2">
        <v>95.125</v>
      </c>
      <c r="D2">
        <v>160.447</v>
      </c>
      <c r="E2">
        <f>D2</f>
        <v>160.447</v>
      </c>
    </row>
    <row r="3" spans="1:5" x14ac:dyDescent="0.25">
      <c r="A3">
        <v>1</v>
      </c>
      <c r="B3">
        <v>64.432999999999893</v>
      </c>
      <c r="C3">
        <v>82.537999999999997</v>
      </c>
      <c r="D3">
        <v>146.971</v>
      </c>
      <c r="E3">
        <f>D3</f>
        <v>146.971</v>
      </c>
    </row>
    <row r="4" spans="1:5" x14ac:dyDescent="0.25">
      <c r="A4">
        <v>2</v>
      </c>
      <c r="B4">
        <v>60.816999999999901</v>
      </c>
      <c r="C4">
        <v>80.766999999999996</v>
      </c>
      <c r="D4">
        <v>141.584</v>
      </c>
      <c r="E4">
        <f>D4</f>
        <v>141.584</v>
      </c>
    </row>
    <row r="5" spans="1:5" x14ac:dyDescent="0.25">
      <c r="A5">
        <v>3</v>
      </c>
      <c r="B5">
        <v>75.149000000000001</v>
      </c>
      <c r="C5">
        <v>100.771999999999</v>
      </c>
      <c r="D5">
        <v>175.92099999999999</v>
      </c>
      <c r="E5">
        <f>D5</f>
        <v>175.92099999999999</v>
      </c>
    </row>
    <row r="6" spans="1:5" x14ac:dyDescent="0.25">
      <c r="A6">
        <v>4</v>
      </c>
      <c r="B6">
        <v>83.406999999999996</v>
      </c>
      <c r="C6">
        <v>49.606999999999999</v>
      </c>
      <c r="D6">
        <v>133.01400000000001</v>
      </c>
      <c r="E6">
        <f>D6</f>
        <v>133.01400000000001</v>
      </c>
    </row>
    <row r="7" spans="1:5" x14ac:dyDescent="0.25">
      <c r="A7">
        <v>5</v>
      </c>
      <c r="B7">
        <v>98.453999999999994</v>
      </c>
      <c r="C7">
        <v>85.525999999999996</v>
      </c>
      <c r="D7">
        <v>183.98</v>
      </c>
      <c r="E7">
        <f>D7</f>
        <v>183.98</v>
      </c>
    </row>
    <row r="8" spans="1:5" x14ac:dyDescent="0.25">
      <c r="A8">
        <v>6</v>
      </c>
      <c r="B8">
        <v>80.06</v>
      </c>
      <c r="C8">
        <v>71.080999999999904</v>
      </c>
      <c r="D8">
        <v>151.14099999999999</v>
      </c>
      <c r="E8">
        <f>D8</f>
        <v>151.14099999999999</v>
      </c>
    </row>
    <row r="9" spans="1:5" x14ac:dyDescent="0.25">
      <c r="A9">
        <v>7</v>
      </c>
      <c r="B9">
        <v>54.019999999999897</v>
      </c>
      <c r="C9">
        <v>42.036000000000001</v>
      </c>
      <c r="D9">
        <v>96.055999999999997</v>
      </c>
      <c r="E9">
        <f>D9</f>
        <v>96.055999999999997</v>
      </c>
    </row>
    <row r="10" spans="1:5" x14ac:dyDescent="0.25">
      <c r="A10">
        <v>8</v>
      </c>
      <c r="B10">
        <v>31.190999999999999</v>
      </c>
      <c r="C10">
        <v>67.617000000000004</v>
      </c>
      <c r="D10">
        <v>98.808000000000007</v>
      </c>
      <c r="E10">
        <f>D10</f>
        <v>98.808000000000007</v>
      </c>
    </row>
    <row r="11" spans="1:5" x14ac:dyDescent="0.25">
      <c r="A11">
        <v>9</v>
      </c>
      <c r="B11">
        <v>41.283000000000001</v>
      </c>
      <c r="C11">
        <v>57.888999999999903</v>
      </c>
      <c r="D11">
        <v>99.171999999999997</v>
      </c>
      <c r="E11">
        <f>D11</f>
        <v>99.171999999999997</v>
      </c>
    </row>
    <row r="12" spans="1:5" x14ac:dyDescent="0.25">
      <c r="A12">
        <v>10</v>
      </c>
      <c r="B12">
        <v>57.301000000000002</v>
      </c>
      <c r="C12">
        <v>47.241999999999997</v>
      </c>
      <c r="D12">
        <v>104.54300000000001</v>
      </c>
      <c r="E12">
        <f>D12</f>
        <v>104.54300000000001</v>
      </c>
    </row>
    <row r="13" spans="1:5" x14ac:dyDescent="0.25">
      <c r="A13">
        <v>11</v>
      </c>
      <c r="B13">
        <v>50.403999999999897</v>
      </c>
      <c r="C13">
        <v>41.81</v>
      </c>
      <c r="D13">
        <v>92.213999999999999</v>
      </c>
      <c r="E13">
        <f>D13</f>
        <v>92.213999999999999</v>
      </c>
    </row>
    <row r="14" spans="1:5" x14ac:dyDescent="0.25">
      <c r="A14">
        <v>12</v>
      </c>
      <c r="B14">
        <v>48.941000000000003</v>
      </c>
      <c r="C14">
        <v>45.286000000000001</v>
      </c>
      <c r="D14">
        <v>94.227000000000004</v>
      </c>
      <c r="E14">
        <f>D14</f>
        <v>94.227000000000004</v>
      </c>
    </row>
    <row r="15" spans="1:5" x14ac:dyDescent="0.25">
      <c r="A15">
        <v>13</v>
      </c>
      <c r="B15">
        <v>71.765999999999906</v>
      </c>
      <c r="C15">
        <v>68.444000000000003</v>
      </c>
      <c r="D15">
        <v>140.20999999999901</v>
      </c>
      <c r="E15">
        <f>D15</f>
        <v>140.20999999999901</v>
      </c>
    </row>
    <row r="16" spans="1:5" x14ac:dyDescent="0.25">
      <c r="A16">
        <v>14</v>
      </c>
      <c r="B16">
        <v>72.313999999999993</v>
      </c>
      <c r="C16">
        <v>34.017000000000003</v>
      </c>
      <c r="D16">
        <v>106.33099999999899</v>
      </c>
      <c r="E16">
        <f>D16</f>
        <v>106.33099999999899</v>
      </c>
    </row>
    <row r="17" spans="1:7" x14ac:dyDescent="0.25">
      <c r="A17">
        <v>15</v>
      </c>
      <c r="B17">
        <v>63.194000000000003</v>
      </c>
      <c r="C17">
        <v>52.706000000000003</v>
      </c>
      <c r="D17">
        <v>115.9</v>
      </c>
      <c r="E17">
        <f>D17</f>
        <v>115.9</v>
      </c>
    </row>
    <row r="18" spans="1:7" x14ac:dyDescent="0.25">
      <c r="A18">
        <v>16</v>
      </c>
      <c r="B18">
        <v>67.025999999999996</v>
      </c>
      <c r="C18">
        <v>53.640999999999998</v>
      </c>
      <c r="D18">
        <v>120.667</v>
      </c>
      <c r="E18">
        <f>D18</f>
        <v>120.667</v>
      </c>
    </row>
    <row r="19" spans="1:7" x14ac:dyDescent="0.25">
      <c r="A19">
        <v>17</v>
      </c>
      <c r="B19">
        <v>39.997</v>
      </c>
      <c r="C19">
        <v>38.426000000000002</v>
      </c>
      <c r="D19">
        <v>78.423000000000002</v>
      </c>
      <c r="E19">
        <f>D19</f>
        <v>78.423000000000002</v>
      </c>
      <c r="G19" t="s">
        <v>135</v>
      </c>
    </row>
    <row r="20" spans="1:7" x14ac:dyDescent="0.25">
      <c r="A20">
        <v>18</v>
      </c>
      <c r="B20">
        <v>54.111999999999902</v>
      </c>
      <c r="C20">
        <v>59.884</v>
      </c>
      <c r="D20">
        <v>113.996</v>
      </c>
      <c r="E20">
        <f>D20</f>
        <v>113.996</v>
      </c>
      <c r="G20" t="s">
        <v>136</v>
      </c>
    </row>
    <row r="21" spans="1:7" x14ac:dyDescent="0.25">
      <c r="A21">
        <v>19</v>
      </c>
      <c r="B21">
        <v>56.759</v>
      </c>
      <c r="C21">
        <v>65.186999999999998</v>
      </c>
      <c r="D21">
        <v>121.946</v>
      </c>
      <c r="E21">
        <f>D21</f>
        <v>121.946</v>
      </c>
    </row>
    <row r="22" spans="1:7" x14ac:dyDescent="0.25">
      <c r="A22">
        <v>20</v>
      </c>
      <c r="B22">
        <v>48.362000000000002</v>
      </c>
      <c r="C22">
        <v>37.238</v>
      </c>
      <c r="D22">
        <v>85.6</v>
      </c>
      <c r="E22">
        <f>D22</f>
        <v>85.6</v>
      </c>
    </row>
    <row r="23" spans="1:7" x14ac:dyDescent="0.25">
      <c r="A23">
        <v>21</v>
      </c>
      <c r="B23">
        <v>67.418999999999997</v>
      </c>
      <c r="C23">
        <v>64.302999999999997</v>
      </c>
      <c r="D23">
        <v>131.72199999999901</v>
      </c>
      <c r="E23">
        <f>D23</f>
        <v>131.72199999999901</v>
      </c>
    </row>
    <row r="24" spans="1:7" x14ac:dyDescent="0.25">
      <c r="A24">
        <v>22</v>
      </c>
      <c r="B24">
        <v>53.61</v>
      </c>
      <c r="C24">
        <v>61.463000000000001</v>
      </c>
      <c r="D24">
        <v>115.07299999999999</v>
      </c>
      <c r="E24">
        <f>D24</f>
        <v>115.07299999999999</v>
      </c>
    </row>
    <row r="25" spans="1:7" x14ac:dyDescent="0.25">
      <c r="A25">
        <v>23</v>
      </c>
      <c r="B25">
        <v>54.612000000000002</v>
      </c>
      <c r="C25">
        <v>63.2</v>
      </c>
      <c r="D25">
        <v>117.812</v>
      </c>
      <c r="E25">
        <f>D25</f>
        <v>117.812</v>
      </c>
    </row>
    <row r="26" spans="1:7" x14ac:dyDescent="0.25">
      <c r="A26">
        <v>24</v>
      </c>
      <c r="B26">
        <v>52.727999999999902</v>
      </c>
      <c r="C26">
        <v>52.491999999999997</v>
      </c>
      <c r="D26">
        <v>105.22</v>
      </c>
      <c r="E26">
        <f>D26</f>
        <v>105.22</v>
      </c>
    </row>
    <row r="27" spans="1:7" x14ac:dyDescent="0.25">
      <c r="A27">
        <v>25</v>
      </c>
      <c r="B27">
        <v>55.028999999999897</v>
      </c>
      <c r="C27">
        <v>62.468000000000004</v>
      </c>
      <c r="D27">
        <v>117.497</v>
      </c>
      <c r="E27">
        <f>D27</f>
        <v>117.497</v>
      </c>
    </row>
    <row r="28" spans="1:7" x14ac:dyDescent="0.25">
      <c r="A28">
        <v>26</v>
      </c>
      <c r="B28">
        <v>35.656999999999996</v>
      </c>
      <c r="C28">
        <v>68.096999999999994</v>
      </c>
      <c r="D28">
        <v>103.753999999999</v>
      </c>
      <c r="E28">
        <f>D28</f>
        <v>103.753999999999</v>
      </c>
    </row>
    <row r="29" spans="1:7" x14ac:dyDescent="0.25">
      <c r="A29">
        <v>27</v>
      </c>
      <c r="B29">
        <v>46.534999999999997</v>
      </c>
      <c r="C29">
        <v>58.622</v>
      </c>
      <c r="D29">
        <v>105.157</v>
      </c>
      <c r="E29">
        <f>D29</f>
        <v>105.157</v>
      </c>
    </row>
    <row r="30" spans="1:7" x14ac:dyDescent="0.25">
      <c r="A30">
        <v>28</v>
      </c>
      <c r="B30">
        <v>51.614999999999903</v>
      </c>
      <c r="C30">
        <v>52.03</v>
      </c>
      <c r="D30">
        <v>103.645</v>
      </c>
      <c r="E30">
        <f>D30</f>
        <v>103.645</v>
      </c>
    </row>
    <row r="31" spans="1:7" x14ac:dyDescent="0.25">
      <c r="A31">
        <v>29</v>
      </c>
      <c r="B31">
        <v>42.033000000000001</v>
      </c>
      <c r="C31">
        <v>54.941000000000003</v>
      </c>
      <c r="D31">
        <v>96.974000000000004</v>
      </c>
      <c r="E31">
        <f>D31</f>
        <v>96.974000000000004</v>
      </c>
    </row>
    <row r="32" spans="1:7" x14ac:dyDescent="0.25">
      <c r="A32">
        <v>30</v>
      </c>
      <c r="B32">
        <v>33.063000000000002</v>
      </c>
      <c r="C32">
        <v>62.012</v>
      </c>
      <c r="D32">
        <v>95.075000000000003</v>
      </c>
      <c r="E32">
        <f>D32</f>
        <v>95.075000000000003</v>
      </c>
    </row>
    <row r="33" spans="1:5" x14ac:dyDescent="0.25">
      <c r="A33">
        <v>31</v>
      </c>
      <c r="B33">
        <v>54.777999999999999</v>
      </c>
      <c r="C33">
        <v>49.406999999999996</v>
      </c>
      <c r="D33">
        <v>104.185</v>
      </c>
      <c r="E33">
        <f>D33</f>
        <v>104.185</v>
      </c>
    </row>
    <row r="34" spans="1:5" x14ac:dyDescent="0.25">
      <c r="A34">
        <v>32</v>
      </c>
      <c r="B34">
        <v>75.287000000000006</v>
      </c>
      <c r="C34">
        <v>67.346999999999994</v>
      </c>
      <c r="D34">
        <v>142.63399999999999</v>
      </c>
      <c r="E34">
        <f>D34</f>
        <v>142.63399999999999</v>
      </c>
    </row>
    <row r="35" spans="1:5" x14ac:dyDescent="0.25">
      <c r="A35">
        <v>33</v>
      </c>
      <c r="B35">
        <v>67.757000000000005</v>
      </c>
      <c r="C35">
        <v>53.082999999999998</v>
      </c>
      <c r="D35">
        <v>120.84</v>
      </c>
      <c r="E35">
        <f>D35</f>
        <v>120.84</v>
      </c>
    </row>
    <row r="36" spans="1:5" x14ac:dyDescent="0.25">
      <c r="A36">
        <v>34</v>
      </c>
      <c r="B36">
        <v>50.144999999999897</v>
      </c>
      <c r="C36">
        <v>63.4329999999999</v>
      </c>
      <c r="D36">
        <v>113.57799999999899</v>
      </c>
      <c r="E36">
        <f>D36</f>
        <v>113.57799999999899</v>
      </c>
    </row>
    <row r="37" spans="1:5" x14ac:dyDescent="0.25">
      <c r="A37">
        <v>35</v>
      </c>
      <c r="B37">
        <v>40.685000000000002</v>
      </c>
      <c r="C37">
        <v>51.186999999999998</v>
      </c>
      <c r="D37">
        <v>91.872</v>
      </c>
      <c r="E37">
        <f>D37</f>
        <v>91.872</v>
      </c>
    </row>
    <row r="38" spans="1:5" x14ac:dyDescent="0.25">
      <c r="A38">
        <v>36</v>
      </c>
      <c r="B38">
        <v>47.204999999999998</v>
      </c>
      <c r="C38">
        <v>67.090999999999994</v>
      </c>
      <c r="D38">
        <v>114.29600000000001</v>
      </c>
      <c r="E38">
        <f>D38</f>
        <v>114.29600000000001</v>
      </c>
    </row>
    <row r="39" spans="1:5" x14ac:dyDescent="0.25">
      <c r="A39">
        <v>37</v>
      </c>
      <c r="B39">
        <v>57.637999999999998</v>
      </c>
      <c r="C39">
        <v>51.634999999999998</v>
      </c>
      <c r="D39">
        <v>109.273</v>
      </c>
      <c r="E39">
        <f>D39</f>
        <v>109.273</v>
      </c>
    </row>
    <row r="40" spans="1:5" x14ac:dyDescent="0.25">
      <c r="A40">
        <v>38</v>
      </c>
      <c r="B40">
        <v>65.686999999999998</v>
      </c>
      <c r="C40">
        <v>61.048000000000002</v>
      </c>
      <c r="D40">
        <v>126.735</v>
      </c>
      <c r="E40">
        <f>D40</f>
        <v>126.735</v>
      </c>
    </row>
    <row r="41" spans="1:5" x14ac:dyDescent="0.25">
      <c r="A41">
        <v>39</v>
      </c>
      <c r="B41">
        <v>58.192</v>
      </c>
      <c r="C41">
        <v>98.889999999999901</v>
      </c>
      <c r="D41">
        <v>157.08199999999999</v>
      </c>
      <c r="E41">
        <f>D41</f>
        <v>157.08199999999999</v>
      </c>
    </row>
    <row r="42" spans="1:5" x14ac:dyDescent="0.25">
      <c r="A42">
        <v>40</v>
      </c>
      <c r="B42">
        <v>32.423000000000002</v>
      </c>
      <c r="C42">
        <v>57.741</v>
      </c>
      <c r="D42">
        <v>90.164000000000001</v>
      </c>
      <c r="E42">
        <f>D42</f>
        <v>90.164000000000001</v>
      </c>
    </row>
    <row r="43" spans="1:5" x14ac:dyDescent="0.25">
      <c r="A43">
        <v>41</v>
      </c>
      <c r="B43">
        <v>54.959000000000003</v>
      </c>
      <c r="C43">
        <v>95.522999999999996</v>
      </c>
      <c r="D43">
        <v>150.482</v>
      </c>
      <c r="E43">
        <f>D43</f>
        <v>150.482</v>
      </c>
    </row>
    <row r="44" spans="1:5" x14ac:dyDescent="0.25">
      <c r="A44">
        <v>42</v>
      </c>
      <c r="B44">
        <v>71.900000000000006</v>
      </c>
      <c r="C44">
        <v>63.231999999999999</v>
      </c>
      <c r="D44">
        <v>135.13200000000001</v>
      </c>
      <c r="E44">
        <f>D44</f>
        <v>135.13200000000001</v>
      </c>
    </row>
    <row r="45" spans="1:5" x14ac:dyDescent="0.25">
      <c r="A45">
        <v>43</v>
      </c>
      <c r="B45">
        <v>49.841999999999999</v>
      </c>
      <c r="C45">
        <v>28.984999999999999</v>
      </c>
      <c r="D45">
        <v>78.826999999999998</v>
      </c>
      <c r="E45">
        <f>D45</f>
        <v>78.826999999999998</v>
      </c>
    </row>
    <row r="46" spans="1:5" x14ac:dyDescent="0.25">
      <c r="A46">
        <v>44</v>
      </c>
      <c r="B46">
        <v>87.317999999999998</v>
      </c>
      <c r="C46">
        <v>59.167000000000002</v>
      </c>
      <c r="D46">
        <v>146.48500000000001</v>
      </c>
      <c r="E46">
        <f>D46</f>
        <v>146.48500000000001</v>
      </c>
    </row>
    <row r="47" spans="1:5" x14ac:dyDescent="0.25">
      <c r="A47">
        <v>45</v>
      </c>
      <c r="B47">
        <v>37.875999999999998</v>
      </c>
      <c r="C47">
        <v>49.8</v>
      </c>
      <c r="D47">
        <v>87.675999999999902</v>
      </c>
      <c r="E47">
        <f>D47</f>
        <v>87.675999999999902</v>
      </c>
    </row>
    <row r="48" spans="1:5" x14ac:dyDescent="0.25">
      <c r="A48">
        <v>46</v>
      </c>
      <c r="B48">
        <v>82.418999999999997</v>
      </c>
      <c r="C48">
        <v>95.962000000000003</v>
      </c>
      <c r="D48">
        <v>178.381</v>
      </c>
      <c r="E48">
        <f>D48</f>
        <v>178.381</v>
      </c>
    </row>
    <row r="49" spans="1:10" x14ac:dyDescent="0.25">
      <c r="A49">
        <v>47</v>
      </c>
      <c r="B49">
        <v>98.447999999999993</v>
      </c>
      <c r="C49">
        <v>75.323999999999998</v>
      </c>
      <c r="D49">
        <v>173.77199999999999</v>
      </c>
      <c r="E49">
        <f>D49</f>
        <v>173.77199999999999</v>
      </c>
    </row>
    <row r="50" spans="1:10" x14ac:dyDescent="0.25">
      <c r="A50">
        <v>48</v>
      </c>
      <c r="B50">
        <v>82.046999999999997</v>
      </c>
      <c r="C50">
        <v>101.73</v>
      </c>
      <c r="D50">
        <v>183.77699999999999</v>
      </c>
      <c r="E50">
        <f>D50</f>
        <v>183.77699999999999</v>
      </c>
    </row>
    <row r="51" spans="1:10" x14ac:dyDescent="0.25">
      <c r="A51">
        <v>49</v>
      </c>
      <c r="B51">
        <v>97.218999999999994</v>
      </c>
      <c r="C51">
        <v>94.216999999999999</v>
      </c>
      <c r="D51">
        <v>191.43599999999901</v>
      </c>
      <c r="E51">
        <f>D51</f>
        <v>191.43599999999901</v>
      </c>
    </row>
    <row r="52" spans="1:10" x14ac:dyDescent="0.25">
      <c r="A52">
        <v>50</v>
      </c>
      <c r="B52">
        <v>98.456999999999994</v>
      </c>
      <c r="C52">
        <v>99.754999999999995</v>
      </c>
      <c r="D52">
        <v>198.21199999999999</v>
      </c>
      <c r="E52">
        <f>D52</f>
        <v>198.21199999999999</v>
      </c>
      <c r="J52">
        <f>3000/6544</f>
        <v>0.45843520782396086</v>
      </c>
    </row>
    <row r="53" spans="1:10" x14ac:dyDescent="0.25">
      <c r="A53">
        <v>51</v>
      </c>
      <c r="B53">
        <v>94.16</v>
      </c>
      <c r="C53">
        <v>102.102</v>
      </c>
      <c r="D53">
        <v>196.262</v>
      </c>
      <c r="E53">
        <f>D53</f>
        <v>196.262</v>
      </c>
    </row>
    <row r="55" spans="1:10" x14ac:dyDescent="0.25">
      <c r="D55">
        <f>SUM(D2:D53)</f>
        <v>6544.1809999999923</v>
      </c>
    </row>
    <row r="56" spans="1:10" x14ac:dyDescent="0.25">
      <c r="D56">
        <v>4416</v>
      </c>
      <c r="F56" t="s">
        <v>131</v>
      </c>
    </row>
    <row r="57" spans="1:10" x14ac:dyDescent="0.25">
      <c r="G57">
        <f>D56*0.3</f>
        <v>1324.8</v>
      </c>
    </row>
  </sheetData>
  <sortState ref="A2:E53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82CF5-8623-4253-81B5-B0F141EE7C85}">
  <dimension ref="A1:D53"/>
  <sheetViews>
    <sheetView topLeftCell="F1" workbookViewId="0">
      <selection activeCell="X6" sqref="X6"/>
    </sheetView>
  </sheetViews>
  <sheetFormatPr defaultColWidth="8.85546875" defaultRowHeight="15" x14ac:dyDescent="0.25"/>
  <cols>
    <col min="4" max="4" width="14.42578125" bestFit="1" customWidth="1"/>
  </cols>
  <sheetData>
    <row r="1" spans="1:4" x14ac:dyDescent="0.25">
      <c r="B1" t="s">
        <v>127</v>
      </c>
      <c r="C1" t="s">
        <v>128</v>
      </c>
      <c r="D1" t="s">
        <v>129</v>
      </c>
    </row>
    <row r="2" spans="1:4" x14ac:dyDescent="0.25">
      <c r="A2">
        <v>0</v>
      </c>
      <c r="B2">
        <v>22.154</v>
      </c>
      <c r="C2">
        <v>21.209</v>
      </c>
      <c r="D2">
        <v>43.363</v>
      </c>
    </row>
    <row r="3" spans="1:4" x14ac:dyDescent="0.25">
      <c r="A3">
        <v>1</v>
      </c>
      <c r="B3">
        <v>5.9939999999999998</v>
      </c>
      <c r="C3">
        <v>3.33</v>
      </c>
      <c r="D3">
        <v>9.3239999999999998</v>
      </c>
    </row>
    <row r="4" spans="1:4" x14ac:dyDescent="0.25">
      <c r="A4">
        <v>2</v>
      </c>
      <c r="B4">
        <v>46.491999999999997</v>
      </c>
      <c r="C4">
        <v>7.0229999999999997</v>
      </c>
      <c r="D4">
        <v>53.515000000000001</v>
      </c>
    </row>
    <row r="5" spans="1:4" x14ac:dyDescent="0.25">
      <c r="A5">
        <v>3</v>
      </c>
      <c r="B5">
        <v>9.8140000000000001</v>
      </c>
      <c r="C5">
        <v>11.616</v>
      </c>
      <c r="D5">
        <v>21.43</v>
      </c>
    </row>
    <row r="6" spans="1:4" x14ac:dyDescent="0.25">
      <c r="A6">
        <v>4</v>
      </c>
      <c r="B6">
        <v>7.0589999999999904</v>
      </c>
      <c r="C6">
        <v>28.646999999999998</v>
      </c>
      <c r="D6">
        <v>35.706000000000003</v>
      </c>
    </row>
    <row r="7" spans="1:4" x14ac:dyDescent="0.25">
      <c r="A7">
        <v>5</v>
      </c>
      <c r="B7">
        <v>13.09</v>
      </c>
      <c r="C7">
        <v>49.720999999999997</v>
      </c>
      <c r="D7">
        <v>62.811</v>
      </c>
    </row>
    <row r="8" spans="1:4" x14ac:dyDescent="0.25">
      <c r="A8">
        <v>6</v>
      </c>
      <c r="B8">
        <v>88.13</v>
      </c>
      <c r="C8">
        <v>75.498999999999995</v>
      </c>
      <c r="D8">
        <v>163.62899999999999</v>
      </c>
    </row>
    <row r="9" spans="1:4" x14ac:dyDescent="0.25">
      <c r="A9">
        <v>7</v>
      </c>
      <c r="B9">
        <v>79.972999999999999</v>
      </c>
      <c r="C9">
        <v>86.317999999999998</v>
      </c>
      <c r="D9">
        <v>166.291</v>
      </c>
    </row>
    <row r="10" spans="1:4" x14ac:dyDescent="0.25">
      <c r="A10">
        <v>8</v>
      </c>
      <c r="B10">
        <v>22.2</v>
      </c>
      <c r="C10">
        <v>92.007999999999996</v>
      </c>
      <c r="D10">
        <v>114.208</v>
      </c>
    </row>
    <row r="11" spans="1:4" x14ac:dyDescent="0.25">
      <c r="A11">
        <v>9</v>
      </c>
      <c r="B11">
        <v>57.576000000000001</v>
      </c>
      <c r="C11">
        <v>38.570999999999998</v>
      </c>
      <c r="D11">
        <v>96.146999999999906</v>
      </c>
    </row>
    <row r="12" spans="1:4" x14ac:dyDescent="0.25">
      <c r="A12">
        <v>10</v>
      </c>
      <c r="B12">
        <v>19.782</v>
      </c>
      <c r="C12">
        <v>85.786000000000001</v>
      </c>
      <c r="D12">
        <v>105.568</v>
      </c>
    </row>
    <row r="13" spans="1:4" x14ac:dyDescent="0.25">
      <c r="A13">
        <v>11</v>
      </c>
      <c r="B13">
        <v>100.657</v>
      </c>
      <c r="C13">
        <v>71.330999999999904</v>
      </c>
      <c r="D13">
        <v>171.988</v>
      </c>
    </row>
    <row r="14" spans="1:4" x14ac:dyDescent="0.25">
      <c r="A14">
        <v>12</v>
      </c>
      <c r="B14">
        <v>108.143</v>
      </c>
      <c r="C14">
        <v>95.334999999999994</v>
      </c>
      <c r="D14">
        <v>203.47800000000001</v>
      </c>
    </row>
    <row r="15" spans="1:4" x14ac:dyDescent="0.25">
      <c r="A15">
        <v>13</v>
      </c>
      <c r="B15">
        <v>28.378</v>
      </c>
      <c r="C15">
        <v>98.608000000000004</v>
      </c>
      <c r="D15">
        <v>126.986</v>
      </c>
    </row>
    <row r="16" spans="1:4" x14ac:dyDescent="0.25">
      <c r="A16">
        <v>14</v>
      </c>
      <c r="B16">
        <v>121.166</v>
      </c>
      <c r="C16">
        <v>122.148</v>
      </c>
      <c r="D16">
        <v>243.31399999999999</v>
      </c>
    </row>
    <row r="17" spans="1:4" x14ac:dyDescent="0.25">
      <c r="A17">
        <v>15</v>
      </c>
      <c r="B17">
        <v>114.09299999999899</v>
      </c>
      <c r="C17">
        <v>116.25</v>
      </c>
      <c r="D17">
        <v>230.34299999999999</v>
      </c>
    </row>
    <row r="18" spans="1:4" x14ac:dyDescent="0.25">
      <c r="A18">
        <v>16</v>
      </c>
      <c r="B18">
        <v>84.937999999999903</v>
      </c>
      <c r="C18">
        <v>91.072999999999993</v>
      </c>
      <c r="D18">
        <v>176.011</v>
      </c>
    </row>
    <row r="19" spans="1:4" x14ac:dyDescent="0.25">
      <c r="A19">
        <v>17</v>
      </c>
      <c r="B19">
        <v>90.628999999999905</v>
      </c>
      <c r="C19">
        <v>78.527000000000001</v>
      </c>
      <c r="D19">
        <v>169.15600000000001</v>
      </c>
    </row>
    <row r="20" spans="1:4" x14ac:dyDescent="0.25">
      <c r="A20">
        <v>18</v>
      </c>
      <c r="B20">
        <v>83.822999999999993</v>
      </c>
      <c r="C20">
        <v>90.209000000000003</v>
      </c>
      <c r="D20">
        <v>174.03200000000001</v>
      </c>
    </row>
    <row r="21" spans="1:4" x14ac:dyDescent="0.25">
      <c r="A21">
        <v>19</v>
      </c>
      <c r="B21">
        <v>80.025000000000006</v>
      </c>
      <c r="C21">
        <v>53.412999999999997</v>
      </c>
      <c r="D21">
        <v>133.43799999999999</v>
      </c>
    </row>
    <row r="22" spans="1:4" x14ac:dyDescent="0.25">
      <c r="A22">
        <v>20</v>
      </c>
      <c r="B22">
        <v>122.21</v>
      </c>
      <c r="C22">
        <v>113.794</v>
      </c>
      <c r="D22">
        <v>236.00399999999999</v>
      </c>
    </row>
    <row r="23" spans="1:4" x14ac:dyDescent="0.25">
      <c r="A23">
        <v>21</v>
      </c>
      <c r="B23">
        <v>112.628999999999</v>
      </c>
      <c r="C23">
        <v>119.169</v>
      </c>
      <c r="D23">
        <v>231.798</v>
      </c>
    </row>
    <row r="24" spans="1:4" x14ac:dyDescent="0.25">
      <c r="A24">
        <v>22</v>
      </c>
      <c r="B24">
        <v>71.558999999999997</v>
      </c>
      <c r="C24">
        <v>112.628</v>
      </c>
      <c r="D24">
        <v>184.18700000000001</v>
      </c>
    </row>
    <row r="25" spans="1:4" x14ac:dyDescent="0.25">
      <c r="A25">
        <v>23</v>
      </c>
      <c r="B25">
        <v>117.23699999999999</v>
      </c>
      <c r="C25">
        <v>105.065</v>
      </c>
      <c r="D25">
        <v>222.30199999999999</v>
      </c>
    </row>
    <row r="26" spans="1:4" x14ac:dyDescent="0.25">
      <c r="A26">
        <v>24</v>
      </c>
      <c r="B26">
        <v>119.886</v>
      </c>
      <c r="C26">
        <v>126.009</v>
      </c>
      <c r="D26">
        <v>245.89499999999899</v>
      </c>
    </row>
    <row r="27" spans="1:4" x14ac:dyDescent="0.25">
      <c r="A27">
        <v>25</v>
      </c>
      <c r="B27">
        <v>95.718999999999994</v>
      </c>
      <c r="C27">
        <v>117.227</v>
      </c>
      <c r="D27">
        <v>212.946</v>
      </c>
    </row>
    <row r="28" spans="1:4" x14ac:dyDescent="0.25">
      <c r="A28">
        <v>26</v>
      </c>
      <c r="B28">
        <v>123.315</v>
      </c>
      <c r="C28">
        <v>118.282</v>
      </c>
      <c r="D28">
        <v>241.59700000000001</v>
      </c>
    </row>
    <row r="29" spans="1:4" x14ac:dyDescent="0.25">
      <c r="A29">
        <v>27</v>
      </c>
      <c r="B29">
        <v>105.92</v>
      </c>
      <c r="C29">
        <v>118.01300000000001</v>
      </c>
      <c r="D29">
        <v>223.93299999999999</v>
      </c>
    </row>
    <row r="30" spans="1:4" x14ac:dyDescent="0.25">
      <c r="A30">
        <v>28</v>
      </c>
      <c r="B30">
        <v>83.843999999999994</v>
      </c>
      <c r="C30">
        <v>78.83</v>
      </c>
      <c r="D30">
        <v>162.67400000000001</v>
      </c>
    </row>
    <row r="31" spans="1:4" x14ac:dyDescent="0.25">
      <c r="A31">
        <v>29</v>
      </c>
      <c r="B31">
        <v>45.899000000000001</v>
      </c>
      <c r="C31">
        <v>87.986000000000004</v>
      </c>
      <c r="D31">
        <v>133.88499999999999</v>
      </c>
    </row>
    <row r="32" spans="1:4" x14ac:dyDescent="0.25">
      <c r="A32">
        <v>30</v>
      </c>
      <c r="B32">
        <v>117.227</v>
      </c>
      <c r="C32">
        <v>74.299000000000007</v>
      </c>
      <c r="D32">
        <v>191.52600000000001</v>
      </c>
    </row>
    <row r="33" spans="1:4" x14ac:dyDescent="0.25">
      <c r="A33">
        <v>31</v>
      </c>
      <c r="B33">
        <v>74.608999999999995</v>
      </c>
      <c r="C33">
        <v>112.239</v>
      </c>
      <c r="D33">
        <v>186.84800000000001</v>
      </c>
    </row>
    <row r="34" spans="1:4" x14ac:dyDescent="0.25">
      <c r="A34">
        <v>32</v>
      </c>
      <c r="B34">
        <v>79.936999999999998</v>
      </c>
      <c r="C34">
        <v>51.460999999999999</v>
      </c>
      <c r="D34">
        <v>131.398</v>
      </c>
    </row>
    <row r="35" spans="1:4" x14ac:dyDescent="0.25">
      <c r="A35">
        <v>33</v>
      </c>
      <c r="B35">
        <v>111.03700000000001</v>
      </c>
      <c r="C35">
        <v>88.632000000000005</v>
      </c>
      <c r="D35">
        <v>199.66900000000001</v>
      </c>
    </row>
    <row r="36" spans="1:4" x14ac:dyDescent="0.25">
      <c r="A36">
        <v>34</v>
      </c>
      <c r="B36">
        <v>97.837999999999994</v>
      </c>
      <c r="C36">
        <v>96.36</v>
      </c>
      <c r="D36">
        <v>194.19800000000001</v>
      </c>
    </row>
    <row r="37" spans="1:4" x14ac:dyDescent="0.25">
      <c r="A37">
        <v>35</v>
      </c>
      <c r="B37">
        <v>94.076999999999998</v>
      </c>
      <c r="C37">
        <v>103.526</v>
      </c>
      <c r="D37">
        <v>197.60300000000001</v>
      </c>
    </row>
    <row r="38" spans="1:4" x14ac:dyDescent="0.25">
      <c r="A38">
        <v>36</v>
      </c>
      <c r="B38">
        <v>89.183000000000007</v>
      </c>
      <c r="C38">
        <v>103.889</v>
      </c>
      <c r="D38">
        <v>193.072</v>
      </c>
    </row>
    <row r="39" spans="1:4" x14ac:dyDescent="0.25">
      <c r="A39">
        <v>37</v>
      </c>
      <c r="B39">
        <v>108.911</v>
      </c>
      <c r="C39">
        <v>91.888000000000005</v>
      </c>
      <c r="D39">
        <v>200.79900000000001</v>
      </c>
    </row>
    <row r="40" spans="1:4" x14ac:dyDescent="0.25">
      <c r="A40">
        <v>38</v>
      </c>
      <c r="B40">
        <v>83.25</v>
      </c>
      <c r="C40">
        <v>60.375999999999898</v>
      </c>
      <c r="D40">
        <v>143.62599999999901</v>
      </c>
    </row>
    <row r="41" spans="1:4" x14ac:dyDescent="0.25">
      <c r="A41">
        <v>39</v>
      </c>
      <c r="B41">
        <v>55.673999999999999</v>
      </c>
      <c r="C41">
        <v>49.752999999999901</v>
      </c>
      <c r="D41">
        <v>105.426999999999</v>
      </c>
    </row>
    <row r="42" spans="1:4" x14ac:dyDescent="0.25">
      <c r="A42">
        <v>40</v>
      </c>
      <c r="B42">
        <v>57.552</v>
      </c>
      <c r="C42">
        <v>41.025999999999897</v>
      </c>
      <c r="D42">
        <v>98.578000000000003</v>
      </c>
    </row>
    <row r="43" spans="1:4" x14ac:dyDescent="0.25">
      <c r="A43">
        <v>41</v>
      </c>
      <c r="B43">
        <v>66.025000000000006</v>
      </c>
      <c r="C43">
        <v>33.543999999999997</v>
      </c>
      <c r="D43">
        <v>99.569000000000003</v>
      </c>
    </row>
    <row r="44" spans="1:4" x14ac:dyDescent="0.25">
      <c r="A44">
        <v>42</v>
      </c>
      <c r="B44">
        <v>64.944000000000003</v>
      </c>
      <c r="C44">
        <v>71.650000000000006</v>
      </c>
      <c r="D44">
        <v>136.59399999999999</v>
      </c>
    </row>
    <row r="45" spans="1:4" x14ac:dyDescent="0.25">
      <c r="A45">
        <v>43</v>
      </c>
      <c r="B45">
        <v>23.341999999999999</v>
      </c>
      <c r="C45">
        <v>55.374999999999901</v>
      </c>
      <c r="D45">
        <v>78.716999999999899</v>
      </c>
    </row>
    <row r="46" spans="1:4" x14ac:dyDescent="0.25">
      <c r="A46">
        <v>44</v>
      </c>
      <c r="B46">
        <v>53.427999999999997</v>
      </c>
      <c r="C46">
        <v>22.582000000000001</v>
      </c>
      <c r="D46">
        <v>76.010000000000005</v>
      </c>
    </row>
    <row r="47" spans="1:4" x14ac:dyDescent="0.25">
      <c r="A47">
        <v>45</v>
      </c>
      <c r="B47">
        <v>2.4239999999999999</v>
      </c>
      <c r="C47">
        <v>36.137999999999998</v>
      </c>
      <c r="D47">
        <v>38.561999999999998</v>
      </c>
    </row>
    <row r="48" spans="1:4" x14ac:dyDescent="0.25">
      <c r="A48">
        <v>46</v>
      </c>
      <c r="B48">
        <v>21.175999999999998</v>
      </c>
      <c r="C48">
        <v>4.4239999999999897</v>
      </c>
      <c r="D48">
        <v>25.599999999999898</v>
      </c>
    </row>
    <row r="49" spans="1:4" x14ac:dyDescent="0.25">
      <c r="A49">
        <v>47</v>
      </c>
      <c r="B49">
        <v>9.4719999999999995</v>
      </c>
      <c r="C49">
        <v>10.026999999999999</v>
      </c>
      <c r="D49">
        <v>19.498999999999999</v>
      </c>
    </row>
    <row r="50" spans="1:4" x14ac:dyDescent="0.25">
      <c r="A50">
        <v>48</v>
      </c>
      <c r="B50">
        <v>4.8209999999999997</v>
      </c>
      <c r="C50">
        <v>31.791</v>
      </c>
      <c r="D50">
        <v>36.612000000000002</v>
      </c>
    </row>
    <row r="51" spans="1:4" x14ac:dyDescent="0.25">
      <c r="A51">
        <v>49</v>
      </c>
      <c r="B51">
        <v>24.125</v>
      </c>
      <c r="C51">
        <v>33.79</v>
      </c>
      <c r="D51">
        <v>57.914999999999999</v>
      </c>
    </row>
    <row r="52" spans="1:4" x14ac:dyDescent="0.25">
      <c r="A52">
        <v>50</v>
      </c>
      <c r="B52">
        <v>25.058</v>
      </c>
      <c r="C52">
        <v>31.317</v>
      </c>
      <c r="D52">
        <v>56.375</v>
      </c>
    </row>
    <row r="53" spans="1:4" x14ac:dyDescent="0.25">
      <c r="A53">
        <v>51</v>
      </c>
      <c r="B53">
        <v>10.228999999999999</v>
      </c>
      <c r="C53">
        <v>21.981999999999999</v>
      </c>
      <c r="D53">
        <v>32.210999999999999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61738EB83944AA7EE89B5A6749ED1" ma:contentTypeVersion="13" ma:contentTypeDescription="Create a new document." ma:contentTypeScope="" ma:versionID="dc9a093ee71f4b71c763175d98743168">
  <xsd:schema xmlns:xsd="http://www.w3.org/2001/XMLSchema" xmlns:xs="http://www.w3.org/2001/XMLSchema" xmlns:p="http://schemas.microsoft.com/office/2006/metadata/properties" xmlns:ns2="5f24a041-931e-4579-ae8d-8e5b19bd7c6e" xmlns:ns3="5c2e4759-5408-44df-8e20-fae8b937955e" targetNamespace="http://schemas.microsoft.com/office/2006/metadata/properties" ma:root="true" ma:fieldsID="c405883dc88d9cd35f405e386561e63b" ns2:_="" ns3:_="">
    <xsd:import namespace="5f24a041-931e-4579-ae8d-8e5b19bd7c6e"/>
    <xsd:import namespace="5c2e4759-5408-44df-8e20-fae8b93795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4a041-931e-4579-ae8d-8e5b19bd7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e4759-5408-44df-8e20-fae8b93795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2E8D1F-3C5C-463A-9D8A-EF9CEDFF32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A1DAB-6884-4C81-B782-DAD49130C2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4a041-931e-4579-ae8d-8e5b19bd7c6e"/>
    <ds:schemaRef ds:uri="5c2e4759-5408-44df-8e20-fae8b93795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5763CE-DB96-4236-96E7-A026D465F153}">
  <ds:schemaRefs>
    <ds:schemaRef ds:uri="http://schemas.microsoft.com/office/2006/documentManagement/types"/>
    <ds:schemaRef ds:uri="5f24a041-931e-4579-ae8d-8e5b19bd7c6e"/>
    <ds:schemaRef ds:uri="http://purl.org/dc/elements/1.1/"/>
    <ds:schemaRef ds:uri="http://schemas.microsoft.com/office/2006/metadata/properties"/>
    <ds:schemaRef ds:uri="5c2e4759-5408-44df-8e20-fae8b937955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ASSUMPTIONS</vt:lpstr>
      <vt:lpstr>REVENUE MODEL</vt:lpstr>
      <vt:lpstr>HUMAN COST</vt:lpstr>
      <vt:lpstr>CASHFLOW</vt:lpstr>
      <vt:lpstr>INCOME STATEMENT</vt:lpstr>
      <vt:lpstr>FIXED ASSETS</vt:lpstr>
      <vt:lpstr>IRR and NPV</vt:lpstr>
      <vt:lpstr>Weekly energy Anambra</vt:lpstr>
      <vt:lpstr>weekly energy kano</vt:lpstr>
      <vt:lpstr>Weekely energy maiduguri</vt:lpstr>
      <vt:lpstr>BOM Smart sequential loader</vt:lpstr>
      <vt:lpstr>Sheet1</vt:lpstr>
      <vt:lpstr>Yearly earnings</vt:lpstr>
      <vt:lpstr>Mini-grid IRR</vt:lpstr>
      <vt:lpstr>Buisness figure</vt:lpstr>
      <vt:lpstr>ASSUMPTIONS!_Toc524363785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lakebl6635</cp:lastModifiedBy>
  <dcterms:created xsi:type="dcterms:W3CDTF">2018-08-30T13:40:10Z</dcterms:created>
  <dcterms:modified xsi:type="dcterms:W3CDTF">2021-08-07T14:43:36Z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0x0101006F961738EB83944AA7EE89B5A6749ED1</vt:lpwstr>
  </property>
</Properties>
</file>