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xstaje00_vutbr_cz/Documents/"/>
    </mc:Choice>
  </mc:AlternateContent>
  <xr:revisionPtr revIDLastSave="1756" documentId="11_9248850502FE1862EC150658873E8C1851038383" xr6:coauthVersionLast="45" xr6:coauthVersionMax="45" xr10:uidLastSave="{51AAA921-A8DF-481E-96F8-B67D6F84788D}"/>
  <bookViews>
    <workbookView xWindow="-120" yWindow="-120" windowWidth="38250" windowHeight="21240" firstSheet="1" activeTab="1" xr2:uid="{00000000-000D-0000-FFFF-FFFF00000000}"/>
  </bookViews>
  <sheets>
    <sheet name="Uloha 1" sheetId="1" r:id="rId1"/>
    <sheet name="Uloha 2" sheetId="4" r:id="rId2"/>
    <sheet name="Zadání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4" l="1"/>
  <c r="I38" i="4"/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5" i="1"/>
  <c r="G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05" i="1"/>
  <c r="D104" i="1"/>
  <c r="R58" i="1" l="1"/>
  <c r="M59" i="1" s="1"/>
  <c r="I42" i="4"/>
  <c r="I45" i="4"/>
  <c r="I25" i="4"/>
  <c r="L25" i="4" s="1"/>
  <c r="M45" i="4" l="1"/>
  <c r="L45" i="4"/>
  <c r="M42" i="4"/>
  <c r="L42" i="4"/>
  <c r="I56" i="1"/>
  <c r="H56" i="1" s="1"/>
  <c r="G56" i="1"/>
  <c r="C161" i="1"/>
  <c r="E57" i="1"/>
  <c r="B22" i="4" l="1"/>
  <c r="B23" i="4" s="1"/>
  <c r="C22" i="4"/>
  <c r="C23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I4" i="4"/>
  <c r="I3" i="4"/>
  <c r="I71" i="1"/>
  <c r="I77" i="1"/>
  <c r="E77" i="1"/>
  <c r="D22" i="4" l="1"/>
  <c r="E22" i="4"/>
  <c r="F22" i="4"/>
  <c r="I16" i="4" s="1"/>
  <c r="I5" i="4"/>
  <c r="I73" i="1"/>
  <c r="I79" i="1"/>
  <c r="I72" i="1"/>
  <c r="I78" i="1"/>
  <c r="G136" i="1"/>
  <c r="D136" i="1"/>
  <c r="G135" i="1"/>
  <c r="D135" i="1"/>
  <c r="E78" i="1"/>
  <c r="E50" i="1"/>
  <c r="E71" i="1"/>
  <c r="E72" i="1" s="1"/>
  <c r="E51" i="1"/>
  <c r="E52" i="1" s="1"/>
  <c r="N55" i="1" s="1"/>
  <c r="G49" i="4" l="1"/>
  <c r="G50" i="4"/>
  <c r="G51" i="4"/>
  <c r="G52" i="4"/>
  <c r="G53" i="4"/>
  <c r="G54" i="4"/>
  <c r="G58" i="4"/>
  <c r="G55" i="4"/>
  <c r="G57" i="4"/>
  <c r="G48" i="4"/>
  <c r="G56" i="4"/>
  <c r="I24" i="4"/>
  <c r="H26" i="4" s="1"/>
  <c r="I17" i="4"/>
  <c r="I32" i="4"/>
  <c r="I43" i="4"/>
  <c r="B143" i="1"/>
  <c r="B160" i="1"/>
  <c r="B162" i="1" s="1"/>
  <c r="D137" i="1" a="1"/>
  <c r="D137" i="1" s="1"/>
  <c r="C140" i="1" s="1"/>
  <c r="B144" i="1"/>
  <c r="B145" i="1" s="1"/>
  <c r="G137" i="1" a="1"/>
  <c r="G137" i="1" s="1"/>
  <c r="C141" i="1" s="1"/>
  <c r="D139" i="1" a="1"/>
  <c r="D139" i="1" s="1"/>
  <c r="G139" i="1" a="1"/>
  <c r="G139" i="1" s="1"/>
  <c r="F92" i="1"/>
  <c r="E92" i="1"/>
  <c r="E91" i="1"/>
  <c r="I40" i="4"/>
  <c r="E43" i="1"/>
  <c r="E141" i="1" l="1"/>
  <c r="K157" i="1"/>
  <c r="D138" i="1"/>
  <c r="G138" i="1"/>
  <c r="B146" i="1"/>
  <c r="D151" i="1" s="1"/>
  <c r="E95" i="1"/>
  <c r="I33" i="4"/>
  <c r="E157" i="1"/>
  <c r="B164" i="1"/>
  <c r="A164" i="1"/>
  <c r="E42" i="1"/>
  <c r="N54" i="1" s="1"/>
  <c r="J56" i="1" s="1"/>
  <c r="B50" i="4" l="1"/>
  <c r="B53" i="4"/>
  <c r="B54" i="4"/>
  <c r="B55" i="4"/>
  <c r="B56" i="4"/>
  <c r="B57" i="4"/>
  <c r="B58" i="4"/>
  <c r="B49" i="4"/>
  <c r="B48" i="4"/>
  <c r="C48" i="4" s="1"/>
  <c r="B51" i="4"/>
  <c r="B52" i="4"/>
  <c r="D167" i="1"/>
  <c r="I35" i="4"/>
  <c r="I36" i="4" s="1"/>
  <c r="I37" i="4" s="1"/>
  <c r="I44" i="4" s="1"/>
  <c r="J45" i="4" s="1"/>
  <c r="AB13" i="1"/>
  <c r="AB25" i="1"/>
  <c r="AB37" i="1"/>
  <c r="AB49" i="1"/>
  <c r="AB41" i="1"/>
  <c r="AB30" i="1"/>
  <c r="AB31" i="1"/>
  <c r="AB44" i="1"/>
  <c r="AB33" i="1"/>
  <c r="AB10" i="1"/>
  <c r="AB35" i="1"/>
  <c r="AB48" i="1"/>
  <c r="AB14" i="1"/>
  <c r="AB26" i="1"/>
  <c r="AB38" i="1"/>
  <c r="AB50" i="1"/>
  <c r="AB4" i="1"/>
  <c r="AB28" i="1"/>
  <c r="AB5" i="1"/>
  <c r="AB29" i="1"/>
  <c r="AB18" i="1"/>
  <c r="AB19" i="1"/>
  <c r="AB20" i="1"/>
  <c r="AB21" i="1"/>
  <c r="AB45" i="1"/>
  <c r="AB46" i="1"/>
  <c r="AB23" i="1"/>
  <c r="AB24" i="1"/>
  <c r="AB3" i="1"/>
  <c r="AB15" i="1"/>
  <c r="AB27" i="1"/>
  <c r="AB39" i="1"/>
  <c r="AB51" i="1"/>
  <c r="AB16" i="1"/>
  <c r="AB40" i="1"/>
  <c r="AB17" i="1"/>
  <c r="AB6" i="1"/>
  <c r="AB42" i="1"/>
  <c r="AB43" i="1"/>
  <c r="AB32" i="1"/>
  <c r="AB9" i="1"/>
  <c r="AB34" i="1"/>
  <c r="AB11" i="1"/>
  <c r="AB7" i="1"/>
  <c r="AB22" i="1"/>
  <c r="AB47" i="1"/>
  <c r="AB36" i="1"/>
  <c r="AB8" i="1"/>
  <c r="AB12" i="1"/>
  <c r="AB2" i="1"/>
  <c r="E5" i="1"/>
  <c r="F6" i="1" s="1"/>
  <c r="E4" i="1"/>
  <c r="E13" i="1" s="1"/>
  <c r="I41" i="4" l="1"/>
  <c r="D49" i="4"/>
  <c r="C49" i="4"/>
  <c r="F49" i="4"/>
  <c r="E49" i="4"/>
  <c r="D52" i="4"/>
  <c r="C52" i="4"/>
  <c r="F52" i="4"/>
  <c r="E52" i="4"/>
  <c r="D51" i="4"/>
  <c r="F51" i="4"/>
  <c r="E51" i="4"/>
  <c r="C51" i="4"/>
  <c r="F58" i="4"/>
  <c r="C58" i="4"/>
  <c r="E58" i="4"/>
  <c r="D58" i="4"/>
  <c r="D53" i="4"/>
  <c r="E53" i="4"/>
  <c r="F53" i="4"/>
  <c r="C53" i="4"/>
  <c r="E48" i="4"/>
  <c r="D48" i="4"/>
  <c r="F48" i="4"/>
  <c r="E57" i="4"/>
  <c r="D57" i="4"/>
  <c r="F57" i="4"/>
  <c r="C57" i="4"/>
  <c r="D56" i="4"/>
  <c r="C56" i="4"/>
  <c r="F56" i="4"/>
  <c r="E56" i="4"/>
  <c r="F55" i="4"/>
  <c r="C55" i="4"/>
  <c r="D55" i="4"/>
  <c r="E55" i="4"/>
  <c r="D54" i="4"/>
  <c r="F54" i="4"/>
  <c r="C54" i="4"/>
  <c r="E54" i="4"/>
  <c r="C50" i="4"/>
  <c r="F50" i="4"/>
  <c r="D50" i="4"/>
  <c r="E50" i="4"/>
  <c r="J42" i="4"/>
  <c r="K56" i="1"/>
  <c r="E45" i="1"/>
  <c r="E46" i="1" s="1"/>
  <c r="E7" i="1"/>
  <c r="E6" i="1"/>
  <c r="E9" i="1" l="1"/>
  <c r="F13" i="1" s="1"/>
  <c r="I13" i="1" s="1"/>
  <c r="H13" i="1" s="1"/>
  <c r="F57" i="1"/>
  <c r="I80" i="1"/>
  <c r="L80" i="1" s="1"/>
  <c r="J80" i="1"/>
  <c r="M80" i="1" s="1"/>
  <c r="I74" i="1"/>
  <c r="L74" i="1" s="1"/>
  <c r="J74" i="1"/>
  <c r="M74" i="1" s="1"/>
  <c r="F79" i="1"/>
  <c r="E79" i="1"/>
  <c r="F73" i="1"/>
  <c r="E73" i="1"/>
  <c r="G13" i="1"/>
  <c r="E14" i="1"/>
  <c r="J13" i="1" l="1"/>
  <c r="K13" i="1" s="1"/>
  <c r="E58" i="1"/>
  <c r="J57" i="1"/>
  <c r="I57" i="1"/>
  <c r="H57" i="1" s="1"/>
  <c r="G57" i="1"/>
  <c r="F14" i="1"/>
  <c r="E15" i="1" s="1"/>
  <c r="I14" i="1"/>
  <c r="G14" i="1" l="1"/>
  <c r="K57" i="1"/>
  <c r="F58" i="1"/>
  <c r="J14" i="1"/>
  <c r="K14" i="1" s="1"/>
  <c r="F15" i="1"/>
  <c r="E16" i="1" s="1"/>
  <c r="I15" i="1"/>
  <c r="J15" i="1" s="1"/>
  <c r="H14" i="1"/>
  <c r="G15" i="1" l="1"/>
  <c r="E59" i="1"/>
  <c r="J58" i="1"/>
  <c r="I58" i="1"/>
  <c r="H58" i="1" s="1"/>
  <c r="G58" i="1"/>
  <c r="K15" i="1"/>
  <c r="H15" i="1"/>
  <c r="F16" i="1"/>
  <c r="E17" i="1" s="1"/>
  <c r="G16" i="1"/>
  <c r="I16" i="1"/>
  <c r="J16" i="1" s="1"/>
  <c r="K58" i="1" l="1"/>
  <c r="F59" i="1"/>
  <c r="I59" i="1"/>
  <c r="H59" i="1" s="1"/>
  <c r="G59" i="1"/>
  <c r="K16" i="1"/>
  <c r="H16" i="1"/>
  <c r="F17" i="1"/>
  <c r="E18" i="1" s="1"/>
  <c r="G17" i="1"/>
  <c r="I17" i="1"/>
  <c r="J17" i="1" s="1"/>
  <c r="E60" i="1" l="1"/>
  <c r="J59" i="1"/>
  <c r="K59" i="1" s="1"/>
  <c r="K17" i="1"/>
  <c r="F18" i="1"/>
  <c r="E19" i="1" s="1"/>
  <c r="I18" i="1"/>
  <c r="J18" i="1" s="1"/>
  <c r="G18" i="1"/>
  <c r="H17" i="1"/>
  <c r="F60" i="1" l="1"/>
  <c r="I60" i="1"/>
  <c r="H60" i="1" s="1"/>
  <c r="G60" i="1"/>
  <c r="K18" i="1"/>
  <c r="H18" i="1"/>
  <c r="F19" i="1"/>
  <c r="E20" i="1" s="1"/>
  <c r="G19" i="1"/>
  <c r="I19" i="1"/>
  <c r="J19" i="1" s="1"/>
  <c r="E61" i="1" l="1"/>
  <c r="J60" i="1"/>
  <c r="K60" i="1" s="1"/>
  <c r="K19" i="1"/>
  <c r="F20" i="1"/>
  <c r="E21" i="1" s="1"/>
  <c r="I20" i="1"/>
  <c r="J20" i="1" s="1"/>
  <c r="G20" i="1"/>
  <c r="H19" i="1"/>
  <c r="F61" i="1" l="1"/>
  <c r="I61" i="1"/>
  <c r="H61" i="1" s="1"/>
  <c r="G61" i="1"/>
  <c r="K20" i="1"/>
  <c r="H20" i="1"/>
  <c r="F21" i="1"/>
  <c r="E22" i="1" s="1"/>
  <c r="I21" i="1"/>
  <c r="J21" i="1" s="1"/>
  <c r="G21" i="1" l="1"/>
  <c r="J61" i="1"/>
  <c r="K61" i="1" s="1"/>
  <c r="E62" i="1"/>
  <c r="K21" i="1"/>
  <c r="F22" i="1"/>
  <c r="E23" i="1" s="1"/>
  <c r="I22" i="1"/>
  <c r="J22" i="1" s="1"/>
  <c r="G22" i="1"/>
  <c r="H21" i="1"/>
  <c r="I62" i="1" l="1"/>
  <c r="H62" i="1" s="1"/>
  <c r="G62" i="1"/>
  <c r="J62" i="1"/>
  <c r="K22" i="1"/>
  <c r="H22" i="1"/>
  <c r="F23" i="1"/>
  <c r="G23" i="1"/>
  <c r="I23" i="1"/>
  <c r="K62" i="1" l="1"/>
  <c r="R57" i="1" s="1"/>
  <c r="L64" i="1" s="1"/>
  <c r="J23" i="1"/>
  <c r="E44" i="1"/>
  <c r="K23" i="1"/>
  <c r="H2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<sst xmlns="http://schemas.openxmlformats.org/spreadsheetml/2006/main" count="183" uniqueCount="139">
  <si>
    <t xml:space="preserve">Statisticky soubor
</t>
  </si>
  <si>
    <t>Usporadany statisticky soubor</t>
  </si>
  <si>
    <r>
      <t>a)</t>
    </r>
    <r>
      <rPr>
        <b/>
        <sz val="7"/>
        <color theme="1"/>
        <rFont val="Times New Roman"/>
        <family val="1"/>
      </rPr>
      <t xml:space="preserve">  </t>
    </r>
    <r>
      <rPr>
        <b/>
        <sz val="11.5"/>
        <color theme="1"/>
        <rFont val="Times New Roman"/>
        <family val="1"/>
      </rPr>
      <t>Proveďte roztřídění statistického souboru, vytvořte tabulku četností a nakreslete histogramy pro relativní četnosti a relativní kumulativní četnosti.</t>
    </r>
  </si>
  <si>
    <t>HELPER</t>
  </si>
  <si>
    <t>Pocitanie rozptylu</t>
  </si>
  <si>
    <t>rozsah souboru</t>
  </si>
  <si>
    <t>min xi</t>
  </si>
  <si>
    <t>max</t>
  </si>
  <si>
    <t>variačný obor</t>
  </si>
  <si>
    <t>rozpetie</t>
  </si>
  <si>
    <t>Pocet tried</t>
  </si>
  <si>
    <t>dlzka triedy</t>
  </si>
  <si>
    <t>trieda</t>
  </si>
  <si>
    <t>xi-</t>
  </si>
  <si>
    <t>xi+</t>
  </si>
  <si>
    <t>stred triedy</t>
  </si>
  <si>
    <t>kumulat. četnosť</t>
  </si>
  <si>
    <t>četnosť</t>
  </si>
  <si>
    <t>relat. četnosť</t>
  </si>
  <si>
    <t>relat. kum. Čet</t>
  </si>
  <si>
    <t>b) Vypočtěte aritmetický průměr, medián, modus, rozptyl a směrodatnou odchylku.</t>
  </si>
  <si>
    <t>aritmeticky priemer:</t>
  </si>
  <si>
    <t>median</t>
  </si>
  <si>
    <t>modus</t>
  </si>
  <si>
    <t>s^2</t>
  </si>
  <si>
    <t>s</t>
  </si>
  <si>
    <t>c)  Vypočtěte bodové odhady střední hodnoty, rozptylu a směrodatné odchylky.</t>
  </si>
  <si>
    <t>B. odhad střední hodnoty</t>
  </si>
  <si>
    <t>B. odhad rozptylu</t>
  </si>
  <si>
    <t>B. odhad směrodatné odchylky</t>
  </si>
  <si>
    <t>d) Testujte předpoklad o výběru z normálního rozdělení Pearsonovým (chí-kvadrát) testem na hladině významnosti 0,05.</t>
  </si>
  <si>
    <t>priemer</t>
  </si>
  <si>
    <t>Teoretická četnosť</t>
  </si>
  <si>
    <t>roz^2/teor čet</t>
  </si>
  <si>
    <t>b. odhad smerodajnej odchylky (o)</t>
  </si>
  <si>
    <t>Testovacie kriterium t=</t>
  </si>
  <si>
    <t>X^2_1-alfa pre k = 7 - 2 -1 stupnov volnosti:</t>
  </si>
  <si>
    <t xml:space="preserve">e) Za předpokladu (bez ohledu na výsledek části d)), že statistický soubor byl získán náhodným výběrem z normálního rozdělení, </t>
  </si>
  <si>
    <t>určete intervalové odhady střední hodnoty, rozptylu a směrodatné odchylky se spolehlivostí 0,95 a 0,99.</t>
  </si>
  <si>
    <t>Střední hodnota μ</t>
  </si>
  <si>
    <t>Rozptyl 	σ^2</t>
  </si>
  <si>
    <t>Směrodatná odchylka</t>
  </si>
  <si>
    <t>alpha</t>
  </si>
  <si>
    <t>k</t>
  </si>
  <si>
    <t>t(1-alfa/2)</t>
  </si>
  <si>
    <t>Chi(1-alfa/2)</t>
  </si>
  <si>
    <t>Interval</t>
  </si>
  <si>
    <t>Chi(alfa/2)=</t>
  </si>
  <si>
    <t>f)</t>
  </si>
  <si>
    <t>alfa</t>
  </si>
  <si>
    <t>Testujeme hypotezu H0: μ =</t>
  </si>
  <si>
    <t>Tstovacie kriterium t=</t>
  </si>
  <si>
    <t>interval</t>
  </si>
  <si>
    <t xml:space="preserve">g) </t>
  </si>
  <si>
    <t>n</t>
  </si>
  <si>
    <t>rozptyl</t>
  </si>
  <si>
    <t>tieto hodnoty asi nie, ale možno hej, na výpočet treba iné</t>
  </si>
  <si>
    <t>s.odchylka</t>
  </si>
  <si>
    <t>S2(X)</t>
  </si>
  <si>
    <t>S2(Y)</t>
  </si>
  <si>
    <t>=</t>
  </si>
  <si>
    <t>k1</t>
  </si>
  <si>
    <t>k2</t>
  </si>
  <si>
    <t>Falpha/2(19,29)</t>
  </si>
  <si>
    <t>F 1 - alpha/2(19,29)</t>
  </si>
  <si>
    <t>&lt;Falpha/2(19,29), F 1- alpha/2(19,29)&gt;</t>
  </si>
  <si>
    <t>zlee</t>
  </si>
  <si>
    <t>odchylka od vzoru :(</t>
  </si>
  <si>
    <t>pre motiváciu</t>
  </si>
  <si>
    <t>t</t>
  </si>
  <si>
    <t>X - Výška [cm]</t>
  </si>
  <si>
    <t>Y - Váha [kg]</t>
  </si>
  <si>
    <t>X^2</t>
  </si>
  <si>
    <t>Y^2</t>
  </si>
  <si>
    <t>X*Y</t>
  </si>
  <si>
    <t>average X</t>
  </si>
  <si>
    <t>average Y</t>
  </si>
  <si>
    <t>det(H)</t>
  </si>
  <si>
    <t>a)</t>
  </si>
  <si>
    <t>r</t>
  </si>
  <si>
    <t>r^2</t>
  </si>
  <si>
    <t>SUMA</t>
  </si>
  <si>
    <t>PRIEMER</t>
  </si>
  <si>
    <t>b)</t>
  </si>
  <si>
    <t>test. krit.</t>
  </si>
  <si>
    <t>dopl.krit.obor</t>
  </si>
  <si>
    <t>c)</t>
  </si>
  <si>
    <t>1)</t>
  </si>
  <si>
    <t>b2</t>
  </si>
  <si>
    <t>b1</t>
  </si>
  <si>
    <t>y = b1 + b2x</t>
  </si>
  <si>
    <t>S*min</t>
  </si>
  <si>
    <t>2)</t>
  </si>
  <si>
    <t>n-2</t>
  </si>
  <si>
    <t>h^11</t>
  </si>
  <si>
    <t>β0</t>
  </si>
  <si>
    <t>NEdobre</t>
  </si>
  <si>
    <t>h^22</t>
  </si>
  <si>
    <t>spolahlivost</t>
  </si>
  <si>
    <t>3)</t>
  </si>
  <si>
    <t>stredne Y</t>
  </si>
  <si>
    <t>individualne Y</t>
  </si>
  <si>
    <t>X</t>
  </si>
  <si>
    <t>Y</t>
  </si>
  <si>
    <t>dolne</t>
  </si>
  <si>
    <t>horne</t>
  </si>
  <si>
    <t>h*</t>
  </si>
  <si>
    <t>k = m = n ????</t>
  </si>
  <si>
    <t>student t</t>
  </si>
  <si>
    <t>Niečo vygenerované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</si>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</sst>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E+00"/>
    <numFmt numFmtId="166" formatCode="0.000000"/>
    <numFmt numFmtId="167" formatCode="0.00000"/>
  </numFmts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.5"/>
      <color theme="1"/>
      <name val="Times New Roman"/>
      <family val="1"/>
      <charset val="1"/>
    </font>
    <font>
      <b/>
      <sz val="10"/>
      <color theme="1"/>
      <name val="Arial"/>
      <family val="2"/>
      <charset val="238"/>
    </font>
    <font>
      <sz val="11"/>
      <color theme="1"/>
      <name val="Times New Roman"/>
      <family val="1"/>
      <charset val="1"/>
    </font>
    <font>
      <b/>
      <sz val="11.5"/>
      <color theme="1"/>
      <name val="Times New Roman"/>
      <family val="1"/>
      <charset val="1"/>
    </font>
    <font>
      <b/>
      <sz val="7"/>
      <color theme="1"/>
      <name val="Times New Roman"/>
      <family val="1"/>
    </font>
    <font>
      <b/>
      <sz val="11.5"/>
      <color theme="1"/>
      <name val="Times New Roman"/>
      <family val="1"/>
    </font>
    <font>
      <b/>
      <sz val="10"/>
      <color theme="1"/>
      <name val="Arial"/>
      <family val="2"/>
      <charset val="1"/>
    </font>
    <font>
      <b/>
      <sz val="11"/>
      <color theme="1"/>
      <name val="Calibri"/>
      <family val="2"/>
      <charset val="238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u/>
      <sz val="14"/>
      <color rgb="FF5BB8E9"/>
      <name val="Courier New"/>
      <family val="3"/>
      <charset val="238"/>
    </font>
    <font>
      <b/>
      <sz val="11"/>
      <name val="Calibri"/>
      <family val="2"/>
      <charset val="238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rgb="FF444444"/>
      <name val="Calibri"/>
      <family val="2"/>
      <charset val="238"/>
    </font>
    <font>
      <sz val="11"/>
      <color rgb="FFFF0000"/>
      <name val="Calibri"/>
      <family val="2"/>
      <charset val="238"/>
    </font>
    <font>
      <sz val="10"/>
      <color rgb="FF222222"/>
      <name val="Arial"/>
      <family val="2"/>
      <charset val="238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2"/>
      <color rgb="FFFF0000"/>
      <name val="Whitney"/>
      <charset val="238"/>
    </font>
    <font>
      <b/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3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readingOrder="1"/>
    </xf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readingOrder="1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0" fillId="0" borderId="0" xfId="0" applyFont="1" applyBorder="1" applyAlignment="1">
      <alignment horizontal="center" readingOrder="1"/>
    </xf>
    <xf numFmtId="0" fontId="5" fillId="0" borderId="0" xfId="0" applyFont="1" applyAlignment="1">
      <alignment horizontal="center" vertical="center" readingOrder="1"/>
    </xf>
    <xf numFmtId="0" fontId="0" fillId="0" borderId="0" xfId="0" quotePrefix="1"/>
    <xf numFmtId="0" fontId="2" fillId="0" borderId="0" xfId="0" applyFont="1" applyAlignment="1">
      <alignment horizontal="center" vertical="center" wrapText="1"/>
    </xf>
    <xf numFmtId="0" fontId="11" fillId="0" borderId="0" xfId="0" applyFont="1"/>
    <xf numFmtId="0" fontId="1" fillId="0" borderId="5" xfId="0" applyFont="1" applyBorder="1" applyAlignment="1">
      <alignment horizontal="center" readingOrder="1"/>
    </xf>
    <xf numFmtId="0" fontId="0" fillId="2" borderId="5" xfId="0" applyFill="1" applyBorder="1"/>
    <xf numFmtId="0" fontId="1" fillId="0" borderId="0" xfId="0" applyFont="1" applyFill="1" applyBorder="1" applyAlignment="1">
      <alignment horizontal="center" readingOrder="1"/>
    </xf>
    <xf numFmtId="0" fontId="12" fillId="0" borderId="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6" xfId="0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5" xfId="0" applyBorder="1"/>
    <xf numFmtId="0" fontId="14" fillId="0" borderId="0" xfId="0" applyFont="1" applyAlignment="1">
      <alignment vertical="center"/>
    </xf>
    <xf numFmtId="0" fontId="15" fillId="3" borderId="0" xfId="0" applyFont="1" applyFill="1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7" fillId="0" borderId="0" xfId="0" applyFont="1"/>
    <xf numFmtId="0" fontId="0" fillId="0" borderId="17" xfId="0" applyBorder="1"/>
    <xf numFmtId="164" fontId="0" fillId="0" borderId="17" xfId="0" applyNumberFormat="1" applyBorder="1" applyAlignment="1">
      <alignment horizontal="right"/>
    </xf>
    <xf numFmtId="0" fontId="18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18" xfId="0" applyBorder="1"/>
    <xf numFmtId="0" fontId="2" fillId="0" borderId="21" xfId="0" applyFont="1" applyBorder="1"/>
    <xf numFmtId="0" fontId="18" fillId="0" borderId="21" xfId="0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8" fillId="0" borderId="26" xfId="0" applyFont="1" applyBorder="1"/>
    <xf numFmtId="0" fontId="18" fillId="0" borderId="0" xfId="0" applyFont="1" applyBorder="1"/>
    <xf numFmtId="0" fontId="19" fillId="0" borderId="0" xfId="0" applyFont="1" applyBorder="1"/>
    <xf numFmtId="0" fontId="18" fillId="0" borderId="24" xfId="0" applyFont="1" applyBorder="1"/>
    <xf numFmtId="0" fontId="20" fillId="0" borderId="0" xfId="0" applyFont="1"/>
    <xf numFmtId="0" fontId="20" fillId="0" borderId="26" xfId="0" applyFont="1" applyBorder="1"/>
    <xf numFmtId="0" fontId="21" fillId="4" borderId="0" xfId="0" applyFont="1" applyFill="1"/>
    <xf numFmtId="0" fontId="22" fillId="0" borderId="0" xfId="0" applyFont="1"/>
    <xf numFmtId="0" fontId="23" fillId="0" borderId="28" xfId="0" applyFont="1" applyFill="1" applyBorder="1" applyAlignment="1">
      <alignment horizontal="centerContinuous"/>
    </xf>
    <xf numFmtId="0" fontId="22" fillId="0" borderId="0" xfId="0" applyFont="1" applyFill="1" applyBorder="1" applyAlignment="1"/>
    <xf numFmtId="0" fontId="22" fillId="0" borderId="10" xfId="0" applyFont="1" applyFill="1" applyBorder="1" applyAlignment="1"/>
    <xf numFmtId="0" fontId="23" fillId="0" borderId="28" xfId="0" applyFont="1" applyFill="1" applyBorder="1" applyAlignment="1">
      <alignment horizontal="center"/>
    </xf>
    <xf numFmtId="0" fontId="24" fillId="0" borderId="23" xfId="0" applyFont="1" applyBorder="1"/>
    <xf numFmtId="0" fontId="25" fillId="0" borderId="22" xfId="0" applyFont="1" applyBorder="1"/>
    <xf numFmtId="0" fontId="25" fillId="0" borderId="25" xfId="0" applyFont="1" applyBorder="1"/>
    <xf numFmtId="0" fontId="26" fillId="0" borderId="0" xfId="0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27" fillId="0" borderId="0" xfId="0" applyFont="1"/>
    <xf numFmtId="0" fontId="0" fillId="5" borderId="0" xfId="0" applyFill="1" applyBorder="1"/>
    <xf numFmtId="0" fontId="0" fillId="5" borderId="22" xfId="0" applyFill="1" applyBorder="1"/>
    <xf numFmtId="0" fontId="0" fillId="0" borderId="0" xfId="0" applyFill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His</a:t>
            </a:r>
            <a:r>
              <a:rPr lang="en-US"/>
              <a:t>togram - relativn</a:t>
            </a:r>
            <a:r>
              <a:rPr lang="sk-SK"/>
              <a:t>í</a:t>
            </a:r>
            <a:r>
              <a:rPr lang="sk-SK" baseline="0"/>
              <a:t> četnost</a:t>
            </a:r>
            <a:endParaRPr lang="en-US"/>
          </a:p>
        </c:rich>
      </c:tx>
      <c:layout>
        <c:manualLayout>
          <c:xMode val="edge"/>
          <c:yMode val="edge"/>
          <c:x val="0.28986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'Uloha 1'!$J$13:$J$23</c:f>
              <c:numCache>
                <c:formatCode>General</c:formatCode>
                <c:ptCount val="11"/>
                <c:pt idx="0">
                  <c:v>0.04</c:v>
                </c:pt>
                <c:pt idx="1">
                  <c:v>0</c:v>
                </c:pt>
                <c:pt idx="2">
                  <c:v>0.06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F-440F-8C10-46DECF9E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608224"/>
        <c:axId val="767645952"/>
      </c:barChart>
      <c:catAx>
        <c:axId val="7926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7645952"/>
        <c:crosses val="autoZero"/>
        <c:auto val="1"/>
        <c:lblAlgn val="ctr"/>
        <c:lblOffset val="100"/>
        <c:noMultiLvlLbl val="0"/>
      </c:catAx>
      <c:valAx>
        <c:axId val="767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26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Histogram - relativní kumutativní</a:t>
            </a:r>
            <a:r>
              <a:rPr lang="sk-SK" baseline="0"/>
              <a:t> četnost</a:t>
            </a:r>
            <a:endParaRPr lang="en-US"/>
          </a:p>
        </c:rich>
      </c:tx>
      <c:layout>
        <c:manualLayout>
          <c:xMode val="edge"/>
          <c:yMode val="edge"/>
          <c:x val="0.145291744249399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'Uloha 1'!$K$13:$K$23</c:f>
              <c:numCache>
                <c:formatCode>General</c:formatCode>
                <c:ptCount val="11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  <c:pt idx="4">
                  <c:v>0.34</c:v>
                </c:pt>
                <c:pt idx="5">
                  <c:v>0.48000000000000004</c:v>
                </c:pt>
                <c:pt idx="6">
                  <c:v>0.68</c:v>
                </c:pt>
                <c:pt idx="7">
                  <c:v>0.82000000000000006</c:v>
                </c:pt>
                <c:pt idx="8">
                  <c:v>0.9</c:v>
                </c:pt>
                <c:pt idx="9">
                  <c:v>0.96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4-4DA4-A6FC-3E95FBDF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326208"/>
        <c:axId val="767668416"/>
      </c:barChart>
      <c:catAx>
        <c:axId val="127732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7668416"/>
        <c:crosses val="autoZero"/>
        <c:auto val="1"/>
        <c:lblAlgn val="ctr"/>
        <c:lblOffset val="100"/>
        <c:noMultiLvlLbl val="0"/>
      </c:catAx>
      <c:valAx>
        <c:axId val="767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773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Histogram</a:t>
            </a:r>
            <a:r>
              <a:rPr lang="sk-SK" baseline="0"/>
              <a:t> - četnosti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'Uloha 1'!$I$55</c:f>
              <c:strCache>
                <c:ptCount val="1"/>
                <c:pt idx="0">
                  <c:v>četnosť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'Uloha 1'!$G$56:$G$62</c:f>
              <c:numCache>
                <c:formatCode>General</c:formatCode>
                <c:ptCount val="7"/>
                <c:pt idx="0">
                  <c:v>-501.5</c:v>
                </c:pt>
                <c:pt idx="1">
                  <c:v>-2.7645</c:v>
                </c:pt>
                <c:pt idx="2">
                  <c:v>-2.2934999999999999</c:v>
                </c:pt>
                <c:pt idx="3">
                  <c:v>-1.8224999999999998</c:v>
                </c:pt>
                <c:pt idx="4">
                  <c:v>-1.3514999999999997</c:v>
                </c:pt>
                <c:pt idx="5">
                  <c:v>-0.88049999999999962</c:v>
                </c:pt>
                <c:pt idx="6">
                  <c:v>499.67750000000001</c:v>
                </c:pt>
              </c:numCache>
            </c:numRef>
          </c:cat>
          <c:val>
            <c:numRef>
              <c:f>'Uloha 1'!$I$56:$I$62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858-8286-91B374AFB139}"/>
            </c:ext>
          </c:extLst>
        </c:ser>
        <c:ser>
          <c:idx val="1"/>
          <c:order val="1"/>
          <c:tx>
            <c:strRef>
              <c:f>'Uloha 1'!$J$55</c:f>
              <c:strCache>
                <c:ptCount val="1"/>
                <c:pt idx="0">
                  <c:v>Teoretická četnosť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'Uloha 1'!$G$56:$G$62</c:f>
              <c:numCache>
                <c:formatCode>General</c:formatCode>
                <c:ptCount val="7"/>
                <c:pt idx="0">
                  <c:v>-501.5</c:v>
                </c:pt>
                <c:pt idx="1">
                  <c:v>-2.7645</c:v>
                </c:pt>
                <c:pt idx="2">
                  <c:v>-2.2934999999999999</c:v>
                </c:pt>
                <c:pt idx="3">
                  <c:v>-1.8224999999999998</c:v>
                </c:pt>
                <c:pt idx="4">
                  <c:v>-1.3514999999999997</c:v>
                </c:pt>
                <c:pt idx="5">
                  <c:v>-0.88049999999999962</c:v>
                </c:pt>
                <c:pt idx="6">
                  <c:v>499.67750000000001</c:v>
                </c:pt>
              </c:numCache>
            </c:numRef>
          </c:cat>
          <c:val>
            <c:numRef>
              <c:f>'Uloha 1'!$J$56:$J$62</c:f>
              <c:numCache>
                <c:formatCode>General</c:formatCode>
                <c:ptCount val="7"/>
                <c:pt idx="0">
                  <c:v>6.8026138771744042</c:v>
                </c:pt>
                <c:pt idx="1">
                  <c:v>6.3619878746489471</c:v>
                </c:pt>
                <c:pt idx="2">
                  <c:v>8.4954717851572106</c:v>
                </c:pt>
                <c:pt idx="3">
                  <c:v>9.1738849449122633</c:v>
                </c:pt>
                <c:pt idx="4">
                  <c:v>8.0111155009982689</c:v>
                </c:pt>
                <c:pt idx="5">
                  <c:v>5.6572020432132035</c:v>
                </c:pt>
                <c:pt idx="6">
                  <c:v>5.4977239738957024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858-8286-91B374AF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215872"/>
        <c:axId val="1368372032"/>
      </c:barChart>
      <c:catAx>
        <c:axId val="12852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68372032"/>
        <c:crosses val="autoZero"/>
        <c:auto val="1"/>
        <c:lblAlgn val="ctr"/>
        <c:lblOffset val="100"/>
        <c:noMultiLvlLbl val="0"/>
      </c:catAx>
      <c:valAx>
        <c:axId val="1368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852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Regresná</a:t>
            </a:r>
            <a:r>
              <a:rPr lang="sk-SK" baseline="0"/>
              <a:t> priamka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'Uloha 2'!$B$2:$B$21</c:f>
              <c:numCache>
                <c:formatCode>General</c:formatCode>
                <c:ptCount val="20"/>
                <c:pt idx="0">
                  <c:v>164</c:v>
                </c:pt>
                <c:pt idx="1">
                  <c:v>180</c:v>
                </c:pt>
                <c:pt idx="2">
                  <c:v>181</c:v>
                </c:pt>
                <c:pt idx="3">
                  <c:v>192</c:v>
                </c:pt>
                <c:pt idx="4">
                  <c:v>151</c:v>
                </c:pt>
                <c:pt idx="5">
                  <c:v>173</c:v>
                </c:pt>
                <c:pt idx="6">
                  <c:v>191</c:v>
                </c:pt>
                <c:pt idx="7">
                  <c:v>154</c:v>
                </c:pt>
                <c:pt idx="8">
                  <c:v>199</c:v>
                </c:pt>
                <c:pt idx="9">
                  <c:v>153</c:v>
                </c:pt>
                <c:pt idx="10">
                  <c:v>176</c:v>
                </c:pt>
                <c:pt idx="11">
                  <c:v>167</c:v>
                </c:pt>
                <c:pt idx="12">
                  <c:v>199</c:v>
                </c:pt>
                <c:pt idx="13">
                  <c:v>183</c:v>
                </c:pt>
                <c:pt idx="14">
                  <c:v>172</c:v>
                </c:pt>
                <c:pt idx="15">
                  <c:v>151</c:v>
                </c:pt>
                <c:pt idx="16">
                  <c:v>177</c:v>
                </c:pt>
                <c:pt idx="17">
                  <c:v>154</c:v>
                </c:pt>
                <c:pt idx="18">
                  <c:v>153</c:v>
                </c:pt>
                <c:pt idx="19">
                  <c:v>175</c:v>
                </c:pt>
              </c:numCache>
            </c:numRef>
          </c:xVal>
          <c:yVal>
            <c:numRef>
              <c:f>'Uloha 2'!$C$2:$C$21</c:f>
              <c:numCache>
                <c:formatCode>General</c:formatCode>
                <c:ptCount val="20"/>
                <c:pt idx="0">
                  <c:v>34.128320000000002</c:v>
                </c:pt>
                <c:pt idx="1">
                  <c:v>77.239180000000005</c:v>
                </c:pt>
                <c:pt idx="2">
                  <c:v>76.902060000000006</c:v>
                </c:pt>
                <c:pt idx="3">
                  <c:v>91.806979999999996</c:v>
                </c:pt>
                <c:pt idx="4">
                  <c:v>40.857640000000004</c:v>
                </c:pt>
                <c:pt idx="5">
                  <c:v>75.133849999999995</c:v>
                </c:pt>
                <c:pt idx="6">
                  <c:v>75.252979999999994</c:v>
                </c:pt>
                <c:pt idx="7">
                  <c:v>32.43271</c:v>
                </c:pt>
                <c:pt idx="8">
                  <c:v>82.521600000000007</c:v>
                </c:pt>
                <c:pt idx="9">
                  <c:v>44.211840000000002</c:v>
                </c:pt>
                <c:pt idx="10">
                  <c:v>63.445</c:v>
                </c:pt>
                <c:pt idx="11">
                  <c:v>51.785980000000002</c:v>
                </c:pt>
                <c:pt idx="12">
                  <c:v>90.557670000000002</c:v>
                </c:pt>
                <c:pt idx="13">
                  <c:v>65.891530000000003</c:v>
                </c:pt>
                <c:pt idx="14">
                  <c:v>73.022549999999995</c:v>
                </c:pt>
                <c:pt idx="15">
                  <c:v>33.522309999999997</c:v>
                </c:pt>
                <c:pt idx="16">
                  <c:v>65.671310000000005</c:v>
                </c:pt>
                <c:pt idx="17">
                  <c:v>37.848129999999998</c:v>
                </c:pt>
                <c:pt idx="18">
                  <c:v>43.550240000000002</c:v>
                </c:pt>
                <c:pt idx="19">
                  <c:v>50.895099999999999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F-46B7-A05C-F899AE55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64416"/>
        <c:axId val="902519104"/>
      </c:scatterChart>
      <c:valAx>
        <c:axId val="903064416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2519104"/>
        <c:crosses val="autoZero"/>
        <c:crossBetween val="midCat"/>
      </c:valAx>
      <c:valAx>
        <c:axId val="902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30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Pás</a:t>
            </a:r>
            <a:r>
              <a:rPr lang="sk-SK" baseline="0"/>
              <a:t> spoľahlivosti pre strednú hodnotu 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'Uloha 2'!$B$2:$B$21</c:f>
              <c:numCache>
                <c:formatCode>General</c:formatCode>
                <c:ptCount val="20"/>
                <c:pt idx="0">
                  <c:v>164</c:v>
                </c:pt>
                <c:pt idx="1">
                  <c:v>180</c:v>
                </c:pt>
                <c:pt idx="2">
                  <c:v>181</c:v>
                </c:pt>
                <c:pt idx="3">
                  <c:v>192</c:v>
                </c:pt>
                <c:pt idx="4">
                  <c:v>151</c:v>
                </c:pt>
                <c:pt idx="5">
                  <c:v>173</c:v>
                </c:pt>
                <c:pt idx="6">
                  <c:v>191</c:v>
                </c:pt>
                <c:pt idx="7">
                  <c:v>154</c:v>
                </c:pt>
                <c:pt idx="8">
                  <c:v>199</c:v>
                </c:pt>
                <c:pt idx="9">
                  <c:v>153</c:v>
                </c:pt>
                <c:pt idx="10">
                  <c:v>176</c:v>
                </c:pt>
                <c:pt idx="11">
                  <c:v>167</c:v>
                </c:pt>
                <c:pt idx="12">
                  <c:v>199</c:v>
                </c:pt>
                <c:pt idx="13">
                  <c:v>183</c:v>
                </c:pt>
                <c:pt idx="14">
                  <c:v>172</c:v>
                </c:pt>
                <c:pt idx="15">
                  <c:v>151</c:v>
                </c:pt>
                <c:pt idx="16">
                  <c:v>177</c:v>
                </c:pt>
                <c:pt idx="17">
                  <c:v>154</c:v>
                </c:pt>
                <c:pt idx="18">
                  <c:v>153</c:v>
                </c:pt>
                <c:pt idx="19">
                  <c:v>175</c:v>
                </c:pt>
              </c:numCache>
            </c:numRef>
          </c:xVal>
          <c:yVal>
            <c:numRef>
              <c:f>'Uloha 2'!$C$2:$C$21</c:f>
              <c:numCache>
                <c:formatCode>General</c:formatCode>
                <c:ptCount val="20"/>
                <c:pt idx="0">
                  <c:v>34.128320000000002</c:v>
                </c:pt>
                <c:pt idx="1">
                  <c:v>77.239180000000005</c:v>
                </c:pt>
                <c:pt idx="2">
                  <c:v>76.902060000000006</c:v>
                </c:pt>
                <c:pt idx="3">
                  <c:v>91.806979999999996</c:v>
                </c:pt>
                <c:pt idx="4">
                  <c:v>40.857640000000004</c:v>
                </c:pt>
                <c:pt idx="5">
                  <c:v>75.133849999999995</c:v>
                </c:pt>
                <c:pt idx="6">
                  <c:v>75.252979999999994</c:v>
                </c:pt>
                <c:pt idx="7">
                  <c:v>32.43271</c:v>
                </c:pt>
                <c:pt idx="8">
                  <c:v>82.521600000000007</c:v>
                </c:pt>
                <c:pt idx="9">
                  <c:v>44.211840000000002</c:v>
                </c:pt>
                <c:pt idx="10">
                  <c:v>63.445</c:v>
                </c:pt>
                <c:pt idx="11">
                  <c:v>51.785980000000002</c:v>
                </c:pt>
                <c:pt idx="12">
                  <c:v>90.557670000000002</c:v>
                </c:pt>
                <c:pt idx="13">
                  <c:v>65.891530000000003</c:v>
                </c:pt>
                <c:pt idx="14">
                  <c:v>73.022549999999995</c:v>
                </c:pt>
                <c:pt idx="15">
                  <c:v>33.522309999999997</c:v>
                </c:pt>
                <c:pt idx="16">
                  <c:v>65.671310000000005</c:v>
                </c:pt>
                <c:pt idx="17">
                  <c:v>37.848129999999998</c:v>
                </c:pt>
                <c:pt idx="18">
                  <c:v>43.550240000000002</c:v>
                </c:pt>
                <c:pt idx="19">
                  <c:v>50.895099999999999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5-46F3-97BF-9D7AA16E5DCF}"/>
            </c:ext>
          </c:extLst>
        </c:ser>
        <c:ser>
          <c:idx val="1"/>
          <c:order val="1"/>
          <c:tx>
            <c:v>dolny stredny prah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olid"/>
              </a:ln>
              <a:effectLst/>
            </c:spPr>
          </c:marker>
          <c:xVal>
            <c:numRef>
              <c:f>'Uloha 2'!$A$48:$A$58</c:f>
              <c:numCache>
                <c:formatCode>General</c:formatCode>
                <c:ptCount val="1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</c:numCache>
            </c:numRef>
          </c:xVal>
          <c:yVal>
            <c:numRef>
              <c:f>'Uloha 2'!$C$48:$C$58</c:f>
              <c:numCache>
                <c:formatCode>General</c:formatCode>
                <c:ptCount val="11"/>
                <c:pt idx="0">
                  <c:v>28.496618499104301</c:v>
                </c:pt>
                <c:pt idx="1">
                  <c:v>35.090997273012611</c:v>
                </c:pt>
                <c:pt idx="2">
                  <c:v>41.559344358929266</c:v>
                </c:pt>
                <c:pt idx="3">
                  <c:v>47.825863600189024</c:v>
                </c:pt>
                <c:pt idx="4">
                  <c:v>53.788278405678227</c:v>
                </c:pt>
                <c:pt idx="5">
                  <c:v>59.362868085053066</c:v>
                </c:pt>
                <c:pt idx="6">
                  <c:v>64.554905239668301</c:v>
                </c:pt>
                <c:pt idx="7">
                  <c:v>69.453418360752337</c:v>
                </c:pt>
                <c:pt idx="8">
                  <c:v>74.159139298581465</c:v>
                </c:pt>
                <c:pt idx="9">
                  <c:v>78.744678738993869</c:v>
                </c:pt>
                <c:pt idx="10">
                  <c:v>83.254670119887919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5-46F3-97BF-9D7AA16E5DCF}"/>
            </c:ext>
          </c:extLst>
        </c:ser>
        <c:ser>
          <c:idx val="2"/>
          <c:order val="2"/>
          <c:tx>
            <c:v>horny stredny prah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'Uloha 2'!$A$48:$A$58</c:f>
              <c:numCache>
                <c:formatCode>General</c:formatCode>
                <c:ptCount val="1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</c:numCache>
            </c:numRef>
          </c:xVal>
          <c:yVal>
            <c:numRef>
              <c:f>'Uloha 2'!$D$48:$D$58</c:f>
              <c:numCache>
                <c:formatCode>General</c:formatCode>
                <c:ptCount val="11"/>
                <c:pt idx="0">
                  <c:v>42.377610442289637</c:v>
                </c:pt>
                <c:pt idx="1">
                  <c:v>46.972775277056861</c:v>
                </c:pt>
                <c:pt idx="2">
                  <c:v>51.693971799815742</c:v>
                </c:pt>
                <c:pt idx="3">
                  <c:v>56.61699616723152</c:v>
                </c:pt>
                <c:pt idx="4">
                  <c:v>61.844124970417852</c:v>
                </c:pt>
                <c:pt idx="5">
                  <c:v>67.459078899718492</c:v>
                </c:pt>
                <c:pt idx="6">
                  <c:v>73.456585353778792</c:v>
                </c:pt>
                <c:pt idx="7">
                  <c:v>79.74761584137029</c:v>
                </c:pt>
                <c:pt idx="8">
                  <c:v>86.231438512216698</c:v>
                </c:pt>
                <c:pt idx="9">
                  <c:v>92.835442680479829</c:v>
                </c:pt>
                <c:pt idx="10">
                  <c:v>99.514994908261315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05-46F3-97BF-9D7AA16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21008"/>
        <c:axId val="884164320"/>
      </c:scatterChart>
      <c:valAx>
        <c:axId val="1124621008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84164320"/>
        <c:crosses val="autoZero"/>
        <c:crossBetween val="midCat"/>
      </c:valAx>
      <c:valAx>
        <c:axId val="884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6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Pás spoľahlivosti pre individuálnu</a:t>
            </a:r>
            <a:r>
              <a:rPr lang="sk-SK" baseline="0"/>
              <a:t> hodnotu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'Uloha 2'!$B$2:$B$21</c:f>
              <c:numCache>
                <c:formatCode>General</c:formatCode>
                <c:ptCount val="20"/>
                <c:pt idx="0">
                  <c:v>164</c:v>
                </c:pt>
                <c:pt idx="1">
                  <c:v>180</c:v>
                </c:pt>
                <c:pt idx="2">
                  <c:v>181</c:v>
                </c:pt>
                <c:pt idx="3">
                  <c:v>192</c:v>
                </c:pt>
                <c:pt idx="4">
                  <c:v>151</c:v>
                </c:pt>
                <c:pt idx="5">
                  <c:v>173</c:v>
                </c:pt>
                <c:pt idx="6">
                  <c:v>191</c:v>
                </c:pt>
                <c:pt idx="7">
                  <c:v>154</c:v>
                </c:pt>
                <c:pt idx="8">
                  <c:v>199</c:v>
                </c:pt>
                <c:pt idx="9">
                  <c:v>153</c:v>
                </c:pt>
                <c:pt idx="10">
                  <c:v>176</c:v>
                </c:pt>
                <c:pt idx="11">
                  <c:v>167</c:v>
                </c:pt>
                <c:pt idx="12">
                  <c:v>199</c:v>
                </c:pt>
                <c:pt idx="13">
                  <c:v>183</c:v>
                </c:pt>
                <c:pt idx="14">
                  <c:v>172</c:v>
                </c:pt>
                <c:pt idx="15">
                  <c:v>151</c:v>
                </c:pt>
                <c:pt idx="16">
                  <c:v>177</c:v>
                </c:pt>
                <c:pt idx="17">
                  <c:v>154</c:v>
                </c:pt>
                <c:pt idx="18">
                  <c:v>153</c:v>
                </c:pt>
                <c:pt idx="19">
                  <c:v>175</c:v>
                </c:pt>
              </c:numCache>
            </c:numRef>
          </c:xVal>
          <c:yVal>
            <c:numRef>
              <c:f>'Uloha 2'!$C$2:$C$21</c:f>
              <c:numCache>
                <c:formatCode>General</c:formatCode>
                <c:ptCount val="20"/>
                <c:pt idx="0">
                  <c:v>34.128320000000002</c:v>
                </c:pt>
                <c:pt idx="1">
                  <c:v>77.239180000000005</c:v>
                </c:pt>
                <c:pt idx="2">
                  <c:v>76.902060000000006</c:v>
                </c:pt>
                <c:pt idx="3">
                  <c:v>91.806979999999996</c:v>
                </c:pt>
                <c:pt idx="4">
                  <c:v>40.857640000000004</c:v>
                </c:pt>
                <c:pt idx="5">
                  <c:v>75.133849999999995</c:v>
                </c:pt>
                <c:pt idx="6">
                  <c:v>75.252979999999994</c:v>
                </c:pt>
                <c:pt idx="7">
                  <c:v>32.43271</c:v>
                </c:pt>
                <c:pt idx="8">
                  <c:v>82.521600000000007</c:v>
                </c:pt>
                <c:pt idx="9">
                  <c:v>44.211840000000002</c:v>
                </c:pt>
                <c:pt idx="10">
                  <c:v>63.445</c:v>
                </c:pt>
                <c:pt idx="11">
                  <c:v>51.785980000000002</c:v>
                </c:pt>
                <c:pt idx="12">
                  <c:v>90.557670000000002</c:v>
                </c:pt>
                <c:pt idx="13">
                  <c:v>65.891530000000003</c:v>
                </c:pt>
                <c:pt idx="14">
                  <c:v>73.022549999999995</c:v>
                </c:pt>
                <c:pt idx="15">
                  <c:v>33.522309999999997</c:v>
                </c:pt>
                <c:pt idx="16">
                  <c:v>65.671310000000005</c:v>
                </c:pt>
                <c:pt idx="17">
                  <c:v>37.848129999999998</c:v>
                </c:pt>
                <c:pt idx="18">
                  <c:v>43.550240000000002</c:v>
                </c:pt>
                <c:pt idx="19">
                  <c:v>50.895099999999999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5-4DEF-A120-D21ABD770384}"/>
            </c:ext>
          </c:extLst>
        </c:ser>
        <c:ser>
          <c:idx val="1"/>
          <c:order val="1"/>
          <c:tx>
            <c:strRef>
              <c:f>'Uloha 2'!$E$48:$E$58</c:f>
              <c:strCache>
                <c:ptCount val="11"/>
                <c:pt idx="0">
                  <c:v>16,30461199</c:v>
                </c:pt>
                <c:pt idx="1">
                  <c:v>22,23890011</c:v>
                </c:pt>
                <c:pt idx="2">
                  <c:v>28,09129093</c:v>
                </c:pt>
                <c:pt idx="3">
                  <c:v>33,85833728</c:v>
                </c:pt>
                <c:pt idx="4">
                  <c:v>39,5376259</c:v>
                </c:pt>
                <c:pt idx="5">
                  <c:v>45,12793971</c:v>
                </c:pt>
                <c:pt idx="6">
                  <c:v>50,62934347</c:v>
                </c:pt>
                <c:pt idx="7">
                  <c:v>56,04317914</c:v>
                </c:pt>
                <c:pt idx="8">
                  <c:v>61,37197174</c:v>
                </c:pt>
                <c:pt idx="9">
                  <c:v>66,61926068</c:v>
                </c:pt>
                <c:pt idx="10">
                  <c:v>71,78938132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'Uloha 2'!$A$48:$A$58</c:f>
              <c:numCache>
                <c:formatCode>General</c:formatCode>
                <c:ptCount val="1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</c:numCache>
            </c:numRef>
          </c:xVal>
          <c:yVal>
            <c:numRef>
              <c:f>'Uloha 2'!$E$48:$E$58</c:f>
              <c:numCache>
                <c:formatCode>General</c:formatCode>
                <c:ptCount val="11"/>
                <c:pt idx="0">
                  <c:v>16.304611989684794</c:v>
                </c:pt>
                <c:pt idx="1">
                  <c:v>22.238900110281936</c:v>
                </c:pt>
                <c:pt idx="2">
                  <c:v>28.091290934488775</c:v>
                </c:pt>
                <c:pt idx="3">
                  <c:v>33.85833728450271</c:v>
                </c:pt>
                <c:pt idx="4">
                  <c:v>39.537625900451793</c:v>
                </c:pt>
                <c:pt idx="5">
                  <c:v>45.127939711223547</c:v>
                </c:pt>
                <c:pt idx="6">
                  <c:v>50.629343470802063</c:v>
                </c:pt>
                <c:pt idx="7">
                  <c:v>56.043179137421888</c:v>
                </c:pt>
                <c:pt idx="8">
                  <c:v>61.371971744756877</c:v>
                </c:pt>
                <c:pt idx="9">
                  <c:v>66.619260675103106</c:v>
                </c:pt>
                <c:pt idx="10">
                  <c:v>71.789381322277819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5-4DEF-A120-D21ABD770384}"/>
            </c:ext>
          </c:extLst>
        </c:ser>
        <c:ser>
          <c:idx val="2"/>
          <c:order val="2"/>
          <c:tx>
            <c:v>horna indivindi hodnota pas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'Uloha 2'!$A$48:$A$58</c:f>
              <c:numCache>
                <c:formatCode>General</c:formatCode>
                <c:ptCount val="1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</c:numCache>
            </c:numRef>
          </c:xVal>
          <c:yVal>
            <c:numRef>
              <c:f>'Uloha 2'!$F$48:$F$58</c:f>
              <c:numCache>
                <c:formatCode>General</c:formatCode>
                <c:ptCount val="11"/>
                <c:pt idx="0">
                  <c:v>54.569616951709143</c:v>
                </c:pt>
                <c:pt idx="1">
                  <c:v>59.824872439787541</c:v>
                </c:pt>
                <c:pt idx="2">
                  <c:v>65.16202522425624</c:v>
                </c:pt>
                <c:pt idx="3">
                  <c:v>70.584522482917833</c:v>
                </c:pt>
                <c:pt idx="4">
                  <c:v>76.094777475644293</c:v>
                </c:pt>
                <c:pt idx="5">
                  <c:v>81.69400727354801</c:v>
                </c:pt>
                <c:pt idx="6">
                  <c:v>87.382147122645023</c:v>
                </c:pt>
                <c:pt idx="7">
                  <c:v>93.15785506470074</c:v>
                </c:pt>
                <c:pt idx="8">
                  <c:v>99.018606066041286</c:v>
                </c:pt>
                <c:pt idx="9">
                  <c:v>104.96086074437059</c:v>
                </c:pt>
                <c:pt idx="10">
                  <c:v>110.98028370587141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5-4DEF-A120-D21ABD77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27408"/>
        <c:axId val="884163072"/>
      </c:scatterChart>
      <c:valAx>
        <c:axId val="1124627408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84163072"/>
        <c:crosses val="autoZero"/>
        <c:crossBetween val="midCat"/>
      </c:valAx>
      <c:valAx>
        <c:axId val="8841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6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chart" Target="../charts/chart4.xml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278424</xdr:colOff>
      <xdr:row>23</xdr:row>
      <xdr:rowOff>115765</xdr:rowOff>
    </xdr:from>
    <xdr:to>
      <xdr:col>10</xdr:col>
      <xdr:colOff>527539</xdr:colOff>
      <xdr:row>38</xdr:row>
      <xdr:rowOff>1465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82944-FCDF-4E7A-B453-8DF7BDAA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681404</xdr:colOff>
      <xdr:row>23</xdr:row>
      <xdr:rowOff>115766</xdr:rowOff>
    </xdr:from>
    <xdr:to>
      <xdr:col>20</xdr:col>
      <xdr:colOff>102577</xdr:colOff>
      <xdr:row>38</xdr:row>
      <xdr:rowOff>1466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C16DB-E7C7-49B6-9D2E-5EB7E5E73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622788</xdr:colOff>
      <xdr:row>136</xdr:row>
      <xdr:rowOff>58615</xdr:rowOff>
    </xdr:from>
    <xdr:to>
      <xdr:col>1</xdr:col>
      <xdr:colOff>1392848</xdr:colOff>
      <xdr:row>138</xdr:row>
      <xdr:rowOff>161917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6BCD6715-B890-4625-9FCB-265A59A17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788" y="25600269"/>
          <a:ext cx="2513135" cy="484302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1611923</xdr:colOff>
      <xdr:row>138</xdr:row>
      <xdr:rowOff>153865</xdr:rowOff>
    </xdr:from>
    <xdr:to>
      <xdr:col>1</xdr:col>
      <xdr:colOff>2022963</xdr:colOff>
      <xdr:row>141</xdr:row>
      <xdr:rowOff>1327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DD5929D1-938C-40B1-8247-7C03CE9DC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1923" y="26076519"/>
          <a:ext cx="2154115" cy="440943"/>
        </a:xfrm>
        <a:prstGeom prst="rect">
          <a:avLst/>
        </a:prstGeom>
      </xdr:spPr>
    </xdr:pic>
    <xdr:clientData/>
  </xdr:twoCellAnchor>
  <xdr:twoCellAnchor editAs="oneCell">
    <xdr:from>
      <xdr:col>7</xdr:col>
      <xdr:colOff>13190</xdr:colOff>
      <xdr:row>142</xdr:row>
      <xdr:rowOff>106240</xdr:rowOff>
    </xdr:from>
    <xdr:to>
      <xdr:col>11</xdr:col>
      <xdr:colOff>789111</xdr:colOff>
      <xdr:row>149</xdr:row>
      <xdr:rowOff>98566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2F207A4-49E0-42AB-8FF4-79918D2C1CE4}"/>
            </a:ext>
            <a:ext uri="{147F2762-F138-4A5C-976F-8EAC2B608ADB}">
              <a16:predDERef xmlns:a16="http://schemas.microsoft.com/office/drawing/2014/main" pred="{DD5929D1-938C-40B1-8247-7C03CE9DC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07267" y="27003375"/>
          <a:ext cx="4271596" cy="1325826"/>
        </a:xfrm>
        <a:prstGeom prst="rect">
          <a:avLst/>
        </a:prstGeom>
      </xdr:spPr>
    </xdr:pic>
    <xdr:clientData/>
  </xdr:twoCellAnchor>
  <xdr:twoCellAnchor editAs="oneCell">
    <xdr:from>
      <xdr:col>0</xdr:col>
      <xdr:colOff>1301995</xdr:colOff>
      <xdr:row>152</xdr:row>
      <xdr:rowOff>137747</xdr:rowOff>
    </xdr:from>
    <xdr:to>
      <xdr:col>3</xdr:col>
      <xdr:colOff>1682995</xdr:colOff>
      <xdr:row>157</xdr:row>
      <xdr:rowOff>165557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390511D8-19DE-4E99-9A12-36956F2AF586}"/>
            </a:ext>
            <a:ext uri="{147F2762-F138-4A5C-976F-8EAC2B608ADB}">
              <a16:predDERef xmlns:a16="http://schemas.microsoft.com/office/drawing/2014/main" pred="{F42711B5-095C-4CA3-80C2-EE6CE6DDE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995" y="29008022"/>
          <a:ext cx="4762500" cy="980310"/>
        </a:xfrm>
        <a:prstGeom prst="rect">
          <a:avLst/>
        </a:prstGeom>
      </xdr:spPr>
    </xdr:pic>
    <xdr:clientData/>
  </xdr:twoCellAnchor>
  <xdr:twoCellAnchor>
    <xdr:from>
      <xdr:col>13</xdr:col>
      <xdr:colOff>139212</xdr:colOff>
      <xdr:row>59</xdr:row>
      <xdr:rowOff>90121</xdr:rowOff>
    </xdr:from>
    <xdr:to>
      <xdr:col>20</xdr:col>
      <xdr:colOff>454269</xdr:colOff>
      <xdr:row>73</xdr:row>
      <xdr:rowOff>115033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44551-894F-4410-A75A-C414CEAD8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201930</xdr:colOff>
      <xdr:row>45</xdr:row>
      <xdr:rowOff>170295</xdr:rowOff>
    </xdr:from>
    <xdr:to>
      <xdr:col>12</xdr:col>
      <xdr:colOff>643559</xdr:colOff>
      <xdr:row>60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32B52E-7B46-4D7B-93D0-EBEC469F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7980" y="8742795"/>
          <a:ext cx="4772025" cy="2782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416242</xdr:colOff>
      <xdr:row>25</xdr:row>
      <xdr:rowOff>35242</xdr:rowOff>
    </xdr:from>
    <xdr:to>
      <xdr:col>5</xdr:col>
      <xdr:colOff>202882</xdr:colOff>
      <xdr:row>39</xdr:row>
      <xdr:rowOff>103822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47D1F-FFE2-4E0F-AF56-4C74A08E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857250</xdr:colOff>
      <xdr:row>42</xdr:row>
      <xdr:rowOff>38100</xdr:rowOff>
    </xdr:from>
    <xdr:to>
      <xdr:col>6</xdr:col>
      <xdr:colOff>681574</xdr:colOff>
      <xdr:row>44</xdr:row>
      <xdr:rowOff>186625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8244A2-3BC8-4F0E-B7F5-56AD0B69C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9425" y="8077200"/>
          <a:ext cx="3323809" cy="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80011</xdr:colOff>
      <xdr:row>59</xdr:row>
      <xdr:rowOff>59055</xdr:rowOff>
    </xdr:from>
    <xdr:to>
      <xdr:col>5</xdr:col>
      <xdr:colOff>613811</xdr:colOff>
      <xdr:row>66</xdr:row>
      <xdr:rowOff>34290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40964F-F61B-4F4A-986B-AA419E9E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4091" y="11351895"/>
          <a:ext cx="3155080" cy="1303020"/>
        </a:xfrm>
        <a:prstGeom prst="rect">
          <a:avLst/>
        </a:prstGeom>
      </xdr:spPr>
    </xdr:pic>
    <xdr:clientData/>
  </xdr:twoCellAnchor>
  <xdr:twoCellAnchor editAs="oneCell">
    <xdr:from>
      <xdr:col>5</xdr:col>
      <xdr:colOff>891540</xdr:colOff>
      <xdr:row>61</xdr:row>
      <xdr:rowOff>128409</xdr:rowOff>
    </xdr:from>
    <xdr:to>
      <xdr:col>12</xdr:col>
      <xdr:colOff>377494</xdr:colOff>
      <xdr:row>66</xdr:row>
      <xdr:rowOff>34097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85337D-F97F-4BD4-83F6-E66A3197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76900" y="11802249"/>
          <a:ext cx="5589905" cy="84675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428584</xdr:colOff>
      <xdr:row>54</xdr:row>
      <xdr:rowOff>135527</xdr:rowOff>
    </xdr:from>
    <xdr:to>
      <xdr:col>24</xdr:col>
      <xdr:colOff>346010</xdr:colOff>
      <xdr:row>65</xdr:row>
      <xdr:rowOff>148464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96AC2C-FA50-428F-9AFE-1525EFD5A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64670" y="10716441"/>
          <a:ext cx="6632551" cy="2166404"/>
        </a:xfrm>
        <a:prstGeom prst="rect">
          <a:avLst/>
        </a:prstGeom>
      </xdr:spPr>
    </xdr:pic>
    <xdr:clientData/>
  </xdr:twoCellAnchor>
  <xdr:twoCellAnchor editAs="oneCell">
    <xdr:from>
      <xdr:col>11</xdr:col>
      <xdr:colOff>306579</xdr:colOff>
      <xdr:row>67</xdr:row>
      <xdr:rowOff>97155</xdr:rowOff>
    </xdr:from>
    <xdr:to>
      <xdr:col>17</xdr:col>
      <xdr:colOff>537997</xdr:colOff>
      <xdr:row>83</xdr:row>
      <xdr:rowOff>185908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959682-C658-4C14-AD89-29B91EB79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3465" y="13225326"/>
          <a:ext cx="4186281" cy="3208599"/>
        </a:xfrm>
        <a:prstGeom prst="rect">
          <a:avLst/>
        </a:prstGeom>
      </xdr:spPr>
    </xdr:pic>
    <xdr:clientData/>
  </xdr:twoCellAnchor>
  <xdr:twoCellAnchor>
    <xdr:from>
      <xdr:col>0</xdr:col>
      <xdr:colOff>119743</xdr:colOff>
      <xdr:row>68</xdr:row>
      <xdr:rowOff>80010</xdr:rowOff>
    </xdr:from>
    <xdr:to>
      <xdr:col>4</xdr:col>
      <xdr:colOff>717913</xdr:colOff>
      <xdr:row>82</xdr:row>
      <xdr:rowOff>159748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6120BD-CAC6-4980-949A-C51529548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250868</xdr:colOff>
      <xdr:row>68</xdr:row>
      <xdr:rowOff>105378</xdr:rowOff>
    </xdr:from>
    <xdr:to>
      <xdr:col>10</xdr:col>
      <xdr:colOff>327612</xdr:colOff>
      <xdr:row>82</xdr:row>
      <xdr:rowOff>112004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4A191A-E79B-444A-B80D-7D7F6780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180975</xdr:rowOff>
    </xdr:from>
    <xdr:to>
      <xdr:col>10</xdr:col>
      <xdr:colOff>409575</xdr:colOff>
      <xdr:row>46</xdr:row>
      <xdr:rowOff>9525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4C28353C-7263-4461-9ABC-8C0D84A5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0975"/>
          <a:ext cx="6334125" cy="8591550"/>
        </a:xfrm>
        <a:prstGeom prst="rect">
          <a:avLst/>
        </a:prstGeom>
        <a:solidFill>
          <a:srgbClr val="DDD9C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opLeftCell="A130" zoomScale="130" zoomScaleNormal="130" workbookViewId="0">
      <selection activeCell="D151" sqref="D151"/>
    </sheetView>
  </sheetViews>
  <sheetFormatPr defaultRowHeight="15" outlineLevelRow="1" outlineLevelCol="1"/>
  <cols>
    <col min="1" max="1" width="26.140625" customWidth="1"/>
    <col min="2" max="2" width="30.42578125" customWidth="1"/>
    <col min="4" max="4" width="26.28515625" customWidth="1"/>
    <col min="5" max="5" width="10.42578125" bestFit="1" customWidth="1"/>
    <col min="6" max="6" width="9.140625" outlineLevel="1"/>
    <col min="7" max="7" width="12.85546875" bestFit="1" customWidth="1" outlineLevel="1"/>
    <col min="8" max="8" width="16" bestFit="1" customWidth="1"/>
    <col min="10" max="10" width="13.140625" bestFit="1" customWidth="1"/>
    <col min="11" max="11" width="14.140625" bestFit="1" customWidth="1"/>
    <col min="12" max="12" width="17.7109375" customWidth="1"/>
  </cols>
  <sheetData>
    <row r="1" spans="1:28" ht="15.75" customHeight="1" thickTop="1" thickBot="1">
      <c r="A1" s="18" t="s">
        <v>0</v>
      </c>
      <c r="B1" s="4" t="s">
        <v>1</v>
      </c>
      <c r="D1" s="13" t="s">
        <v>2</v>
      </c>
      <c r="AA1" t="s">
        <v>3</v>
      </c>
      <c r="AB1" t="s">
        <v>4</v>
      </c>
    </row>
    <row r="2" spans="1:28" ht="15.75" thickTop="1">
      <c r="A2" s="1">
        <v>-1.89</v>
      </c>
      <c r="B2" s="1">
        <v>-4.46</v>
      </c>
      <c r="D2" s="5"/>
      <c r="AB2">
        <f t="shared" ref="AB2:AB33" si="0">(B2-$E$42)*(B2-$E$42)</f>
        <v>6.6172417599999953</v>
      </c>
    </row>
    <row r="3" spans="1:28">
      <c r="A3" s="2">
        <v>-2.37</v>
      </c>
      <c r="B3" s="2">
        <v>-4.1900000000000004</v>
      </c>
      <c r="D3" s="15" t="s">
        <v>5</v>
      </c>
      <c r="E3">
        <v>50</v>
      </c>
      <c r="AB3">
        <f t="shared" si="0"/>
        <v>5.3010457599999983</v>
      </c>
    </row>
    <row r="4" spans="1:28">
      <c r="A4" s="2">
        <v>-2.06</v>
      </c>
      <c r="B4" s="2">
        <v>-3.47</v>
      </c>
      <c r="D4" s="10" t="s">
        <v>6</v>
      </c>
      <c r="E4">
        <f>MIN(B2:B51)</f>
        <v>-4.46</v>
      </c>
      <c r="AB4">
        <f t="shared" si="0"/>
        <v>2.5039897599999978</v>
      </c>
    </row>
    <row r="5" spans="1:28">
      <c r="A5" s="2">
        <v>-4.46</v>
      </c>
      <c r="B5" s="2">
        <v>-3.3</v>
      </c>
      <c r="D5" s="10" t="s">
        <v>7</v>
      </c>
      <c r="E5">
        <f>MAX(B2:B51)</f>
        <v>0.25</v>
      </c>
      <c r="AB5">
        <f t="shared" si="0"/>
        <v>1.9948737599999971</v>
      </c>
    </row>
    <row r="6" spans="1:28">
      <c r="A6" s="2">
        <v>-1.9</v>
      </c>
      <c r="B6" s="2">
        <v>-3.29</v>
      </c>
      <c r="D6" s="10" t="s">
        <v>8</v>
      </c>
      <c r="E6">
        <f>E4</f>
        <v>-4.46</v>
      </c>
      <c r="F6">
        <f>E5</f>
        <v>0.25</v>
      </c>
      <c r="AB6">
        <f t="shared" si="0"/>
        <v>1.9667257599999977</v>
      </c>
    </row>
    <row r="7" spans="1:28">
      <c r="A7" s="2">
        <v>-2.4</v>
      </c>
      <c r="B7" s="2">
        <v>-3.16</v>
      </c>
      <c r="D7" s="10" t="s">
        <v>9</v>
      </c>
      <c r="E7">
        <f>E5-E4</f>
        <v>4.71</v>
      </c>
      <c r="AB7">
        <f t="shared" si="0"/>
        <v>1.6190017599999982</v>
      </c>
    </row>
    <row r="8" spans="1:28">
      <c r="A8" s="2">
        <v>-1.0900000000000001</v>
      </c>
      <c r="B8" s="2">
        <v>-2.89</v>
      </c>
      <c r="D8" s="10" t="s">
        <v>10</v>
      </c>
      <c r="E8">
        <v>11</v>
      </c>
      <c r="AB8">
        <f t="shared" si="0"/>
        <v>1.0048057599999987</v>
      </c>
    </row>
    <row r="9" spans="1:28">
      <c r="A9" s="2">
        <v>-2.5299999999999998</v>
      </c>
      <c r="B9" s="2">
        <v>-2.86</v>
      </c>
      <c r="D9" s="10" t="s">
        <v>11</v>
      </c>
      <c r="E9">
        <f>E7/E8</f>
        <v>0.42818181818181816</v>
      </c>
      <c r="AB9">
        <f t="shared" si="0"/>
        <v>0.94556175999999814</v>
      </c>
    </row>
    <row r="10" spans="1:28">
      <c r="A10" s="2">
        <v>-1.49</v>
      </c>
      <c r="B10" s="2">
        <v>-2.81</v>
      </c>
      <c r="D10" s="5"/>
      <c r="AB10">
        <f t="shared" si="0"/>
        <v>0.85082175999999854</v>
      </c>
    </row>
    <row r="11" spans="1:28">
      <c r="A11" s="2">
        <v>-1.73</v>
      </c>
      <c r="B11" s="2">
        <v>-2.79</v>
      </c>
      <c r="D11" s="5"/>
      <c r="AB11">
        <f t="shared" si="0"/>
        <v>0.81432575999999857</v>
      </c>
    </row>
    <row r="12" spans="1:28">
      <c r="A12" s="2">
        <v>-1.96</v>
      </c>
      <c r="B12" s="2">
        <v>-2.66</v>
      </c>
      <c r="D12" s="8" t="s">
        <v>12</v>
      </c>
      <c r="E12" s="9" t="s">
        <v>13</v>
      </c>
      <c r="F12" s="9" t="s">
        <v>14</v>
      </c>
      <c r="G12" s="9" t="s">
        <v>15</v>
      </c>
      <c r="H12" s="9" t="s">
        <v>16</v>
      </c>
      <c r="I12" s="9" t="s">
        <v>17</v>
      </c>
      <c r="J12" s="9" t="s">
        <v>18</v>
      </c>
      <c r="K12" s="9" t="s">
        <v>19</v>
      </c>
      <c r="AB12">
        <f t="shared" si="0"/>
        <v>0.59660175999999898</v>
      </c>
    </row>
    <row r="13" spans="1:28">
      <c r="A13" s="2">
        <v>-2.11</v>
      </c>
      <c r="B13" s="2">
        <v>-2.66</v>
      </c>
      <c r="D13" s="8">
        <v>1</v>
      </c>
      <c r="E13" s="7">
        <f>E4</f>
        <v>-4.46</v>
      </c>
      <c r="F13" s="7">
        <f t="shared" ref="F13:F23" si="1">E13+$E$9</f>
        <v>-4.0318181818181822</v>
      </c>
      <c r="G13" s="7">
        <f t="shared" ref="G13:G23" si="2">(E13+F13)/2</f>
        <v>-4.2459090909090911</v>
      </c>
      <c r="H13" s="7">
        <f>I13</f>
        <v>2</v>
      </c>
      <c r="I13" s="7">
        <f>COUNTIFS($B$2:$B$51,"&gt;=" &amp;E13, $B$2:$B$51,"&lt;=" &amp; F13)</f>
        <v>2</v>
      </c>
      <c r="J13" s="37">
        <f t="shared" ref="J13:J23" si="3">I13/$E$3</f>
        <v>0.04</v>
      </c>
      <c r="K13" s="37">
        <f>J13</f>
        <v>0.04</v>
      </c>
      <c r="AB13">
        <f t="shared" si="0"/>
        <v>0.59660175999999898</v>
      </c>
    </row>
    <row r="14" spans="1:28">
      <c r="A14" s="2">
        <v>-2.66</v>
      </c>
      <c r="B14" s="2">
        <v>-2.5299999999999998</v>
      </c>
      <c r="D14" s="8">
        <v>2</v>
      </c>
      <c r="E14" s="7">
        <f t="shared" ref="E14:E23" si="4">F13</f>
        <v>-4.0318181818181822</v>
      </c>
      <c r="F14" s="7">
        <f t="shared" si="1"/>
        <v>-3.603636363636364</v>
      </c>
      <c r="G14" s="7">
        <f t="shared" si="2"/>
        <v>-3.8177272727272733</v>
      </c>
      <c r="H14" s="7">
        <f t="shared" ref="H14:H23" si="5">I14+H13</f>
        <v>2</v>
      </c>
      <c r="I14" s="7">
        <f t="shared" ref="I14:I23" si="6">COUNTIFS($B$2:$B$51,"&gt;=" &amp;E14, $B$2:$B$51,"&lt;=" &amp; F14)</f>
        <v>0</v>
      </c>
      <c r="J14" s="37">
        <f t="shared" si="3"/>
        <v>0</v>
      </c>
      <c r="K14" s="37">
        <f t="shared" ref="K14:K23" si="7">K13+J14</f>
        <v>0.04</v>
      </c>
      <c r="AB14">
        <f t="shared" si="0"/>
        <v>0.41267775999999867</v>
      </c>
    </row>
    <row r="15" spans="1:28">
      <c r="A15" s="2">
        <v>-1.21</v>
      </c>
      <c r="B15" s="2">
        <v>-2.5299999999999998</v>
      </c>
      <c r="D15" s="8">
        <v>3</v>
      </c>
      <c r="E15" s="7">
        <f t="shared" si="4"/>
        <v>-3.603636363636364</v>
      </c>
      <c r="F15" s="7">
        <f t="shared" si="1"/>
        <v>-3.1754545454545458</v>
      </c>
      <c r="G15" s="7">
        <f t="shared" si="2"/>
        <v>-3.3895454545454546</v>
      </c>
      <c r="H15" s="7">
        <f t="shared" si="5"/>
        <v>5</v>
      </c>
      <c r="I15" s="7">
        <f t="shared" si="6"/>
        <v>3</v>
      </c>
      <c r="J15" s="37">
        <f t="shared" si="3"/>
        <v>0.06</v>
      </c>
      <c r="K15" s="37">
        <f t="shared" si="7"/>
        <v>0.1</v>
      </c>
      <c r="AB15">
        <f t="shared" si="0"/>
        <v>0.41267775999999867</v>
      </c>
    </row>
    <row r="16" spans="1:28">
      <c r="A16" s="2">
        <v>-0.09</v>
      </c>
      <c r="B16" s="2">
        <v>-2.44</v>
      </c>
      <c r="D16" s="8">
        <v>4</v>
      </c>
      <c r="E16" s="7">
        <f t="shared" si="4"/>
        <v>-3.1754545454545458</v>
      </c>
      <c r="F16" s="7">
        <f t="shared" si="1"/>
        <v>-2.7472727272727275</v>
      </c>
      <c r="G16" s="7">
        <f t="shared" si="2"/>
        <v>-2.9613636363636369</v>
      </c>
      <c r="H16" s="7">
        <f t="shared" si="5"/>
        <v>10</v>
      </c>
      <c r="I16" s="7">
        <f t="shared" si="6"/>
        <v>5</v>
      </c>
      <c r="J16" s="37">
        <f t="shared" si="3"/>
        <v>0.1</v>
      </c>
      <c r="K16" s="37">
        <f t="shared" si="7"/>
        <v>0.2</v>
      </c>
      <c r="AB16">
        <f t="shared" si="0"/>
        <v>0.30514575999999904</v>
      </c>
    </row>
    <row r="17" spans="1:28">
      <c r="A17" s="2">
        <v>-1.37</v>
      </c>
      <c r="B17" s="2">
        <v>-2.4</v>
      </c>
      <c r="D17" s="8">
        <v>5</v>
      </c>
      <c r="E17" s="7">
        <f t="shared" si="4"/>
        <v>-2.7472727272727275</v>
      </c>
      <c r="F17" s="7">
        <f t="shared" si="1"/>
        <v>-2.3190909090909093</v>
      </c>
      <c r="G17" s="7">
        <f t="shared" si="2"/>
        <v>-2.5331818181818182</v>
      </c>
      <c r="H17" s="7">
        <f t="shared" si="5"/>
        <v>17</v>
      </c>
      <c r="I17" s="7">
        <f t="shared" si="6"/>
        <v>7</v>
      </c>
      <c r="J17" s="37">
        <f t="shared" si="3"/>
        <v>0.14000000000000001</v>
      </c>
      <c r="K17" s="37">
        <f t="shared" si="7"/>
        <v>0.34</v>
      </c>
      <c r="AB17">
        <f t="shared" si="0"/>
        <v>0.26255375999999908</v>
      </c>
    </row>
    <row r="18" spans="1:28">
      <c r="A18" s="2">
        <v>-1.43</v>
      </c>
      <c r="B18" s="2">
        <v>-2.37</v>
      </c>
      <c r="D18" s="8">
        <v>6</v>
      </c>
      <c r="E18" s="7">
        <f t="shared" si="4"/>
        <v>-2.3190909090909093</v>
      </c>
      <c r="F18" s="7">
        <f t="shared" si="1"/>
        <v>-1.8909090909090911</v>
      </c>
      <c r="G18" s="7">
        <f t="shared" si="2"/>
        <v>-2.1050000000000004</v>
      </c>
      <c r="H18" s="7">
        <f t="shared" si="5"/>
        <v>24</v>
      </c>
      <c r="I18" s="7">
        <f t="shared" si="6"/>
        <v>7</v>
      </c>
      <c r="J18" s="37">
        <f t="shared" si="3"/>
        <v>0.14000000000000001</v>
      </c>
      <c r="K18" s="37">
        <f t="shared" si="7"/>
        <v>0.48000000000000004</v>
      </c>
      <c r="AB18">
        <f t="shared" si="0"/>
        <v>0.23270975999999929</v>
      </c>
    </row>
    <row r="19" spans="1:28">
      <c r="A19" s="2">
        <v>-2.89</v>
      </c>
      <c r="B19" s="2">
        <v>-2.13</v>
      </c>
      <c r="D19" s="8">
        <v>7</v>
      </c>
      <c r="E19" s="7">
        <f t="shared" si="4"/>
        <v>-1.8909090909090911</v>
      </c>
      <c r="F19" s="7">
        <f t="shared" si="1"/>
        <v>-1.4627272727272729</v>
      </c>
      <c r="G19" s="7">
        <f t="shared" si="2"/>
        <v>-1.676818181818182</v>
      </c>
      <c r="H19" s="7">
        <f t="shared" si="5"/>
        <v>34</v>
      </c>
      <c r="I19" s="7">
        <f t="shared" si="6"/>
        <v>10</v>
      </c>
      <c r="J19" s="37">
        <f t="shared" si="3"/>
        <v>0.2</v>
      </c>
      <c r="K19" s="37">
        <f t="shared" si="7"/>
        <v>0.68</v>
      </c>
      <c r="AB19">
        <f t="shared" si="0"/>
        <v>5.8757759999999541E-2</v>
      </c>
    </row>
    <row r="20" spans="1:28">
      <c r="A20" s="2">
        <v>-1.55</v>
      </c>
      <c r="B20" s="2">
        <v>-2.11</v>
      </c>
      <c r="D20" s="8">
        <v>8</v>
      </c>
      <c r="E20" s="7">
        <f t="shared" si="4"/>
        <v>-1.4627272727272729</v>
      </c>
      <c r="F20" s="7">
        <f t="shared" si="1"/>
        <v>-1.0345454545454547</v>
      </c>
      <c r="G20" s="7">
        <f t="shared" si="2"/>
        <v>-1.2486363636363638</v>
      </c>
      <c r="H20" s="7">
        <f t="shared" si="5"/>
        <v>41</v>
      </c>
      <c r="I20" s="7">
        <f t="shared" si="6"/>
        <v>7</v>
      </c>
      <c r="J20" s="37">
        <f t="shared" si="3"/>
        <v>0.14000000000000001</v>
      </c>
      <c r="K20" s="37">
        <f t="shared" si="7"/>
        <v>0.82000000000000006</v>
      </c>
      <c r="AB20">
        <f t="shared" si="0"/>
        <v>4.9461759999999577E-2</v>
      </c>
    </row>
    <row r="21" spans="1:28">
      <c r="A21" s="2">
        <v>-0.28999999999999998</v>
      </c>
      <c r="B21" s="2">
        <v>-2.06</v>
      </c>
      <c r="D21" s="8">
        <v>9</v>
      </c>
      <c r="E21" s="7">
        <f t="shared" si="4"/>
        <v>-1.0345454545454547</v>
      </c>
      <c r="F21" s="7">
        <f t="shared" si="1"/>
        <v>-0.60636363636363644</v>
      </c>
      <c r="G21" s="7">
        <f t="shared" si="2"/>
        <v>-0.82045454545454555</v>
      </c>
      <c r="H21" s="7">
        <f t="shared" si="5"/>
        <v>45</v>
      </c>
      <c r="I21" s="7">
        <f t="shared" si="6"/>
        <v>4</v>
      </c>
      <c r="J21" s="37">
        <f t="shared" si="3"/>
        <v>0.08</v>
      </c>
      <c r="K21" s="37">
        <f t="shared" si="7"/>
        <v>0.9</v>
      </c>
      <c r="AB21">
        <f t="shared" si="0"/>
        <v>2.9721759999999733E-2</v>
      </c>
    </row>
    <row r="22" spans="1:28">
      <c r="A22" s="2">
        <v>-1.92</v>
      </c>
      <c r="B22" s="2">
        <v>-2.02</v>
      </c>
      <c r="D22" s="8">
        <v>10</v>
      </c>
      <c r="E22" s="7">
        <f t="shared" si="4"/>
        <v>-0.60636363636363644</v>
      </c>
      <c r="F22" s="7">
        <f t="shared" si="1"/>
        <v>-0.17818181818181827</v>
      </c>
      <c r="G22" s="7">
        <f t="shared" si="2"/>
        <v>-0.39227272727272733</v>
      </c>
      <c r="H22" s="7">
        <f t="shared" si="5"/>
        <v>48</v>
      </c>
      <c r="I22" s="7">
        <f t="shared" si="6"/>
        <v>3</v>
      </c>
      <c r="J22" s="37">
        <f t="shared" si="3"/>
        <v>0.06</v>
      </c>
      <c r="K22" s="37">
        <f t="shared" si="7"/>
        <v>0.96</v>
      </c>
      <c r="AB22">
        <f t="shared" si="0"/>
        <v>1.7529759999999783E-2</v>
      </c>
    </row>
    <row r="23" spans="1:28">
      <c r="A23" s="2">
        <v>-0.73</v>
      </c>
      <c r="B23" s="2">
        <v>-1.96</v>
      </c>
      <c r="D23" s="8">
        <v>11</v>
      </c>
      <c r="E23" s="7">
        <f t="shared" si="4"/>
        <v>-0.17818181818181827</v>
      </c>
      <c r="F23" s="7">
        <f t="shared" si="1"/>
        <v>0.24999999999999989</v>
      </c>
      <c r="G23" s="7">
        <f t="shared" si="2"/>
        <v>3.5909090909090807E-2</v>
      </c>
      <c r="H23" s="7">
        <f t="shared" si="5"/>
        <v>50</v>
      </c>
      <c r="I23" s="7">
        <f t="shared" si="6"/>
        <v>2</v>
      </c>
      <c r="J23" s="37">
        <f t="shared" si="3"/>
        <v>0.04</v>
      </c>
      <c r="K23" s="37">
        <f t="shared" si="7"/>
        <v>1</v>
      </c>
      <c r="AB23">
        <f t="shared" si="0"/>
        <v>5.2417599999998741E-3</v>
      </c>
    </row>
    <row r="24" spans="1:28">
      <c r="A24" s="2">
        <v>-2.5299999999999998</v>
      </c>
      <c r="B24" s="2">
        <v>-1.92</v>
      </c>
      <c r="D24" s="5"/>
      <c r="AB24">
        <f t="shared" si="0"/>
        <v>1.0497599999999415E-3</v>
      </c>
    </row>
    <row r="25" spans="1:28">
      <c r="A25" s="2">
        <v>-2.44</v>
      </c>
      <c r="B25" s="2">
        <v>-1.9</v>
      </c>
      <c r="D25" s="5"/>
      <c r="AB25">
        <f t="shared" si="0"/>
        <v>1.5375999999997714E-4</v>
      </c>
    </row>
    <row r="26" spans="1:28">
      <c r="A26" s="2">
        <v>-2.66</v>
      </c>
      <c r="B26" s="2">
        <v>-1.89</v>
      </c>
      <c r="D26" s="5"/>
      <c r="AB26">
        <f t="shared" si="0"/>
        <v>5.7599999999955335E-6</v>
      </c>
    </row>
    <row r="27" spans="1:28">
      <c r="A27" s="2">
        <v>-4.1900000000000004</v>
      </c>
      <c r="B27" s="2">
        <v>-1.8</v>
      </c>
      <c r="D27" s="5"/>
      <c r="AB27">
        <f t="shared" si="0"/>
        <v>7.6737600000001379E-3</v>
      </c>
    </row>
    <row r="28" spans="1:28">
      <c r="A28" s="2">
        <v>-0.37</v>
      </c>
      <c r="B28" s="2">
        <v>-1.76</v>
      </c>
      <c r="D28" s="5"/>
      <c r="AB28">
        <f t="shared" si="0"/>
        <v>1.6281760000000211E-2</v>
      </c>
    </row>
    <row r="29" spans="1:28">
      <c r="A29" s="2">
        <v>-1.76</v>
      </c>
      <c r="B29" s="2">
        <v>-1.76</v>
      </c>
      <c r="D29" s="5"/>
      <c r="AB29">
        <f t="shared" si="0"/>
        <v>1.6281760000000211E-2</v>
      </c>
    </row>
    <row r="30" spans="1:28">
      <c r="A30" s="2">
        <v>-3.47</v>
      </c>
      <c r="B30" s="2">
        <v>-1.73</v>
      </c>
      <c r="D30" s="5"/>
      <c r="AB30">
        <f t="shared" si="0"/>
        <v>2.4837760000000268E-2</v>
      </c>
    </row>
    <row r="31" spans="1:28">
      <c r="A31" s="2">
        <v>-1.52</v>
      </c>
      <c r="B31" s="2">
        <v>-1.73</v>
      </c>
      <c r="D31" s="5"/>
      <c r="AB31">
        <f t="shared" si="0"/>
        <v>2.4837760000000268E-2</v>
      </c>
    </row>
    <row r="32" spans="1:28">
      <c r="A32" s="2">
        <v>0.25</v>
      </c>
      <c r="B32" s="2">
        <v>-1.55</v>
      </c>
      <c r="D32" s="5"/>
      <c r="AB32">
        <f t="shared" si="0"/>
        <v>0.11397376000000053</v>
      </c>
    </row>
    <row r="33" spans="1:28">
      <c r="A33" s="2">
        <v>-0.68</v>
      </c>
      <c r="B33" s="2">
        <v>-1.52</v>
      </c>
      <c r="D33" s="5"/>
      <c r="AB33">
        <f t="shared" si="0"/>
        <v>0.1351297600000006</v>
      </c>
    </row>
    <row r="34" spans="1:28">
      <c r="A34" s="2">
        <v>-1.73</v>
      </c>
      <c r="B34" s="2">
        <v>-1.51</v>
      </c>
      <c r="D34" s="5"/>
      <c r="AB34">
        <f t="shared" ref="AB34:AB51" si="8">(B34-$E$42)*(B34-$E$42)</f>
        <v>0.14258176000000061</v>
      </c>
    </row>
    <row r="35" spans="1:28">
      <c r="A35" s="2">
        <v>-1.51</v>
      </c>
      <c r="B35" s="2">
        <v>-1.49</v>
      </c>
      <c r="D35" s="5"/>
      <c r="AB35">
        <f t="shared" si="8"/>
        <v>0.15808576000000066</v>
      </c>
    </row>
    <row r="36" spans="1:28">
      <c r="A36" s="2">
        <v>-1.76</v>
      </c>
      <c r="B36" s="2">
        <v>-1.43</v>
      </c>
      <c r="D36" s="5"/>
      <c r="AB36">
        <f t="shared" si="8"/>
        <v>0.20939776000000082</v>
      </c>
    </row>
    <row r="37" spans="1:28">
      <c r="A37" s="2">
        <v>-2.13</v>
      </c>
      <c r="B37" s="2">
        <v>-1.37</v>
      </c>
      <c r="D37" s="5"/>
      <c r="AB37">
        <f t="shared" si="8"/>
        <v>0.26790976000000077</v>
      </c>
    </row>
    <row r="38" spans="1:28">
      <c r="A38" s="2">
        <v>-0.68</v>
      </c>
      <c r="B38" s="2">
        <v>-1.28</v>
      </c>
      <c r="D38" s="5"/>
      <c r="AB38">
        <f t="shared" si="8"/>
        <v>0.36917776000000097</v>
      </c>
    </row>
    <row r="39" spans="1:28">
      <c r="A39" s="2">
        <v>-1.28</v>
      </c>
      <c r="B39" s="2">
        <v>-1.28</v>
      </c>
      <c r="D39" s="5"/>
      <c r="AB39">
        <f t="shared" si="8"/>
        <v>0.36917776000000097</v>
      </c>
    </row>
    <row r="40" spans="1:28">
      <c r="A40" s="2">
        <v>-2.02</v>
      </c>
      <c r="B40" s="2">
        <v>-1.28</v>
      </c>
      <c r="D40" s="5"/>
      <c r="AB40">
        <f t="shared" si="8"/>
        <v>0.36917776000000097</v>
      </c>
    </row>
    <row r="41" spans="1:28">
      <c r="A41" s="2">
        <v>-0.35</v>
      </c>
      <c r="B41" s="2">
        <v>-1.21</v>
      </c>
      <c r="D41" s="14" t="s">
        <v>20</v>
      </c>
      <c r="E41" s="11"/>
      <c r="F41" s="11"/>
      <c r="AB41">
        <f t="shared" si="8"/>
        <v>0.45914176000000118</v>
      </c>
    </row>
    <row r="42" spans="1:28">
      <c r="A42" s="2">
        <v>-2.86</v>
      </c>
      <c r="B42" s="2">
        <v>-1.0900000000000001</v>
      </c>
      <c r="D42" s="5" t="s">
        <v>21</v>
      </c>
      <c r="E42" s="11">
        <f>AVERAGEA(B2:B51)</f>
        <v>-1.8876000000000008</v>
      </c>
      <c r="F42" s="11"/>
      <c r="AB42">
        <f t="shared" si="8"/>
        <v>0.63616576000000125</v>
      </c>
    </row>
    <row r="43" spans="1:28">
      <c r="A43" s="2">
        <v>-0.85</v>
      </c>
      <c r="B43" s="2">
        <v>-0.85</v>
      </c>
      <c r="D43" s="5" t="s">
        <v>22</v>
      </c>
      <c r="E43" s="11">
        <f>(B26+B27)/2</f>
        <v>-1.845</v>
      </c>
      <c r="F43" s="11"/>
      <c r="AB43">
        <f t="shared" si="8"/>
        <v>1.0766137600000016</v>
      </c>
    </row>
    <row r="44" spans="1:28">
      <c r="A44" s="2">
        <v>-2.79</v>
      </c>
      <c r="B44" s="2">
        <v>-0.73</v>
      </c>
      <c r="D44" s="5" t="s">
        <v>23</v>
      </c>
      <c r="E44" s="11">
        <f>INDEX(G13:G23,MATCH(MAX(I13:I23),I13:I23,0))</f>
        <v>-1.676818181818182</v>
      </c>
      <c r="F44" s="11"/>
      <c r="G44" s="17"/>
      <c r="AB44">
        <f t="shared" si="8"/>
        <v>1.340037760000002</v>
      </c>
    </row>
    <row r="45" spans="1:28">
      <c r="A45" s="2">
        <v>-3.29</v>
      </c>
      <c r="B45" s="2">
        <v>-0.68</v>
      </c>
      <c r="D45" s="5" t="s">
        <v>24</v>
      </c>
      <c r="E45" s="11">
        <f>SUM(AB2:AB51)/$E$3</f>
        <v>1.0054542400000002</v>
      </c>
      <c r="F45" s="11"/>
      <c r="AB45">
        <f t="shared" si="8"/>
        <v>1.4582977600000016</v>
      </c>
    </row>
    <row r="46" spans="1:28">
      <c r="A46" s="2">
        <v>-1.28</v>
      </c>
      <c r="B46" s="2">
        <v>-0.68</v>
      </c>
      <c r="D46" s="5" t="s">
        <v>25</v>
      </c>
      <c r="E46" s="11">
        <f>SQRT(E45)</f>
        <v>1.0027234115148604</v>
      </c>
      <c r="F46" s="11"/>
      <c r="AB46">
        <f t="shared" si="8"/>
        <v>1.4582977600000016</v>
      </c>
    </row>
    <row r="47" spans="1:28">
      <c r="A47" s="2">
        <v>-3.3</v>
      </c>
      <c r="B47" s="2">
        <v>-0.37</v>
      </c>
      <c r="D47" s="5"/>
      <c r="AB47">
        <f t="shared" si="8"/>
        <v>2.3031097600000021</v>
      </c>
    </row>
    <row r="48" spans="1:28">
      <c r="A48" s="2">
        <v>-1.28</v>
      </c>
      <c r="B48" s="2">
        <v>-0.35</v>
      </c>
      <c r="D48" s="5"/>
      <c r="AB48">
        <f t="shared" si="8"/>
        <v>2.3642137600000024</v>
      </c>
    </row>
    <row r="49" spans="1:28">
      <c r="A49" s="2">
        <v>-1.8</v>
      </c>
      <c r="B49" s="2">
        <v>-0.28999999999999998</v>
      </c>
      <c r="D49" s="13" t="s">
        <v>26</v>
      </c>
      <c r="AB49">
        <f t="shared" si="8"/>
        <v>2.5523257600000027</v>
      </c>
    </row>
    <row r="50" spans="1:28">
      <c r="A50" s="2">
        <v>-2.81</v>
      </c>
      <c r="B50" s="2">
        <v>-0.09</v>
      </c>
      <c r="D50" s="6" t="s">
        <v>27</v>
      </c>
      <c r="E50">
        <f>SUM(B2:B51)/$E$3</f>
        <v>-1.8876000000000008</v>
      </c>
      <c r="AB50">
        <f t="shared" si="8"/>
        <v>3.2313657600000028</v>
      </c>
    </row>
    <row r="51" spans="1:28">
      <c r="A51" s="3">
        <v>-3.16</v>
      </c>
      <c r="B51" s="3">
        <v>0.25</v>
      </c>
      <c r="D51" s="12" t="s">
        <v>28</v>
      </c>
      <c r="E51">
        <f>VAR(A2:A51)</f>
        <v>1.0259737142857128</v>
      </c>
      <c r="AB51">
        <f t="shared" si="8"/>
        <v>4.5693337600000037</v>
      </c>
    </row>
    <row r="52" spans="1:28" ht="14.25" customHeight="1">
      <c r="D52" s="12" t="s">
        <v>29</v>
      </c>
      <c r="E52">
        <f>SQRT(E51)</f>
        <v>1.012903605623809</v>
      </c>
    </row>
    <row r="53" spans="1:28" ht="17.25" customHeight="1"/>
    <row r="54" spans="1:28">
      <c r="D54" s="14" t="s">
        <v>30</v>
      </c>
      <c r="M54" t="s">
        <v>31</v>
      </c>
      <c r="N54">
        <f>E42</f>
        <v>-1.8876000000000008</v>
      </c>
    </row>
    <row r="55" spans="1:28">
      <c r="D55" s="16" t="s">
        <v>12</v>
      </c>
      <c r="E55" s="9" t="s">
        <v>13</v>
      </c>
      <c r="F55" s="9" t="s">
        <v>14</v>
      </c>
      <c r="G55" s="9" t="s">
        <v>15</v>
      </c>
      <c r="H55" s="9" t="s">
        <v>16</v>
      </c>
      <c r="I55" s="9" t="s">
        <v>17</v>
      </c>
      <c r="J55" s="14" t="s">
        <v>32</v>
      </c>
      <c r="K55" s="14" t="s">
        <v>33</v>
      </c>
      <c r="M55" t="s">
        <v>34</v>
      </c>
      <c r="N55">
        <f>E52</f>
        <v>1.012903605623809</v>
      </c>
    </row>
    <row r="56" spans="1:28">
      <c r="D56" s="16">
        <v>1</v>
      </c>
      <c r="E56">
        <v>-1000</v>
      </c>
      <c r="F56">
        <v>-3</v>
      </c>
      <c r="G56">
        <f t="shared" ref="G56:G62" si="9">AVERAGE(E56:F56)</f>
        <v>-501.5</v>
      </c>
      <c r="H56">
        <f>I56</f>
        <v>6</v>
      </c>
      <c r="I56">
        <f t="shared" ref="I56:I62" si="10">COUNTIFS($B$2:$B$51,"&gt;=" &amp;E56, $B$2:$B$51,"&lt;=" &amp;F56)</f>
        <v>6</v>
      </c>
      <c r="J56">
        <f>_xlfn.NORM.DIST(F56,$N$54,$N$55,1)*50 - _xlfn.NORM.DIST(E56,$N$54,$N$55,1)*50</f>
        <v>6.8026138771744042</v>
      </c>
      <c r="K56">
        <f>((J56-I56)^2)/J56</f>
        <v>9.4697280701827202E-2</v>
      </c>
    </row>
    <row r="57" spans="1:28">
      <c r="D57" s="16">
        <v>2</v>
      </c>
      <c r="E57">
        <f t="shared" ref="E57:E62" si="11">F56</f>
        <v>-3</v>
      </c>
      <c r="F57">
        <f>E57+$E$7/($E$8-1)</f>
        <v>-2.5289999999999999</v>
      </c>
      <c r="G57">
        <f t="shared" si="9"/>
        <v>-2.7645</v>
      </c>
      <c r="H57">
        <f t="shared" ref="H57:H62" si="12">H56+I57</f>
        <v>14</v>
      </c>
      <c r="I57">
        <f t="shared" si="10"/>
        <v>8</v>
      </c>
      <c r="J57">
        <f t="shared" ref="J57:J62" si="13">_xlfn.NORM.DIST(F57,$N$54,$N$55,1)*50 - _xlfn.NORM.DIST(E57,$N$54,$N$55,1)*50</f>
        <v>6.3619878746489471</v>
      </c>
      <c r="K57">
        <f t="shared" ref="K57:K62" si="14">((J57-I57)^2)/J57</f>
        <v>0.42173669231413391</v>
      </c>
      <c r="M57" t="s">
        <v>35</v>
      </c>
      <c r="R57">
        <f>SUM(K56:K62)</f>
        <v>1.939029285855129</v>
      </c>
    </row>
    <row r="58" spans="1:28">
      <c r="D58" s="16">
        <v>3</v>
      </c>
      <c r="E58">
        <f t="shared" si="11"/>
        <v>-2.5289999999999999</v>
      </c>
      <c r="F58">
        <f>E58+$E$7/($E$8-1)</f>
        <v>-2.0579999999999998</v>
      </c>
      <c r="G58">
        <f t="shared" si="9"/>
        <v>-2.2934999999999999</v>
      </c>
      <c r="H58">
        <f t="shared" si="12"/>
        <v>20</v>
      </c>
      <c r="I58">
        <f t="shared" si="10"/>
        <v>6</v>
      </c>
      <c r="J58">
        <f t="shared" si="13"/>
        <v>8.4954717851572106</v>
      </c>
      <c r="K58">
        <f t="shared" si="14"/>
        <v>0.73302337857160882</v>
      </c>
      <c r="M58" t="s">
        <v>36</v>
      </c>
      <c r="R58">
        <f>_xlfn.CHISQ.INV(0.95,4)</f>
        <v>9.4877290367811575</v>
      </c>
    </row>
    <row r="59" spans="1:28">
      <c r="D59" s="16">
        <v>4</v>
      </c>
      <c r="E59">
        <f t="shared" si="11"/>
        <v>-2.0579999999999998</v>
      </c>
      <c r="F59">
        <f>E59+$E$7/($E$8-1)</f>
        <v>-1.5869999999999997</v>
      </c>
      <c r="G59">
        <f t="shared" si="9"/>
        <v>-1.8224999999999998</v>
      </c>
      <c r="H59">
        <f t="shared" si="12"/>
        <v>30</v>
      </c>
      <c r="I59">
        <f t="shared" si="10"/>
        <v>10</v>
      </c>
      <c r="J59">
        <f t="shared" si="13"/>
        <v>9.1738849449122633</v>
      </c>
      <c r="K59">
        <f t="shared" si="14"/>
        <v>7.439226547321183E-2</v>
      </c>
      <c r="M59" t="str">
        <f>"doplnok kritickeho oboru W_a = &lt;0, X^2_1-alfa&gt; = &lt; 0, " &amp; R58 &amp; "&gt;."</f>
        <v>doplnok kritickeho oboru W_a = &lt;0, X^2_1-alfa&gt; = &lt; 0, 9,48772903678116&gt;.</v>
      </c>
    </row>
    <row r="60" spans="1:28">
      <c r="D60" s="16">
        <v>5</v>
      </c>
      <c r="E60">
        <f t="shared" si="11"/>
        <v>-1.5869999999999997</v>
      </c>
      <c r="F60">
        <f>E60+$E$7/($E$8-1)</f>
        <v>-1.1159999999999997</v>
      </c>
      <c r="G60">
        <f t="shared" si="9"/>
        <v>-1.3514999999999997</v>
      </c>
      <c r="H60">
        <f t="shared" si="12"/>
        <v>40</v>
      </c>
      <c r="I60">
        <f t="shared" si="10"/>
        <v>10</v>
      </c>
      <c r="J60">
        <f t="shared" si="13"/>
        <v>8.0111155009982689</v>
      </c>
      <c r="K60">
        <f t="shared" si="14"/>
        <v>0.49377162891690307</v>
      </c>
    </row>
    <row r="61" spans="1:28">
      <c r="D61" s="16">
        <v>6</v>
      </c>
      <c r="E61">
        <f t="shared" si="11"/>
        <v>-1.1159999999999997</v>
      </c>
      <c r="F61">
        <f>E61+$E$7/($E$8-1)</f>
        <v>-0.64499999999999968</v>
      </c>
      <c r="G61">
        <f t="shared" si="9"/>
        <v>-0.88049999999999962</v>
      </c>
      <c r="H61">
        <f t="shared" si="12"/>
        <v>45</v>
      </c>
      <c r="I61">
        <f t="shared" si="10"/>
        <v>5</v>
      </c>
      <c r="J61">
        <f t="shared" si="13"/>
        <v>5.6572020432132035</v>
      </c>
      <c r="K61">
        <f t="shared" si="14"/>
        <v>7.6347728489168237E-2</v>
      </c>
      <c r="Y61" s="17"/>
      <c r="AB61" s="17"/>
    </row>
    <row r="62" spans="1:28">
      <c r="D62" s="16">
        <v>7</v>
      </c>
      <c r="E62">
        <f t="shared" si="11"/>
        <v>-0.64499999999999968</v>
      </c>
      <c r="F62">
        <v>1000</v>
      </c>
      <c r="G62">
        <f t="shared" si="9"/>
        <v>499.67750000000001</v>
      </c>
      <c r="H62">
        <f t="shared" si="12"/>
        <v>50</v>
      </c>
      <c r="I62">
        <f t="shared" si="10"/>
        <v>5</v>
      </c>
      <c r="J62">
        <f t="shared" si="13"/>
        <v>5.4977239738957024</v>
      </c>
      <c r="K62">
        <f t="shared" si="14"/>
        <v>4.5060311388275882E-2</v>
      </c>
    </row>
    <row r="63" spans="1:28">
      <c r="D63" s="16"/>
    </row>
    <row r="64" spans="1:28" ht="18.75">
      <c r="L64" s="69" t="str">
        <f>IF(AND(R57&gt;0,R57&lt;R58),"Nezamietame","zamietame")</f>
        <v>Nezamietame</v>
      </c>
    </row>
    <row r="66" spans="4:13">
      <c r="D66" s="19" t="s">
        <v>37</v>
      </c>
    </row>
    <row r="67" spans="4:13">
      <c r="D67" s="19" t="s">
        <v>38</v>
      </c>
    </row>
    <row r="68" spans="4:13">
      <c r="D68" s="19"/>
    </row>
    <row r="69" spans="4:13">
      <c r="D69" s="19" t="s">
        <v>39</v>
      </c>
      <c r="H69" s="19" t="s">
        <v>40</v>
      </c>
      <c r="L69" s="19" t="s">
        <v>41</v>
      </c>
    </row>
    <row r="70" spans="4:13">
      <c r="D70" t="s">
        <v>42</v>
      </c>
      <c r="E70">
        <v>0.05</v>
      </c>
      <c r="H70" t="s">
        <v>42</v>
      </c>
      <c r="I70">
        <v>0.05</v>
      </c>
    </row>
    <row r="71" spans="4:13">
      <c r="D71" t="s">
        <v>43</v>
      </c>
      <c r="E71">
        <f>E3-1</f>
        <v>49</v>
      </c>
      <c r="H71" t="s">
        <v>43</v>
      </c>
      <c r="I71">
        <f>E3-1</f>
        <v>49</v>
      </c>
    </row>
    <row r="72" spans="4:13">
      <c r="D72" t="s">
        <v>44</v>
      </c>
      <c r="E72">
        <f>TINV(E70,E71)</f>
        <v>2.0095752371292388</v>
      </c>
      <c r="H72" s="11" t="s">
        <v>45</v>
      </c>
      <c r="I72">
        <f>CHIINV(I70/2,I71)</f>
        <v>70.22241356643454</v>
      </c>
    </row>
    <row r="73" spans="4:13">
      <c r="D73" t="s">
        <v>46</v>
      </c>
      <c r="E73">
        <f>E42-E46/SQRT(E3-1)*E72</f>
        <v>-2.1754640196385742</v>
      </c>
      <c r="F73">
        <f>E42+E46/SQRT(E3-1)*E72</f>
        <v>-1.5997359803614273</v>
      </c>
      <c r="H73" t="s">
        <v>47</v>
      </c>
      <c r="I73">
        <f>CHIINV(1-I70/2,I71)</f>
        <v>31.554916462667144</v>
      </c>
    </row>
    <row r="74" spans="4:13">
      <c r="H74" t="s">
        <v>46</v>
      </c>
      <c r="I74">
        <f>E3*E45/I72</f>
        <v>0.71590692268700018</v>
      </c>
      <c r="J74">
        <f>E3*E45/I73</f>
        <v>1.593181590560635</v>
      </c>
      <c r="L74">
        <f>SQRT(I74)</f>
        <v>0.84611283094336787</v>
      </c>
      <c r="M74">
        <f>SQRT(J74)</f>
        <v>1.2622129735352252</v>
      </c>
    </row>
    <row r="76" spans="4:13">
      <c r="D76" t="s">
        <v>42</v>
      </c>
      <c r="E76">
        <v>0.01</v>
      </c>
      <c r="H76" t="s">
        <v>42</v>
      </c>
      <c r="I76">
        <v>0.01</v>
      </c>
    </row>
    <row r="77" spans="4:13">
      <c r="D77" t="s">
        <v>43</v>
      </c>
      <c r="E77">
        <f>E3-1</f>
        <v>49</v>
      </c>
      <c r="H77" t="s">
        <v>43</v>
      </c>
      <c r="I77">
        <f>E3-1</f>
        <v>49</v>
      </c>
    </row>
    <row r="78" spans="4:13">
      <c r="D78" t="s">
        <v>44</v>
      </c>
      <c r="E78">
        <f>TINV(E76,E77)</f>
        <v>2.6799519736315514</v>
      </c>
      <c r="H78" t="s">
        <v>45</v>
      </c>
      <c r="I78">
        <f>CHIINV(I76/2,I77)</f>
        <v>78.230708086689944</v>
      </c>
    </row>
    <row r="79" spans="4:13">
      <c r="D79" t="s">
        <v>46</v>
      </c>
      <c r="E79">
        <f>E42-E46/SQRT(E3-1)*E78</f>
        <v>-2.2714929408136881</v>
      </c>
      <c r="F79">
        <f>E42+E46/SQRT(E3-1)*E78</f>
        <v>-1.5037070591863133</v>
      </c>
      <c r="H79" t="s">
        <v>47</v>
      </c>
      <c r="I79">
        <f>CHIINV(1-I76/2,I77)</f>
        <v>27.249349069569636</v>
      </c>
    </row>
    <row r="80" spans="4:13">
      <c r="H80" t="s">
        <v>46</v>
      </c>
      <c r="I80">
        <f>E3*E45/I78</f>
        <v>0.64262120629524677</v>
      </c>
      <c r="J80">
        <f>E3*E45/I79</f>
        <v>1.8449142352593448</v>
      </c>
      <c r="L80">
        <f>SQRT(I80)</f>
        <v>0.80163657993834514</v>
      </c>
      <c r="M80">
        <f>SQRT(J80)</f>
        <v>1.3582761999164032</v>
      </c>
    </row>
    <row r="88" spans="4:6">
      <c r="D88" t="s">
        <v>48</v>
      </c>
    </row>
    <row r="89" spans="4:6">
      <c r="D89" t="s">
        <v>49</v>
      </c>
      <c r="E89">
        <v>0.05</v>
      </c>
    </row>
    <row r="90" spans="4:6">
      <c r="D90" t="s">
        <v>50</v>
      </c>
      <c r="E90">
        <v>0</v>
      </c>
    </row>
    <row r="91" spans="4:6">
      <c r="D91" t="s">
        <v>51</v>
      </c>
      <c r="E91">
        <f>((E50-E90)/E52)*SQRT(E3)</f>
        <v>-13.177312754708925</v>
      </c>
    </row>
    <row r="92" spans="4:6">
      <c r="D92" t="s">
        <v>52</v>
      </c>
      <c r="E92">
        <f>-1*E72</f>
        <v>-2.0095752371292388</v>
      </c>
      <c r="F92">
        <f>E72</f>
        <v>2.0095752371292388</v>
      </c>
    </row>
    <row r="95" spans="4:6">
      <c r="E95" s="19" t="str">
        <f>IF(AND(E91&gt;E92,E91&lt;F92),"Nezamietame","zamietame")</f>
        <v>zamietame</v>
      </c>
    </row>
    <row r="103" spans="3:7">
      <c r="D103" t="s">
        <v>53</v>
      </c>
    </row>
    <row r="104" spans="3:7">
      <c r="C104" s="21">
        <v>1</v>
      </c>
      <c r="D104" s="20">
        <f>A2</f>
        <v>-1.89</v>
      </c>
      <c r="F104" s="21">
        <v>21</v>
      </c>
      <c r="G104" s="20">
        <f>A22</f>
        <v>-1.92</v>
      </c>
    </row>
    <row r="105" spans="3:7">
      <c r="C105" s="21">
        <v>2</v>
      </c>
      <c r="D105" s="20">
        <f>A3</f>
        <v>-2.37</v>
      </c>
      <c r="F105" s="21">
        <v>22</v>
      </c>
      <c r="G105" s="20">
        <f>A23</f>
        <v>-0.73</v>
      </c>
    </row>
    <row r="106" spans="3:7">
      <c r="C106" s="21">
        <v>3</v>
      </c>
      <c r="D106" s="20">
        <f t="shared" ref="D106:D123" si="15">A4</f>
        <v>-2.06</v>
      </c>
      <c r="F106" s="21">
        <v>23</v>
      </c>
      <c r="G106" s="20">
        <f t="shared" ref="G106:G133" si="16">A24</f>
        <v>-2.5299999999999998</v>
      </c>
    </row>
    <row r="107" spans="3:7">
      <c r="C107" s="21">
        <v>4</v>
      </c>
      <c r="D107" s="20">
        <f t="shared" si="15"/>
        <v>-4.46</v>
      </c>
      <c r="F107" s="21">
        <v>24</v>
      </c>
      <c r="G107" s="20">
        <f t="shared" si="16"/>
        <v>-2.44</v>
      </c>
    </row>
    <row r="108" spans="3:7">
      <c r="C108" s="21">
        <v>5</v>
      </c>
      <c r="D108" s="20">
        <f t="shared" si="15"/>
        <v>-1.9</v>
      </c>
      <c r="F108" s="21">
        <v>25</v>
      </c>
      <c r="G108" s="20">
        <f t="shared" si="16"/>
        <v>-2.66</v>
      </c>
    </row>
    <row r="109" spans="3:7">
      <c r="C109" s="21">
        <v>6</v>
      </c>
      <c r="D109" s="20">
        <f t="shared" si="15"/>
        <v>-2.4</v>
      </c>
      <c r="F109" s="21">
        <v>26</v>
      </c>
      <c r="G109" s="20">
        <f t="shared" si="16"/>
        <v>-4.1900000000000004</v>
      </c>
    </row>
    <row r="110" spans="3:7">
      <c r="C110" s="21">
        <v>7</v>
      </c>
      <c r="D110" s="20">
        <f t="shared" si="15"/>
        <v>-1.0900000000000001</v>
      </c>
      <c r="F110" s="21">
        <v>27</v>
      </c>
      <c r="G110" s="20">
        <f t="shared" si="16"/>
        <v>-0.37</v>
      </c>
    </row>
    <row r="111" spans="3:7">
      <c r="C111" s="21">
        <v>8</v>
      </c>
      <c r="D111" s="20">
        <f t="shared" si="15"/>
        <v>-2.5299999999999998</v>
      </c>
      <c r="F111" s="21">
        <v>28</v>
      </c>
      <c r="G111" s="20">
        <f t="shared" si="16"/>
        <v>-1.76</v>
      </c>
    </row>
    <row r="112" spans="3:7">
      <c r="C112" s="21">
        <v>9</v>
      </c>
      <c r="D112" s="20">
        <f t="shared" si="15"/>
        <v>-1.49</v>
      </c>
      <c r="F112" s="21">
        <v>29</v>
      </c>
      <c r="G112" s="20">
        <f t="shared" si="16"/>
        <v>-3.47</v>
      </c>
    </row>
    <row r="113" spans="3:7">
      <c r="C113" s="21">
        <v>10</v>
      </c>
      <c r="D113" s="20">
        <f t="shared" si="15"/>
        <v>-1.73</v>
      </c>
      <c r="F113" s="21">
        <v>30</v>
      </c>
      <c r="G113" s="20">
        <f t="shared" si="16"/>
        <v>-1.52</v>
      </c>
    </row>
    <row r="114" spans="3:7">
      <c r="C114" s="21">
        <v>11</v>
      </c>
      <c r="D114" s="20">
        <f t="shared" si="15"/>
        <v>-1.96</v>
      </c>
      <c r="F114" s="21">
        <v>31</v>
      </c>
      <c r="G114" s="20">
        <f t="shared" si="16"/>
        <v>0.25</v>
      </c>
    </row>
    <row r="115" spans="3:7">
      <c r="C115" s="21">
        <v>12</v>
      </c>
      <c r="D115" s="20">
        <f t="shared" si="15"/>
        <v>-2.11</v>
      </c>
      <c r="F115" s="21">
        <v>32</v>
      </c>
      <c r="G115" s="20">
        <f t="shared" si="16"/>
        <v>-0.68</v>
      </c>
    </row>
    <row r="116" spans="3:7">
      <c r="C116" s="21">
        <v>13</v>
      </c>
      <c r="D116" s="20">
        <f t="shared" si="15"/>
        <v>-2.66</v>
      </c>
      <c r="F116" s="21">
        <v>33</v>
      </c>
      <c r="G116" s="20">
        <f t="shared" si="16"/>
        <v>-1.73</v>
      </c>
    </row>
    <row r="117" spans="3:7">
      <c r="C117" s="21">
        <v>14</v>
      </c>
      <c r="D117" s="20">
        <f t="shared" si="15"/>
        <v>-1.21</v>
      </c>
      <c r="F117" s="21">
        <v>34</v>
      </c>
      <c r="G117" s="20">
        <f t="shared" si="16"/>
        <v>-1.51</v>
      </c>
    </row>
    <row r="118" spans="3:7">
      <c r="C118" s="21">
        <v>15</v>
      </c>
      <c r="D118" s="20">
        <f t="shared" si="15"/>
        <v>-0.09</v>
      </c>
      <c r="F118" s="21">
        <v>35</v>
      </c>
      <c r="G118" s="20">
        <f t="shared" si="16"/>
        <v>-1.76</v>
      </c>
    </row>
    <row r="119" spans="3:7">
      <c r="C119" s="21">
        <v>16</v>
      </c>
      <c r="D119" s="20">
        <f t="shared" si="15"/>
        <v>-1.37</v>
      </c>
      <c r="F119" s="21">
        <v>36</v>
      </c>
      <c r="G119" s="20">
        <f t="shared" si="16"/>
        <v>-2.13</v>
      </c>
    </row>
    <row r="120" spans="3:7">
      <c r="C120" s="21">
        <v>17</v>
      </c>
      <c r="D120" s="20">
        <f t="shared" si="15"/>
        <v>-1.43</v>
      </c>
      <c r="F120" s="21">
        <v>37</v>
      </c>
      <c r="G120" s="20">
        <f t="shared" si="16"/>
        <v>-0.68</v>
      </c>
    </row>
    <row r="121" spans="3:7">
      <c r="C121" s="21">
        <v>18</v>
      </c>
      <c r="D121" s="20">
        <f t="shared" si="15"/>
        <v>-2.89</v>
      </c>
      <c r="F121" s="21">
        <v>38</v>
      </c>
      <c r="G121" s="20">
        <f t="shared" si="16"/>
        <v>-1.28</v>
      </c>
    </row>
    <row r="122" spans="3:7">
      <c r="C122" s="21">
        <v>19</v>
      </c>
      <c r="D122" s="20">
        <f t="shared" si="15"/>
        <v>-1.55</v>
      </c>
      <c r="F122" s="21">
        <v>39</v>
      </c>
      <c r="G122" s="20">
        <f t="shared" si="16"/>
        <v>-2.02</v>
      </c>
    </row>
    <row r="123" spans="3:7">
      <c r="C123" s="21">
        <v>20</v>
      </c>
      <c r="D123" s="20">
        <f t="shared" si="15"/>
        <v>-0.28999999999999998</v>
      </c>
      <c r="F123" s="21">
        <v>40</v>
      </c>
      <c r="G123" s="20">
        <f t="shared" si="16"/>
        <v>-0.35</v>
      </c>
    </row>
    <row r="124" spans="3:7">
      <c r="F124" s="21">
        <v>41</v>
      </c>
      <c r="G124" s="20">
        <f t="shared" si="16"/>
        <v>-2.86</v>
      </c>
    </row>
    <row r="125" spans="3:7">
      <c r="F125" s="21">
        <v>42</v>
      </c>
      <c r="G125" s="20">
        <f t="shared" si="16"/>
        <v>-0.85</v>
      </c>
    </row>
    <row r="126" spans="3:7">
      <c r="F126" s="21">
        <v>43</v>
      </c>
      <c r="G126" s="20">
        <f t="shared" si="16"/>
        <v>-2.79</v>
      </c>
    </row>
    <row r="127" spans="3:7">
      <c r="F127" s="21">
        <v>44</v>
      </c>
      <c r="G127" s="20">
        <f t="shared" si="16"/>
        <v>-3.29</v>
      </c>
    </row>
    <row r="128" spans="3:7">
      <c r="F128" s="21">
        <v>45</v>
      </c>
      <c r="G128" s="20">
        <f t="shared" si="16"/>
        <v>-1.28</v>
      </c>
    </row>
    <row r="129" spans="1:8">
      <c r="F129" s="21">
        <v>46</v>
      </c>
      <c r="G129" s="20">
        <f t="shared" si="16"/>
        <v>-3.3</v>
      </c>
    </row>
    <row r="130" spans="1:8">
      <c r="F130" s="21">
        <v>47</v>
      </c>
      <c r="G130" s="20">
        <f t="shared" si="16"/>
        <v>-1.28</v>
      </c>
    </row>
    <row r="131" spans="1:8">
      <c r="F131" s="21">
        <v>48</v>
      </c>
      <c r="G131" s="20">
        <f t="shared" si="16"/>
        <v>-1.8</v>
      </c>
    </row>
    <row r="132" spans="1:8">
      <c r="F132" s="21">
        <v>49</v>
      </c>
      <c r="G132" s="20">
        <f t="shared" si="16"/>
        <v>-2.81</v>
      </c>
    </row>
    <row r="133" spans="1:8">
      <c r="F133" s="21">
        <v>50</v>
      </c>
      <c r="G133" s="20">
        <f t="shared" si="16"/>
        <v>-3.16</v>
      </c>
    </row>
    <row r="135" spans="1:8">
      <c r="C135" t="s">
        <v>54</v>
      </c>
      <c r="D135">
        <f>COUNT(D104:D123)</f>
        <v>20</v>
      </c>
      <c r="F135" t="s">
        <v>54</v>
      </c>
      <c r="G135" s="22">
        <f>COUNT(G104:G133)</f>
        <v>30</v>
      </c>
    </row>
    <row r="136" spans="1:8">
      <c r="C136" t="s">
        <v>31</v>
      </c>
      <c r="D136">
        <f>AVERAGE(D104:D123)</f>
        <v>-1.8740000000000001</v>
      </c>
      <c r="F136" t="s">
        <v>31</v>
      </c>
      <c r="G136">
        <f>AVERAGE(G104:G133)</f>
        <v>-1.8966666666666669</v>
      </c>
    </row>
    <row r="137" spans="1:8">
      <c r="C137" s="44" t="s">
        <v>55</v>
      </c>
      <c r="D137" s="44" cm="1">
        <f t="array" ref="D137" xml:space="preserve"> SUM(POWER(D104:D123,2))/$D$135 - POWER($D$136,2)</f>
        <v>0.84303400000000073</v>
      </c>
      <c r="E137" s="44"/>
      <c r="F137" s="44" t="s">
        <v>55</v>
      </c>
      <c r="G137" s="44" cm="1">
        <f t="array" ref="G137" xml:space="preserve"> SUM(POWER(G104:G133,2))/$G$135 - POWER($G$136,2)</f>
        <v>1.1135288888888883</v>
      </c>
      <c r="H137" t="s">
        <v>56</v>
      </c>
    </row>
    <row r="138" spans="1:8">
      <c r="C138" s="47" t="s">
        <v>57</v>
      </c>
      <c r="D138" s="48">
        <f>POWER(D137,1/2)</f>
        <v>0.91816882979112324</v>
      </c>
      <c r="E138" s="47"/>
      <c r="F138" s="47" t="s">
        <v>57</v>
      </c>
      <c r="G138" s="47">
        <f>POWER(G137,1/2)</f>
        <v>1.0552387828775478</v>
      </c>
    </row>
    <row r="139" spans="1:8" ht="15.75" thickBot="1">
      <c r="C139" t="s">
        <v>58</v>
      </c>
      <c r="D139" cm="1">
        <f t="array" ref="D139">SUM(POWER(D104:D123-$D$136,2))/(D135-1)</f>
        <v>0.88740421052631568</v>
      </c>
      <c r="F139" t="s">
        <v>59</v>
      </c>
      <c r="G139" cm="1">
        <f t="array" ref="G139">SUM(POWER(G104:G133-$G$136,2))/(G135-1)</f>
        <v>1.1519264367816093</v>
      </c>
    </row>
    <row r="140" spans="1:8" ht="15.75" thickBot="1">
      <c r="C140" s="30">
        <f>D137</f>
        <v>0.84303400000000073</v>
      </c>
    </row>
    <row r="141" spans="1:8" ht="15.75" thickBot="1">
      <c r="C141" s="30">
        <f>G137</f>
        <v>1.1135288888888883</v>
      </c>
      <c r="D141" t="s">
        <v>60</v>
      </c>
      <c r="E141">
        <f>C140/C141</f>
        <v>0.75708318698512145</v>
      </c>
    </row>
    <row r="143" spans="1:8">
      <c r="A143" t="s">
        <v>61</v>
      </c>
      <c r="B143">
        <f>D135-1</f>
        <v>19</v>
      </c>
    </row>
    <row r="144" spans="1:8">
      <c r="A144" t="s">
        <v>62</v>
      </c>
      <c r="B144">
        <f>G135-1</f>
        <v>29</v>
      </c>
    </row>
    <row r="145" spans="1:12">
      <c r="A145" t="s">
        <v>63</v>
      </c>
      <c r="B145">
        <f>FINV(1-B148/2,B143,B144)</f>
        <v>0.41632966758773421</v>
      </c>
      <c r="C145" s="17"/>
    </row>
    <row r="146" spans="1:12">
      <c r="A146" t="s">
        <v>64</v>
      </c>
      <c r="B146">
        <f>FINV(B148/2,B143,B144)</f>
        <v>2.2312738331007598</v>
      </c>
    </row>
    <row r="147" spans="1:12">
      <c r="A147" t="s">
        <v>65</v>
      </c>
    </row>
    <row r="148" spans="1:12">
      <c r="A148" t="s">
        <v>49</v>
      </c>
      <c r="B148">
        <v>0.05</v>
      </c>
    </row>
    <row r="151" spans="1:12" ht="19.5">
      <c r="D151" s="41" t="str">
        <f>IF(AND(E141&gt;B145,E141&lt;B146),"Nezamietame","zamietame")</f>
        <v>Nezamietame</v>
      </c>
    </row>
    <row r="156" spans="1:12">
      <c r="K156" s="46" t="s">
        <v>66</v>
      </c>
    </row>
    <row r="157" spans="1:12">
      <c r="E157" s="39">
        <f>((D136-G136)/POWER((D135-1)*D139+(G135-1)*G139,1/2))*POWER((D135*G135*(D135+G135-2))/(D135+G135),1/2)</f>
        <v>7.6728971122732775E-2</v>
      </c>
      <c r="H157" s="43"/>
      <c r="K157" s="45">
        <f>((D136-G136)/POWER((D135-1)*D137+(G135-1)*G137,1/2))*POWER((D135*G135*(D135+G135-2))/(D135+G135),1/2)</f>
        <v>7.8267318332057884E-2</v>
      </c>
      <c r="L157" s="44" t="s">
        <v>67</v>
      </c>
    </row>
    <row r="160" spans="1:12">
      <c r="A160" t="s">
        <v>43</v>
      </c>
      <c r="B160">
        <f>D135+G135-2</f>
        <v>48</v>
      </c>
      <c r="G160">
        <v>7.6728971000000007E-2</v>
      </c>
      <c r="H160" t="s">
        <v>68</v>
      </c>
    </row>
    <row r="161" spans="1:4">
      <c r="A161" t="s">
        <v>49</v>
      </c>
      <c r="B161">
        <v>0.05</v>
      </c>
      <c r="C161">
        <f>1-B161/2</f>
        <v>0.97499999999999998</v>
      </c>
    </row>
    <row r="162" spans="1:4">
      <c r="A162" t="s">
        <v>69</v>
      </c>
      <c r="B162">
        <f>TINV(B161,B160)</f>
        <v>2.0106347576242314</v>
      </c>
    </row>
    <row r="163" spans="1:4">
      <c r="A163" t="s">
        <v>52</v>
      </c>
    </row>
    <row r="164" spans="1:4">
      <c r="A164" s="40">
        <f>-B162</f>
        <v>-2.0106347576242314</v>
      </c>
      <c r="B164" s="40">
        <f>B162</f>
        <v>2.0106347576242314</v>
      </c>
    </row>
    <row r="167" spans="1:4">
      <c r="D167" s="42" t="str">
        <f>IF(AND(K157&gt;A164,K157&lt;B164),"Nezamietame","zamietame")</f>
        <v>Nezamietame</v>
      </c>
    </row>
    <row r="181" spans="4:4">
      <c r="D181" s="9"/>
    </row>
    <row r="182" spans="4:4">
      <c r="D182" s="9"/>
    </row>
    <row r="183" spans="4:4" outlineLevel="1"/>
    <row r="184" spans="4:4" outlineLevel="1"/>
  </sheetData>
  <sortState xmlns:xlrd2="http://schemas.microsoft.com/office/spreadsheetml/2017/richdata2" ref="B2:B51">
    <sortCondition ref="B2:B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321C-119D-4047-A74A-43E32C8D6C56}">
  <dimension ref="A1:M115"/>
  <sheetViews>
    <sheetView tabSelected="1" topLeftCell="A19" zoomScale="115" zoomScaleNormal="115" workbookViewId="0">
      <selection activeCell="U33" sqref="U33"/>
    </sheetView>
  </sheetViews>
  <sheetFormatPr defaultRowHeight="15"/>
  <cols>
    <col min="1" max="1" width="18" bestFit="1" customWidth="1"/>
    <col min="2" max="2" width="14.42578125" bestFit="1" customWidth="1"/>
    <col min="3" max="3" width="14.5703125" bestFit="1" customWidth="1"/>
    <col min="4" max="4" width="12.7109375" bestFit="1" customWidth="1"/>
    <col min="5" max="5" width="12" customWidth="1"/>
    <col min="6" max="6" width="13.42578125" bestFit="1" customWidth="1"/>
    <col min="7" max="7" width="12.7109375" bestFit="1" customWidth="1"/>
    <col min="8" max="8" width="13.42578125" bestFit="1" customWidth="1"/>
    <col min="9" max="9" width="12.7109375" bestFit="1" customWidth="1"/>
    <col min="10" max="10" width="15" customWidth="1"/>
    <col min="11" max="11" width="12.5703125" bestFit="1" customWidth="1"/>
    <col min="12" max="12" width="11.7109375" bestFit="1" customWidth="1"/>
    <col min="13" max="13" width="11" bestFit="1" customWidth="1"/>
  </cols>
  <sheetData>
    <row r="1" spans="1:9" ht="15.75" thickBot="1">
      <c r="A1" s="30"/>
      <c r="B1" s="28" t="s">
        <v>70</v>
      </c>
      <c r="C1" s="28" t="s">
        <v>71</v>
      </c>
      <c r="D1" s="36" t="s">
        <v>72</v>
      </c>
      <c r="E1" s="28" t="s">
        <v>73</v>
      </c>
      <c r="F1" s="29" t="s">
        <v>74</v>
      </c>
    </row>
    <row r="2" spans="1:9">
      <c r="A2" s="31"/>
      <c r="B2" s="23">
        <v>164</v>
      </c>
      <c r="C2" s="23">
        <v>34.128320000000002</v>
      </c>
      <c r="D2" s="23">
        <f t="shared" ref="D2:D21" si="0">B2^2</f>
        <v>26896</v>
      </c>
      <c r="E2" s="23">
        <f t="shared" ref="E2:E21" si="1">C2^2</f>
        <v>1164.7422260224002</v>
      </c>
      <c r="F2" s="24">
        <f t="shared" ref="F2:F21" si="2">B2*C2</f>
        <v>5597.0444800000005</v>
      </c>
      <c r="H2" s="56" t="s">
        <v>54</v>
      </c>
      <c r="I2" s="51">
        <v>20</v>
      </c>
    </row>
    <row r="3" spans="1:9">
      <c r="A3" s="31"/>
      <c r="B3" s="23">
        <v>180</v>
      </c>
      <c r="C3" s="23">
        <v>77.239180000000005</v>
      </c>
      <c r="D3" s="23">
        <f t="shared" si="0"/>
        <v>32400</v>
      </c>
      <c r="E3" s="23">
        <f t="shared" si="1"/>
        <v>5965.8909270724007</v>
      </c>
      <c r="F3" s="24">
        <f t="shared" si="2"/>
        <v>13903.0524</v>
      </c>
      <c r="H3" s="52" t="s">
        <v>75</v>
      </c>
      <c r="I3" s="54">
        <f>AVERAGE(B2:B21)</f>
        <v>172.25</v>
      </c>
    </row>
    <row r="4" spans="1:9">
      <c r="A4" s="31"/>
      <c r="B4" s="23">
        <v>181</v>
      </c>
      <c r="C4" s="23">
        <v>76.902060000000006</v>
      </c>
      <c r="D4" s="23">
        <f t="shared" si="0"/>
        <v>32761</v>
      </c>
      <c r="E4" s="23">
        <f t="shared" si="1"/>
        <v>5913.926832243601</v>
      </c>
      <c r="F4" s="24">
        <f t="shared" si="2"/>
        <v>13919.272860000001</v>
      </c>
      <c r="H4" s="52" t="s">
        <v>76</v>
      </c>
      <c r="I4" s="54">
        <f>AVERAGE(C2:C21)</f>
        <v>60.333849000000008</v>
      </c>
    </row>
    <row r="5" spans="1:9">
      <c r="A5" s="31"/>
      <c r="B5" s="23">
        <v>192</v>
      </c>
      <c r="C5" s="23">
        <v>91.806979999999996</v>
      </c>
      <c r="D5" s="23">
        <f t="shared" si="0"/>
        <v>36864</v>
      </c>
      <c r="E5" s="23">
        <f t="shared" si="1"/>
        <v>8428.521576720399</v>
      </c>
      <c r="F5" s="24">
        <f t="shared" si="2"/>
        <v>17626.940159999998</v>
      </c>
      <c r="H5" s="59" t="s">
        <v>77</v>
      </c>
      <c r="I5" s="60">
        <f>I2*D22-B22^2</f>
        <v>97515</v>
      </c>
    </row>
    <row r="6" spans="1:9">
      <c r="A6" s="31"/>
      <c r="B6" s="23">
        <v>151</v>
      </c>
      <c r="C6" s="23">
        <v>40.857640000000004</v>
      </c>
      <c r="D6" s="23">
        <f t="shared" si="0"/>
        <v>22801</v>
      </c>
      <c r="E6" s="23">
        <f t="shared" si="1"/>
        <v>1669.3467463696004</v>
      </c>
      <c r="F6" s="24">
        <f t="shared" si="2"/>
        <v>6169.5036400000008</v>
      </c>
    </row>
    <row r="7" spans="1:9">
      <c r="A7" s="31"/>
      <c r="B7" s="23">
        <v>173</v>
      </c>
      <c r="C7" s="23">
        <v>75.133849999999995</v>
      </c>
      <c r="D7" s="23">
        <f t="shared" si="0"/>
        <v>29929</v>
      </c>
      <c r="E7" s="23">
        <f t="shared" si="1"/>
        <v>5645.0954158224995</v>
      </c>
      <c r="F7" s="24">
        <f t="shared" si="2"/>
        <v>12998.15605</v>
      </c>
    </row>
    <row r="8" spans="1:9">
      <c r="A8" s="31"/>
      <c r="B8" s="23">
        <v>191</v>
      </c>
      <c r="C8" s="23">
        <v>75.252979999999994</v>
      </c>
      <c r="D8" s="23">
        <f t="shared" si="0"/>
        <v>36481</v>
      </c>
      <c r="E8" s="23">
        <f t="shared" si="1"/>
        <v>5663.0109988803988</v>
      </c>
      <c r="F8" s="24">
        <f t="shared" si="2"/>
        <v>14373.319179999999</v>
      </c>
    </row>
    <row r="9" spans="1:9">
      <c r="A9" s="31"/>
      <c r="B9" s="23">
        <v>154</v>
      </c>
      <c r="C9" s="23">
        <v>32.43271</v>
      </c>
      <c r="D9" s="23">
        <f t="shared" si="0"/>
        <v>23716</v>
      </c>
      <c r="E9" s="23">
        <f t="shared" si="1"/>
        <v>1051.8806779440999</v>
      </c>
      <c r="F9" s="24">
        <f t="shared" si="2"/>
        <v>4994.6373400000002</v>
      </c>
    </row>
    <row r="10" spans="1:9">
      <c r="A10" s="31"/>
      <c r="B10" s="23">
        <v>199</v>
      </c>
      <c r="C10" s="23">
        <v>82.521600000000007</v>
      </c>
      <c r="D10" s="23">
        <f t="shared" si="0"/>
        <v>39601</v>
      </c>
      <c r="E10" s="23">
        <f t="shared" si="1"/>
        <v>6809.8144665600012</v>
      </c>
      <c r="F10" s="24">
        <f t="shared" si="2"/>
        <v>16421.7984</v>
      </c>
    </row>
    <row r="11" spans="1:9">
      <c r="A11" s="31"/>
      <c r="B11" s="23">
        <v>153</v>
      </c>
      <c r="C11" s="23">
        <v>44.211840000000002</v>
      </c>
      <c r="D11" s="23">
        <f t="shared" si="0"/>
        <v>23409</v>
      </c>
      <c r="E11" s="23">
        <f t="shared" si="1"/>
        <v>1954.6867961856001</v>
      </c>
      <c r="F11" s="24">
        <f t="shared" si="2"/>
        <v>6764.4115200000006</v>
      </c>
    </row>
    <row r="12" spans="1:9">
      <c r="A12" s="31"/>
      <c r="B12" s="23">
        <v>176</v>
      </c>
      <c r="C12" s="23">
        <v>63.445</v>
      </c>
      <c r="D12" s="23">
        <f t="shared" si="0"/>
        <v>30976</v>
      </c>
      <c r="E12" s="23">
        <f t="shared" si="1"/>
        <v>4025.2680249999999</v>
      </c>
      <c r="F12" s="24">
        <f t="shared" si="2"/>
        <v>11166.32</v>
      </c>
    </row>
    <row r="13" spans="1:9">
      <c r="A13" s="31"/>
      <c r="B13" s="23">
        <v>167</v>
      </c>
      <c r="C13" s="23">
        <v>51.785980000000002</v>
      </c>
      <c r="D13" s="23">
        <f t="shared" si="0"/>
        <v>27889</v>
      </c>
      <c r="E13" s="23">
        <f t="shared" si="1"/>
        <v>2681.7877245604004</v>
      </c>
      <c r="F13" s="24">
        <f t="shared" si="2"/>
        <v>8648.2586599999995</v>
      </c>
    </row>
    <row r="14" spans="1:9">
      <c r="A14" s="31"/>
      <c r="B14" s="23">
        <v>199</v>
      </c>
      <c r="C14" s="23">
        <v>90.557670000000002</v>
      </c>
      <c r="D14" s="23">
        <f t="shared" si="0"/>
        <v>39601</v>
      </c>
      <c r="E14" s="23">
        <f t="shared" si="1"/>
        <v>8200.691595828901</v>
      </c>
      <c r="F14" s="24">
        <f t="shared" si="2"/>
        <v>18020.976330000001</v>
      </c>
    </row>
    <row r="15" spans="1:9">
      <c r="A15" s="31"/>
      <c r="B15" s="23">
        <v>183</v>
      </c>
      <c r="C15" s="23">
        <v>65.891530000000003</v>
      </c>
      <c r="D15" s="23">
        <f t="shared" si="0"/>
        <v>33489</v>
      </c>
      <c r="E15" s="23">
        <f t="shared" si="1"/>
        <v>4341.6937257409008</v>
      </c>
      <c r="F15" s="24">
        <f t="shared" si="2"/>
        <v>12058.14999</v>
      </c>
      <c r="H15" s="14" t="s">
        <v>78</v>
      </c>
    </row>
    <row r="16" spans="1:9">
      <c r="A16" s="31"/>
      <c r="B16" s="23">
        <v>172</v>
      </c>
      <c r="C16" s="23">
        <v>73.022549999999995</v>
      </c>
      <c r="D16" s="23">
        <f t="shared" si="0"/>
        <v>29584</v>
      </c>
      <c r="E16" s="23">
        <f t="shared" si="1"/>
        <v>5332.2928085024996</v>
      </c>
      <c r="F16" s="24">
        <f t="shared" si="2"/>
        <v>12559.8786</v>
      </c>
      <c r="H16" s="61" t="s">
        <v>79</v>
      </c>
      <c r="I16" s="62">
        <f>(F22-I2*I3*I4)/(SQRT((D22-I2*I3^2)*(E22-I2*I4^2)))</f>
        <v>0.90820933310902541</v>
      </c>
    </row>
    <row r="17" spans="1:12">
      <c r="A17" s="31"/>
      <c r="B17" s="23">
        <v>151</v>
      </c>
      <c r="C17" s="23">
        <v>33.522309999999997</v>
      </c>
      <c r="D17" s="23">
        <f t="shared" si="0"/>
        <v>22801</v>
      </c>
      <c r="E17" s="23">
        <f t="shared" si="1"/>
        <v>1123.7452677360998</v>
      </c>
      <c r="F17" s="24">
        <f t="shared" si="2"/>
        <v>5061.8688099999999</v>
      </c>
      <c r="H17" t="s">
        <v>80</v>
      </c>
      <c r="I17">
        <f>POWER(I16,2)</f>
        <v>0.82484419274634069</v>
      </c>
    </row>
    <row r="18" spans="1:12">
      <c r="A18" s="31"/>
      <c r="B18" s="23">
        <v>177</v>
      </c>
      <c r="C18" s="23">
        <v>65.671310000000005</v>
      </c>
      <c r="D18" s="23">
        <f t="shared" si="0"/>
        <v>31329</v>
      </c>
      <c r="E18" s="23">
        <f t="shared" si="1"/>
        <v>4312.7209571161011</v>
      </c>
      <c r="F18" s="24">
        <f t="shared" si="2"/>
        <v>11623.821870000002</v>
      </c>
    </row>
    <row r="19" spans="1:12">
      <c r="A19" s="31"/>
      <c r="B19" s="23">
        <v>154</v>
      </c>
      <c r="C19" s="23">
        <v>37.848129999999998</v>
      </c>
      <c r="D19" s="23">
        <f t="shared" si="0"/>
        <v>23716</v>
      </c>
      <c r="E19" s="23">
        <f t="shared" si="1"/>
        <v>1432.4809444968998</v>
      </c>
      <c r="F19" s="24">
        <f t="shared" si="2"/>
        <v>5828.6120199999996</v>
      </c>
    </row>
    <row r="20" spans="1:12">
      <c r="A20" s="31"/>
      <c r="B20" s="23">
        <v>153</v>
      </c>
      <c r="C20" s="23">
        <v>43.550240000000002</v>
      </c>
      <c r="D20" s="23">
        <f t="shared" si="0"/>
        <v>23409</v>
      </c>
      <c r="E20" s="23">
        <f t="shared" si="1"/>
        <v>1896.6234040576003</v>
      </c>
      <c r="F20" s="24">
        <f t="shared" si="2"/>
        <v>6663.1867200000006</v>
      </c>
    </row>
    <row r="21" spans="1:12" ht="15.75" thickBot="1">
      <c r="A21" s="31"/>
      <c r="B21" s="23">
        <v>175</v>
      </c>
      <c r="C21" s="23">
        <v>50.895099999999999</v>
      </c>
      <c r="D21" s="23">
        <f t="shared" si="0"/>
        <v>30625</v>
      </c>
      <c r="E21" s="23">
        <f t="shared" si="1"/>
        <v>2590.31120401</v>
      </c>
      <c r="F21" s="24">
        <f t="shared" si="2"/>
        <v>8906.6424999999999</v>
      </c>
    </row>
    <row r="22" spans="1:12">
      <c r="A22" s="33" t="s">
        <v>81</v>
      </c>
      <c r="B22" s="34">
        <f>SUM(B2:B21)</f>
        <v>3445</v>
      </c>
      <c r="C22" s="34">
        <f>SUM(C2:C21)</f>
        <v>1206.6769800000002</v>
      </c>
      <c r="D22" s="34">
        <f>SUM(D2:D21)</f>
        <v>598277</v>
      </c>
      <c r="E22" s="34">
        <f>SUM(E2:E21)</f>
        <v>80204.532320870392</v>
      </c>
      <c r="F22" s="35">
        <f>SUM(F2:F21)</f>
        <v>213305.85152999999</v>
      </c>
    </row>
    <row r="23" spans="1:12" ht="15.75" thickBot="1">
      <c r="A23" s="32" t="s">
        <v>82</v>
      </c>
      <c r="B23" s="25">
        <f>B22/I2</f>
        <v>172.25</v>
      </c>
      <c r="C23" s="25">
        <f>C22/I2</f>
        <v>60.333849000000008</v>
      </c>
      <c r="D23" s="26"/>
      <c r="E23" s="26"/>
      <c r="F23" s="27"/>
      <c r="H23" s="14" t="s">
        <v>83</v>
      </c>
    </row>
    <row r="24" spans="1:12">
      <c r="H24" s="56" t="s">
        <v>84</v>
      </c>
      <c r="I24" s="51">
        <f>(ABS(I16)*SQRT(I2-2))/(SQRT(1-I16^2))</f>
        <v>9.2068261528822166</v>
      </c>
    </row>
    <row r="25" spans="1:12">
      <c r="H25" s="52" t="s">
        <v>85</v>
      </c>
      <c r="I25" s="54">
        <f>_xlfn.T.INV(0.975,I2-2)</f>
        <v>2.1009220402410378</v>
      </c>
      <c r="J25" t="s">
        <v>52</v>
      </c>
      <c r="K25">
        <v>0</v>
      </c>
      <c r="L25">
        <f>I25</f>
        <v>2.1009220402410378</v>
      </c>
    </row>
    <row r="26" spans="1:12" ht="15.75">
      <c r="H26" s="75" t="str">
        <f>IF(AND(I24&gt;0,I24&lt;I25),"Nezamietame","Zamietame")</f>
        <v>Zamietame</v>
      </c>
      <c r="I26" s="60"/>
    </row>
    <row r="30" spans="1:12">
      <c r="H30" s="14" t="s">
        <v>86</v>
      </c>
    </row>
    <row r="31" spans="1:12">
      <c r="H31" s="14" t="s">
        <v>87</v>
      </c>
    </row>
    <row r="32" spans="1:12">
      <c r="H32" s="56" t="s">
        <v>88</v>
      </c>
      <c r="I32" s="51">
        <f>1/I5*(I2*F22-B22*C22)</f>
        <v>1.118954360867553</v>
      </c>
    </row>
    <row r="33" spans="1:13">
      <c r="H33" s="52" t="s">
        <v>89</v>
      </c>
      <c r="I33" s="54">
        <f>I4-I32*I3</f>
        <v>-132.40603965943598</v>
      </c>
      <c r="J33" s="67"/>
    </row>
    <row r="34" spans="1:13">
      <c r="H34" s="52" t="s">
        <v>90</v>
      </c>
      <c r="I34" s="54"/>
      <c r="J34" s="67"/>
    </row>
    <row r="35" spans="1:13">
      <c r="H35" s="52" t="s">
        <v>91</v>
      </c>
      <c r="I35" s="54">
        <f>E22-I33*C22-I32*F22</f>
        <v>1296.3396228185447</v>
      </c>
      <c r="J35" s="67"/>
    </row>
    <row r="36" spans="1:13">
      <c r="H36" s="52" t="s">
        <v>24</v>
      </c>
      <c r="I36" s="54">
        <f>I35/(I2-2)</f>
        <v>72.018867934363598</v>
      </c>
    </row>
    <row r="37" spans="1:13">
      <c r="H37" s="59" t="s">
        <v>25</v>
      </c>
      <c r="I37" s="60">
        <f>SQRT(I36)</f>
        <v>8.4863931051044066</v>
      </c>
    </row>
    <row r="38" spans="1:13">
      <c r="G38" t="s">
        <v>92</v>
      </c>
      <c r="H38" s="57" t="s">
        <v>93</v>
      </c>
      <c r="I38" s="53">
        <f>I2-2</f>
        <v>18</v>
      </c>
      <c r="J38" s="51"/>
    </row>
    <row r="39" spans="1:13">
      <c r="H39" s="52" t="s">
        <v>49</v>
      </c>
      <c r="I39" s="53">
        <v>0.05</v>
      </c>
      <c r="J39" s="54"/>
    </row>
    <row r="40" spans="1:13">
      <c r="H40" s="56" t="s">
        <v>94</v>
      </c>
      <c r="I40" s="50">
        <f>D22/I5</f>
        <v>6.1352304773624571</v>
      </c>
      <c r="J40" s="50"/>
      <c r="K40" s="68" t="s">
        <v>95</v>
      </c>
      <c r="L40" s="62">
        <v>-100</v>
      </c>
    </row>
    <row r="41" spans="1:13">
      <c r="H41" s="52" t="s">
        <v>69</v>
      </c>
      <c r="I41" s="83">
        <f>(I33-L40)/(I37*SQRT(I40))</f>
        <v>-1.541655628630676</v>
      </c>
      <c r="J41" s="84" t="s">
        <v>96</v>
      </c>
      <c r="K41" s="67"/>
    </row>
    <row r="42" spans="1:13">
      <c r="H42" s="58" t="s">
        <v>85</v>
      </c>
      <c r="I42" s="49">
        <f>_xlfn.T.INV(0.975,I2-2)</f>
        <v>2.1009220402410378</v>
      </c>
      <c r="J42" s="76" t="str">
        <f>IF(AND(I41&gt;L42,I41&lt;M42),"Nezamietame","Zamietame")</f>
        <v>Nezamietame</v>
      </c>
      <c r="K42" s="67" t="s">
        <v>52</v>
      </c>
      <c r="L42">
        <f>-I42</f>
        <v>-2.1009220402410378</v>
      </c>
      <c r="M42">
        <f>I42</f>
        <v>2.1009220402410378</v>
      </c>
    </row>
    <row r="43" spans="1:13">
      <c r="H43" s="56" t="s">
        <v>97</v>
      </c>
      <c r="I43" s="50">
        <f>I2/I5</f>
        <v>2.0509665179715942E-4</v>
      </c>
      <c r="J43" s="50"/>
      <c r="K43" s="63" t="s">
        <v>95</v>
      </c>
      <c r="L43" s="62">
        <v>1</v>
      </c>
    </row>
    <row r="44" spans="1:13">
      <c r="B44" s="85"/>
      <c r="H44" s="52" t="s">
        <v>69</v>
      </c>
      <c r="I44" s="83">
        <f>(I32-L43)/(I37*SQRT(I43))</f>
        <v>0.97876388790840096</v>
      </c>
      <c r="J44" s="84" t="s">
        <v>96</v>
      </c>
    </row>
    <row r="45" spans="1:13" ht="15.75" thickBot="1">
      <c r="A45" t="s">
        <v>98</v>
      </c>
      <c r="B45">
        <v>0.95</v>
      </c>
      <c r="H45" s="55" t="s">
        <v>85</v>
      </c>
      <c r="I45" s="66">
        <f>_xlfn.T.INV(0.975,I2-2)</f>
        <v>2.1009220402410378</v>
      </c>
      <c r="J45" s="77" t="str">
        <f>IF(AND(I44&gt;L45,I44&lt;M45),"Nezamietame","Zamietame")</f>
        <v>Nezamietame</v>
      </c>
      <c r="K45" t="s">
        <v>52</v>
      </c>
      <c r="L45">
        <f>-I45</f>
        <v>-2.1009220402410378</v>
      </c>
      <c r="M45">
        <f>I45</f>
        <v>2.1009220402410378</v>
      </c>
    </row>
    <row r="46" spans="1:13" ht="15.75" thickBot="1">
      <c r="A46" s="19" t="s">
        <v>99</v>
      </c>
      <c r="C46" s="86" t="s">
        <v>100</v>
      </c>
      <c r="D46" s="86"/>
      <c r="E46" s="86" t="s">
        <v>101</v>
      </c>
      <c r="F46" s="86"/>
      <c r="G46" s="38"/>
      <c r="H46" s="64"/>
      <c r="I46" s="53"/>
      <c r="J46" s="65"/>
    </row>
    <row r="47" spans="1:13" ht="15.75" thickBot="1">
      <c r="A47" s="30" t="s">
        <v>102</v>
      </c>
      <c r="B47" s="30" t="s">
        <v>103</v>
      </c>
      <c r="C47" s="30" t="s">
        <v>104</v>
      </c>
      <c r="D47" s="30" t="s">
        <v>105</v>
      </c>
      <c r="E47" s="30" t="s">
        <v>104</v>
      </c>
      <c r="F47" s="30" t="s">
        <v>105</v>
      </c>
      <c r="G47" s="30" t="s">
        <v>106</v>
      </c>
    </row>
    <row r="48" spans="1:13">
      <c r="A48">
        <v>150</v>
      </c>
      <c r="B48" s="80">
        <f>I33+I32*A48</f>
        <v>35.437114470696969</v>
      </c>
      <c r="C48" s="82">
        <f>B48-$B$62*$I$37*SQRT(G48)</f>
        <v>28.496618499104301</v>
      </c>
      <c r="D48" s="82">
        <f>B48+$B$62*$I$37*SQRT(G48)</f>
        <v>42.377610442289637</v>
      </c>
      <c r="E48" s="82">
        <f>B48-$B$62*$I$37*SQRT(G48+1)</f>
        <v>16.304611989684794</v>
      </c>
      <c r="F48" s="82">
        <f>B48+$B$62*$I$37*SQRT(G48+1)</f>
        <v>54.569616951709143</v>
      </c>
      <c r="G48" s="79">
        <f>(1/$I$2)+(($I$2*POWER(A48-$I$3,2))/$I$5)</f>
        <v>0.15153566118033124</v>
      </c>
    </row>
    <row r="49" spans="1:7">
      <c r="A49">
        <v>155</v>
      </c>
      <c r="B49" s="80">
        <f t="shared" ref="B49:B58" si="3">$I$33+$I$32*A49</f>
        <v>41.031886275034736</v>
      </c>
      <c r="C49" s="82">
        <f>B49-$B$62*$I$37*SQRT(G49)</f>
        <v>35.090997273012611</v>
      </c>
      <c r="D49" s="82">
        <f t="shared" ref="D49:D58" si="4">B49+$B$62*$I$37*SQRT(G49)</f>
        <v>46.972775277056861</v>
      </c>
      <c r="E49" s="82">
        <f t="shared" ref="E49:E58" si="5">B49-$B$62*$I$37*SQRT(G49+1)</f>
        <v>22.238900110281936</v>
      </c>
      <c r="F49" s="82">
        <f t="shared" ref="F49:F58" si="6">B49+$B$62*$I$37*SQRT(G49+1)</f>
        <v>59.824872439787541</v>
      </c>
      <c r="G49" s="79">
        <f t="shared" ref="G49:G58" si="7">(1/$I$2)+(($I$2*POWER(A49-$I$3,2))/$I$5)</f>
        <v>0.11102907245039226</v>
      </c>
    </row>
    <row r="50" spans="1:7">
      <c r="A50">
        <v>160</v>
      </c>
      <c r="B50" s="80">
        <f t="shared" si="3"/>
        <v>46.626658079372504</v>
      </c>
      <c r="C50" s="82">
        <f t="shared" ref="C50:C58" si="8">B50-$B$62*$I$37*SQRT(G50)</f>
        <v>41.559344358929266</v>
      </c>
      <c r="D50" s="82">
        <f t="shared" si="4"/>
        <v>51.693971799815742</v>
      </c>
      <c r="E50" s="82">
        <f t="shared" si="5"/>
        <v>28.091290934488775</v>
      </c>
      <c r="F50" s="82">
        <f t="shared" si="6"/>
        <v>65.16202522425624</v>
      </c>
      <c r="G50" s="79">
        <f t="shared" si="7"/>
        <v>8.0777316310311237E-2</v>
      </c>
    </row>
    <row r="51" spans="1:7">
      <c r="A51">
        <v>165</v>
      </c>
      <c r="B51" s="80">
        <f t="shared" si="3"/>
        <v>52.221429883710272</v>
      </c>
      <c r="C51" s="82">
        <f t="shared" si="8"/>
        <v>47.825863600189024</v>
      </c>
      <c r="D51" s="82">
        <f t="shared" si="4"/>
        <v>56.61699616723152</v>
      </c>
      <c r="E51" s="82">
        <f t="shared" si="5"/>
        <v>33.85833728450271</v>
      </c>
      <c r="F51" s="82">
        <f t="shared" si="6"/>
        <v>70.584522482917833</v>
      </c>
      <c r="G51" s="79">
        <f t="shared" si="7"/>
        <v>6.0780392760088196E-2</v>
      </c>
    </row>
    <row r="52" spans="1:7">
      <c r="A52">
        <v>170</v>
      </c>
      <c r="B52" s="80">
        <f t="shared" si="3"/>
        <v>57.816201688048039</v>
      </c>
      <c r="C52" s="82">
        <f t="shared" si="8"/>
        <v>53.788278405678227</v>
      </c>
      <c r="D52" s="82">
        <f t="shared" si="4"/>
        <v>61.844124970417852</v>
      </c>
      <c r="E52" s="82">
        <f t="shared" si="5"/>
        <v>39.537625900451793</v>
      </c>
      <c r="F52" s="82">
        <f t="shared" si="6"/>
        <v>76.094777475644293</v>
      </c>
      <c r="G52" s="79">
        <f t="shared" si="7"/>
        <v>5.1038301799723122E-2</v>
      </c>
    </row>
    <row r="53" spans="1:7">
      <c r="A53">
        <v>175</v>
      </c>
      <c r="B53" s="80">
        <f t="shared" si="3"/>
        <v>63.410973492385779</v>
      </c>
      <c r="C53" s="82">
        <f t="shared" si="8"/>
        <v>59.362868085053066</v>
      </c>
      <c r="D53" s="82">
        <f t="shared" si="4"/>
        <v>67.459078899718492</v>
      </c>
      <c r="E53" s="82">
        <f t="shared" si="5"/>
        <v>45.127939711223547</v>
      </c>
      <c r="F53" s="82">
        <f t="shared" si="6"/>
        <v>81.69400727354801</v>
      </c>
      <c r="G53" s="79">
        <f t="shared" si="7"/>
        <v>5.1551043429216022E-2</v>
      </c>
    </row>
    <row r="54" spans="1:7">
      <c r="A54">
        <v>180</v>
      </c>
      <c r="B54" s="80">
        <f t="shared" si="3"/>
        <v>69.005745296723546</v>
      </c>
      <c r="C54" s="82">
        <f t="shared" si="8"/>
        <v>64.554905239668301</v>
      </c>
      <c r="D54" s="82">
        <f t="shared" si="4"/>
        <v>73.456585353778792</v>
      </c>
      <c r="E54" s="82">
        <f t="shared" si="5"/>
        <v>50.629343470802063</v>
      </c>
      <c r="F54" s="82">
        <f t="shared" si="6"/>
        <v>87.382147122645023</v>
      </c>
      <c r="G54" s="79">
        <f t="shared" si="7"/>
        <v>6.2318617648566887E-2</v>
      </c>
    </row>
    <row r="55" spans="1:7">
      <c r="A55">
        <v>185</v>
      </c>
      <c r="B55" s="80">
        <f t="shared" si="3"/>
        <v>74.600517101061314</v>
      </c>
      <c r="C55" s="82">
        <f t="shared" si="8"/>
        <v>69.453418360752337</v>
      </c>
      <c r="D55" s="82">
        <f t="shared" si="4"/>
        <v>79.74761584137029</v>
      </c>
      <c r="E55" s="82">
        <f t="shared" si="5"/>
        <v>56.043179137421888</v>
      </c>
      <c r="F55" s="82">
        <f t="shared" si="6"/>
        <v>93.15785506470074</v>
      </c>
      <c r="G55" s="79">
        <f t="shared" si="7"/>
        <v>8.334102445777572E-2</v>
      </c>
    </row>
    <row r="56" spans="1:7">
      <c r="A56">
        <v>190</v>
      </c>
      <c r="B56" s="80">
        <f t="shared" si="3"/>
        <v>80.195288905399082</v>
      </c>
      <c r="C56" s="82">
        <f t="shared" si="8"/>
        <v>74.159139298581465</v>
      </c>
      <c r="D56" s="82">
        <f t="shared" si="4"/>
        <v>86.231438512216698</v>
      </c>
      <c r="E56" s="82">
        <f t="shared" si="5"/>
        <v>61.371971744756877</v>
      </c>
      <c r="F56" s="82">
        <f t="shared" si="6"/>
        <v>99.018606066041286</v>
      </c>
      <c r="G56" s="79">
        <f t="shared" si="7"/>
        <v>0.11461826385684254</v>
      </c>
    </row>
    <row r="57" spans="1:7">
      <c r="A57">
        <v>195</v>
      </c>
      <c r="B57" s="80">
        <f t="shared" si="3"/>
        <v>85.790060709736849</v>
      </c>
      <c r="C57" s="82">
        <f t="shared" si="8"/>
        <v>78.744678738993869</v>
      </c>
      <c r="D57" s="82">
        <f t="shared" si="4"/>
        <v>92.835442680479829</v>
      </c>
      <c r="E57" s="82">
        <f t="shared" si="5"/>
        <v>66.619260675103106</v>
      </c>
      <c r="F57" s="82">
        <f t="shared" si="6"/>
        <v>104.96086074437059</v>
      </c>
      <c r="G57" s="79">
        <f t="shared" si="7"/>
        <v>0.15615033584576732</v>
      </c>
    </row>
    <row r="58" spans="1:7">
      <c r="A58">
        <v>200</v>
      </c>
      <c r="B58" s="80">
        <f t="shared" si="3"/>
        <v>91.384832514074617</v>
      </c>
      <c r="C58" s="82">
        <f t="shared" si="8"/>
        <v>83.254670119887919</v>
      </c>
      <c r="D58" s="82">
        <f t="shared" si="4"/>
        <v>99.514994908261315</v>
      </c>
      <c r="E58" s="82">
        <f t="shared" si="5"/>
        <v>71.789381322277819</v>
      </c>
      <c r="F58" s="82">
        <f t="shared" si="6"/>
        <v>110.98028370587141</v>
      </c>
      <c r="G58" s="79">
        <f t="shared" si="7"/>
        <v>0.20793724042455008</v>
      </c>
    </row>
    <row r="59" spans="1:7">
      <c r="C59" s="78"/>
      <c r="D59" s="70"/>
      <c r="E59" s="70"/>
      <c r="F59" s="70"/>
    </row>
    <row r="60" spans="1:7">
      <c r="A60" t="s">
        <v>107</v>
      </c>
      <c r="B60" s="81">
        <v>18</v>
      </c>
    </row>
    <row r="61" spans="1:7">
      <c r="A61" t="s">
        <v>49</v>
      </c>
      <c r="B61">
        <v>0.05</v>
      </c>
    </row>
    <row r="62" spans="1:7">
      <c r="A62" t="s">
        <v>108</v>
      </c>
      <c r="B62" s="17">
        <f>TINV(B61,B60)</f>
        <v>2.1009220402410378</v>
      </c>
    </row>
    <row r="70" spans="1:11">
      <c r="A70" s="70" t="s">
        <v>109</v>
      </c>
      <c r="B70" s="70"/>
      <c r="C70" s="70"/>
      <c r="D70" s="70"/>
      <c r="E70" s="70"/>
      <c r="F70" s="70"/>
      <c r="G70" s="70"/>
      <c r="H70" s="70"/>
      <c r="I70" s="70"/>
    </row>
    <row r="71" spans="1:11">
      <c r="A71" s="70" t="s">
        <v>110</v>
      </c>
      <c r="B71" s="70"/>
      <c r="C71" s="70"/>
      <c r="D71" s="70"/>
      <c r="E71" s="70"/>
      <c r="F71" s="70"/>
      <c r="G71" s="70"/>
      <c r="H71" s="70"/>
      <c r="I71" s="70"/>
    </row>
    <row r="72" spans="1:11" ht="15.75" thickBot="1">
      <c r="A72" s="70"/>
      <c r="B72" s="70"/>
      <c r="C72" s="70"/>
      <c r="D72" s="70"/>
      <c r="E72" s="70"/>
      <c r="F72" s="70"/>
      <c r="G72" s="70"/>
      <c r="H72" s="70"/>
      <c r="I72" s="70"/>
    </row>
    <row r="73" spans="1:11">
      <c r="A73" s="71" t="s">
        <v>111</v>
      </c>
      <c r="B73" s="71"/>
      <c r="C73" s="70"/>
      <c r="D73" s="70"/>
      <c r="E73" s="70"/>
      <c r="F73" s="70"/>
      <c r="G73" s="70"/>
      <c r="H73" s="70"/>
      <c r="I73" s="70"/>
    </row>
    <row r="74" spans="1:11">
      <c r="A74" s="72" t="s">
        <v>112</v>
      </c>
      <c r="B74" s="72">
        <v>0.90820933310902852</v>
      </c>
      <c r="C74" s="70"/>
      <c r="D74" s="70"/>
      <c r="E74" s="70"/>
      <c r="F74" s="70"/>
      <c r="G74" s="70"/>
      <c r="H74" s="70"/>
      <c r="I74" s="70"/>
      <c r="J74" s="53"/>
      <c r="K74" s="53"/>
    </row>
    <row r="75" spans="1:11">
      <c r="A75" s="72" t="s">
        <v>113</v>
      </c>
      <c r="B75" s="72">
        <v>0.82484419274634635</v>
      </c>
      <c r="C75" s="70"/>
      <c r="D75" s="70"/>
      <c r="E75" s="70"/>
      <c r="F75" s="70"/>
      <c r="G75" s="70"/>
      <c r="H75" s="70"/>
      <c r="I75" s="70"/>
      <c r="J75" s="53"/>
      <c r="K75" s="53"/>
    </row>
    <row r="76" spans="1:11">
      <c r="A76" s="72" t="s">
        <v>114</v>
      </c>
      <c r="B76" s="72">
        <v>0.81511331456558778</v>
      </c>
      <c r="C76" s="70"/>
      <c r="D76" s="70"/>
      <c r="E76" s="70"/>
      <c r="F76" s="70"/>
      <c r="G76" s="70"/>
      <c r="H76" s="70"/>
      <c r="I76" s="70"/>
      <c r="J76" s="53"/>
      <c r="K76" s="53"/>
    </row>
    <row r="77" spans="1:11">
      <c r="A77" s="72" t="s">
        <v>115</v>
      </c>
      <c r="B77" s="72">
        <v>8.486393105104364</v>
      </c>
      <c r="C77" s="70"/>
      <c r="D77" s="70"/>
      <c r="E77" s="70"/>
      <c r="F77" s="70"/>
      <c r="G77" s="70"/>
      <c r="H77" s="70"/>
      <c r="I77" s="70"/>
      <c r="J77" s="53"/>
      <c r="K77" s="53"/>
    </row>
    <row r="78" spans="1:11" ht="15.75" thickBot="1">
      <c r="A78" s="73" t="s">
        <v>116</v>
      </c>
      <c r="B78" s="73">
        <v>20</v>
      </c>
      <c r="C78" s="70"/>
      <c r="D78" s="70"/>
      <c r="E78" s="70"/>
      <c r="F78" s="70"/>
      <c r="G78" s="70"/>
      <c r="H78" s="70"/>
      <c r="I78" s="70"/>
      <c r="J78" s="53"/>
      <c r="K78" s="53"/>
    </row>
    <row r="79" spans="1:11">
      <c r="A79" s="70"/>
      <c r="B79" s="70"/>
      <c r="C79" s="70"/>
      <c r="D79" s="70"/>
      <c r="E79" s="70"/>
      <c r="F79" s="70"/>
      <c r="G79" s="70"/>
      <c r="H79" s="70"/>
      <c r="I79" s="70"/>
      <c r="J79" s="53"/>
      <c r="K79" s="53"/>
    </row>
    <row r="80" spans="1:11" ht="15.75" thickBot="1">
      <c r="A80" s="70" t="s">
        <v>117</v>
      </c>
      <c r="B80" s="70"/>
      <c r="C80" s="70"/>
      <c r="D80" s="70"/>
      <c r="E80" s="70"/>
      <c r="F80" s="70"/>
      <c r="G80" s="70"/>
      <c r="H80" s="70"/>
      <c r="I80" s="70"/>
      <c r="J80" s="53"/>
      <c r="K80" s="53"/>
    </row>
    <row r="81" spans="1:11">
      <c r="A81" s="74"/>
      <c r="B81" s="74" t="s">
        <v>118</v>
      </c>
      <c r="C81" s="74" t="s">
        <v>119</v>
      </c>
      <c r="D81" s="74" t="s">
        <v>120</v>
      </c>
      <c r="E81" s="74" t="s">
        <v>121</v>
      </c>
      <c r="F81" s="74" t="s">
        <v>122</v>
      </c>
      <c r="G81" s="70"/>
      <c r="H81" s="70"/>
      <c r="I81" s="70"/>
      <c r="J81" s="53"/>
      <c r="K81" s="53"/>
    </row>
    <row r="82" spans="1:11">
      <c r="A82" s="72" t="s">
        <v>123</v>
      </c>
      <c r="B82" s="72">
        <v>1</v>
      </c>
      <c r="C82" s="72">
        <v>6104.7259949558475</v>
      </c>
      <c r="D82" s="72">
        <v>6104.7259949558475</v>
      </c>
      <c r="E82" s="72">
        <v>84.765647809399312</v>
      </c>
      <c r="F82" s="72">
        <v>3.1361978058781717E-8</v>
      </c>
      <c r="G82" s="70"/>
      <c r="H82" s="70"/>
      <c r="I82" s="70"/>
      <c r="J82" s="53"/>
      <c r="K82" s="53"/>
    </row>
    <row r="83" spans="1:11">
      <c r="A83" s="72" t="s">
        <v>124</v>
      </c>
      <c r="B83" s="72">
        <v>18</v>
      </c>
      <c r="C83" s="72">
        <v>1296.3396228185322</v>
      </c>
      <c r="D83" s="72">
        <v>72.018867934362902</v>
      </c>
      <c r="E83" s="72"/>
      <c r="F83" s="72"/>
      <c r="G83" s="70"/>
      <c r="H83" s="70"/>
      <c r="I83" s="70"/>
      <c r="J83" s="53"/>
      <c r="K83" s="53"/>
    </row>
    <row r="84" spans="1:11" ht="15.75" thickBot="1">
      <c r="A84" s="73" t="s">
        <v>125</v>
      </c>
      <c r="B84" s="73">
        <v>19</v>
      </c>
      <c r="C84" s="73">
        <v>7401.0656177743795</v>
      </c>
      <c r="D84" s="73"/>
      <c r="E84" s="73"/>
      <c r="F84" s="73"/>
      <c r="G84" s="70"/>
      <c r="H84" s="70"/>
      <c r="I84" s="70"/>
      <c r="J84" s="53"/>
      <c r="K84" s="53"/>
    </row>
    <row r="85" spans="1:11" ht="15.75" thickBot="1">
      <c r="A85" s="70"/>
      <c r="B85" s="70"/>
      <c r="C85" s="70"/>
      <c r="D85" s="70"/>
      <c r="E85" s="70"/>
      <c r="F85" s="70"/>
      <c r="G85" s="70"/>
      <c r="H85" s="70"/>
      <c r="I85" s="70"/>
      <c r="J85" s="53"/>
      <c r="K85" s="53"/>
    </row>
    <row r="86" spans="1:11">
      <c r="A86" s="74"/>
      <c r="B86" s="74" t="s">
        <v>126</v>
      </c>
      <c r="C86" s="74" t="s">
        <v>115</v>
      </c>
      <c r="D86" s="74" t="s">
        <v>127</v>
      </c>
      <c r="E86" s="74" t="s">
        <v>128</v>
      </c>
      <c r="F86" s="74" t="s">
        <v>129</v>
      </c>
      <c r="G86" s="74" t="s">
        <v>130</v>
      </c>
      <c r="H86" s="74" t="s">
        <v>131</v>
      </c>
      <c r="I86" s="74" t="s">
        <v>132</v>
      </c>
      <c r="J86" s="53"/>
      <c r="K86" s="53"/>
    </row>
    <row r="87" spans="1:11">
      <c r="A87" s="72" t="s">
        <v>133</v>
      </c>
      <c r="B87" s="72">
        <v>-132.40603965943703</v>
      </c>
      <c r="C87" s="72">
        <v>21.020284334329187</v>
      </c>
      <c r="D87" s="72">
        <v>-6.2989652068216166</v>
      </c>
      <c r="E87" s="72">
        <v>6.1453135777212798E-6</v>
      </c>
      <c r="F87" s="72">
        <v>-176.56801830956263</v>
      </c>
      <c r="G87" s="72">
        <v>-88.244061009311423</v>
      </c>
      <c r="H87" s="72">
        <v>-176.56801830956263</v>
      </c>
      <c r="I87" s="72">
        <v>-88.244061009311423</v>
      </c>
      <c r="J87" s="53"/>
      <c r="K87" s="53"/>
    </row>
    <row r="88" spans="1:11" ht="15.75" thickBot="1">
      <c r="A88" s="73" t="s">
        <v>134</v>
      </c>
      <c r="B88" s="73">
        <v>1.118954360867559</v>
      </c>
      <c r="C88" s="73">
        <v>0.12153529808067957</v>
      </c>
      <c r="D88" s="73">
        <v>9.2068261528824014</v>
      </c>
      <c r="E88" s="73">
        <v>3.1361978058781604E-8</v>
      </c>
      <c r="F88" s="73">
        <v>0.86361817446259492</v>
      </c>
      <c r="G88" s="73">
        <v>1.3742905472725231</v>
      </c>
      <c r="H88" s="73">
        <v>0.86361817446259492</v>
      </c>
      <c r="I88" s="73">
        <v>1.3742905472725231</v>
      </c>
      <c r="J88" s="53"/>
      <c r="K88" s="53"/>
    </row>
    <row r="89" spans="1:11">
      <c r="A89" s="70"/>
      <c r="B89" s="70"/>
      <c r="C89" s="70"/>
      <c r="D89" s="70"/>
      <c r="E89" s="70"/>
      <c r="F89" s="70"/>
      <c r="G89" s="70"/>
      <c r="H89" s="70"/>
      <c r="I89" s="70"/>
      <c r="J89" s="53"/>
      <c r="K89" s="53"/>
    </row>
    <row r="90" spans="1:11">
      <c r="A90" s="70"/>
      <c r="B90" s="70"/>
      <c r="C90" s="70"/>
      <c r="D90" s="70"/>
      <c r="E90" s="70"/>
      <c r="F90" s="70"/>
      <c r="G90" s="70"/>
      <c r="H90" s="70"/>
      <c r="I90" s="70"/>
      <c r="J90" s="53"/>
      <c r="K90" s="53"/>
    </row>
    <row r="91" spans="1:11">
      <c r="A91" s="70"/>
      <c r="B91" s="70"/>
      <c r="C91" s="70"/>
      <c r="D91" s="70"/>
      <c r="E91" s="70"/>
      <c r="F91" s="70"/>
      <c r="G91" s="70"/>
      <c r="H91" s="70"/>
      <c r="I91" s="70"/>
      <c r="J91" s="53"/>
      <c r="K91" s="53"/>
    </row>
    <row r="92" spans="1:11">
      <c r="A92" s="70" t="s">
        <v>135</v>
      </c>
      <c r="B92" s="70"/>
      <c r="C92" s="70"/>
      <c r="D92" s="70"/>
      <c r="E92" s="70"/>
      <c r="F92" s="70"/>
      <c r="G92" s="70"/>
      <c r="H92" s="70"/>
      <c r="I92" s="70"/>
      <c r="J92" s="53"/>
      <c r="K92" s="53"/>
    </row>
    <row r="93" spans="1:11" ht="15.75" thickBot="1">
      <c r="A93" s="70"/>
      <c r="B93" s="70"/>
      <c r="C93" s="70"/>
      <c r="D93" s="70"/>
      <c r="E93" s="70"/>
      <c r="F93" s="70"/>
      <c r="G93" s="70"/>
      <c r="H93" s="70"/>
      <c r="I93" s="70"/>
      <c r="J93" s="53"/>
      <c r="K93" s="53"/>
    </row>
    <row r="94" spans="1:11">
      <c r="A94" s="74" t="s">
        <v>136</v>
      </c>
      <c r="B94" s="74" t="s">
        <v>137</v>
      </c>
      <c r="C94" s="74" t="s">
        <v>138</v>
      </c>
      <c r="D94" s="70"/>
      <c r="E94" s="70"/>
      <c r="F94" s="70"/>
      <c r="G94" s="70"/>
      <c r="H94" s="70"/>
      <c r="I94" s="70"/>
      <c r="J94" s="53"/>
      <c r="K94" s="53"/>
    </row>
    <row r="95" spans="1:11">
      <c r="A95" s="72">
        <v>1</v>
      </c>
      <c r="B95" s="72">
        <v>51.102475522842639</v>
      </c>
      <c r="C95" s="72">
        <v>-16.974155522842636</v>
      </c>
      <c r="D95" s="70"/>
      <c r="E95" s="70"/>
      <c r="F95" s="70"/>
      <c r="G95" s="70"/>
      <c r="H95" s="70"/>
      <c r="I95" s="70"/>
      <c r="J95" s="53"/>
      <c r="K95" s="53"/>
    </row>
    <row r="96" spans="1:11">
      <c r="A96" s="72">
        <v>2</v>
      </c>
      <c r="B96" s="72">
        <v>69.005745296723575</v>
      </c>
      <c r="C96" s="72">
        <v>8.2334347032764299</v>
      </c>
      <c r="D96" s="70"/>
      <c r="E96" s="70"/>
      <c r="F96" s="70"/>
      <c r="G96" s="70"/>
      <c r="H96" s="70"/>
      <c r="I96" s="70"/>
      <c r="J96" s="53"/>
      <c r="K96" s="53"/>
    </row>
    <row r="97" spans="1:11">
      <c r="A97" s="72">
        <v>3</v>
      </c>
      <c r="B97" s="72">
        <v>70.124699657591151</v>
      </c>
      <c r="C97" s="72">
        <v>6.7773603424088549</v>
      </c>
      <c r="D97" s="70"/>
      <c r="E97" s="70"/>
      <c r="F97" s="70"/>
      <c r="G97" s="70"/>
      <c r="H97" s="70"/>
      <c r="I97" s="70"/>
      <c r="J97" s="53"/>
      <c r="K97" s="53"/>
    </row>
    <row r="98" spans="1:11">
      <c r="A98" s="72">
        <v>4</v>
      </c>
      <c r="B98" s="72">
        <v>82.433197627134291</v>
      </c>
      <c r="C98" s="72">
        <v>9.3737823728657048</v>
      </c>
      <c r="D98" s="70"/>
      <c r="E98" s="70"/>
      <c r="F98" s="70"/>
      <c r="G98" s="70"/>
      <c r="H98" s="70"/>
      <c r="I98" s="70"/>
      <c r="J98" s="53"/>
      <c r="K98" s="53"/>
    </row>
    <row r="99" spans="1:11">
      <c r="A99" s="72">
        <v>5</v>
      </c>
      <c r="B99" s="72">
        <v>36.556068831564374</v>
      </c>
      <c r="C99" s="72">
        <v>4.301571168435629</v>
      </c>
      <c r="D99" s="70"/>
      <c r="E99" s="70"/>
      <c r="F99" s="70"/>
      <c r="G99" s="70"/>
      <c r="H99" s="70"/>
      <c r="I99" s="70"/>
      <c r="J99" s="53"/>
      <c r="K99" s="53"/>
    </row>
    <row r="100" spans="1:11">
      <c r="A100" s="72">
        <v>6</v>
      </c>
      <c r="B100" s="72">
        <v>61.173064770650683</v>
      </c>
      <c r="C100" s="72">
        <v>13.960785229349312</v>
      </c>
      <c r="D100" s="70"/>
      <c r="E100" s="70"/>
      <c r="F100" s="70"/>
      <c r="G100" s="70"/>
      <c r="H100" s="70"/>
      <c r="I100" s="70"/>
      <c r="J100" s="53"/>
      <c r="K100" s="53"/>
    </row>
    <row r="101" spans="1:11">
      <c r="A101" s="72">
        <v>7</v>
      </c>
      <c r="B101" s="72">
        <v>81.314243266266743</v>
      </c>
      <c r="C101" s="72">
        <v>-6.0612632662667494</v>
      </c>
      <c r="D101" s="70"/>
      <c r="E101" s="70"/>
      <c r="F101" s="70"/>
      <c r="G101" s="70"/>
      <c r="H101" s="70"/>
      <c r="I101" s="70"/>
      <c r="J101" s="53"/>
      <c r="K101" s="53"/>
    </row>
    <row r="102" spans="1:11">
      <c r="A102" s="72">
        <v>8</v>
      </c>
      <c r="B102" s="72">
        <v>39.912931914167046</v>
      </c>
      <c r="C102" s="72">
        <v>-7.4802219141670463</v>
      </c>
      <c r="D102" s="70"/>
      <c r="E102" s="70"/>
      <c r="F102" s="70"/>
      <c r="G102" s="70"/>
      <c r="H102" s="70"/>
      <c r="I102" s="70"/>
      <c r="J102" s="53"/>
      <c r="K102" s="53"/>
    </row>
    <row r="103" spans="1:11">
      <c r="A103" s="72">
        <v>9</v>
      </c>
      <c r="B103" s="72">
        <v>90.265878153207211</v>
      </c>
      <c r="C103" s="72">
        <v>-7.7442781532072047</v>
      </c>
      <c r="D103" s="70"/>
      <c r="E103" s="70"/>
      <c r="F103" s="70"/>
      <c r="G103" s="70"/>
      <c r="H103" s="70"/>
      <c r="I103" s="70"/>
      <c r="J103" s="53"/>
      <c r="K103" s="53"/>
    </row>
    <row r="104" spans="1:11">
      <c r="A104" s="72">
        <v>10</v>
      </c>
      <c r="B104" s="72">
        <v>38.793977553299499</v>
      </c>
      <c r="C104" s="72">
        <v>5.4178624467005037</v>
      </c>
      <c r="D104" s="70"/>
      <c r="E104" s="70"/>
      <c r="F104" s="70"/>
      <c r="G104" s="70"/>
      <c r="H104" s="70"/>
      <c r="I104" s="70"/>
      <c r="J104" s="53"/>
      <c r="K104" s="53"/>
    </row>
    <row r="105" spans="1:11">
      <c r="A105" s="72">
        <v>11</v>
      </c>
      <c r="B105" s="72">
        <v>64.529927853253355</v>
      </c>
      <c r="C105" s="72">
        <v>-1.0849278532533546</v>
      </c>
      <c r="D105" s="70"/>
      <c r="E105" s="70"/>
      <c r="F105" s="70"/>
      <c r="G105" s="70"/>
      <c r="H105" s="70"/>
      <c r="I105" s="70"/>
      <c r="J105" s="53"/>
      <c r="K105" s="53"/>
    </row>
    <row r="106" spans="1:11">
      <c r="A106" s="72">
        <v>12</v>
      </c>
      <c r="B106" s="72">
        <v>54.459338605445311</v>
      </c>
      <c r="C106" s="72">
        <v>-2.6733586054453085</v>
      </c>
      <c r="D106" s="70"/>
      <c r="E106" s="70"/>
      <c r="F106" s="70"/>
      <c r="G106" s="70"/>
      <c r="H106" s="70"/>
      <c r="I106" s="70"/>
      <c r="J106" s="53"/>
      <c r="K106" s="53"/>
    </row>
    <row r="107" spans="1:11">
      <c r="A107" s="72">
        <v>13</v>
      </c>
      <c r="B107" s="72">
        <v>90.265878153207211</v>
      </c>
      <c r="C107" s="72">
        <v>0.29179184679279047</v>
      </c>
      <c r="D107" s="70"/>
      <c r="E107" s="70"/>
      <c r="F107" s="70"/>
      <c r="G107" s="70"/>
      <c r="H107" s="70"/>
      <c r="I107" s="70"/>
      <c r="J107" s="53"/>
      <c r="K107" s="53"/>
    </row>
    <row r="108" spans="1:11">
      <c r="A108" s="72">
        <v>14</v>
      </c>
      <c r="B108" s="72">
        <v>72.362608379326247</v>
      </c>
      <c r="C108" s="72">
        <v>-6.4710783793262436</v>
      </c>
      <c r="D108" s="70"/>
      <c r="E108" s="70"/>
      <c r="F108" s="70"/>
      <c r="G108" s="70"/>
      <c r="H108" s="70"/>
      <c r="I108" s="70"/>
      <c r="J108" s="53"/>
      <c r="K108" s="53"/>
    </row>
    <row r="109" spans="1:11">
      <c r="A109" s="72">
        <v>15</v>
      </c>
      <c r="B109" s="72">
        <v>60.054110409783107</v>
      </c>
      <c r="C109" s="72">
        <v>12.968439590216889</v>
      </c>
      <c r="D109" s="70"/>
      <c r="E109" s="70"/>
      <c r="F109" s="70"/>
      <c r="G109" s="70"/>
      <c r="H109" s="70"/>
      <c r="I109" s="70"/>
      <c r="J109" s="53"/>
      <c r="K109" s="53"/>
    </row>
    <row r="110" spans="1:11">
      <c r="A110" s="72">
        <v>16</v>
      </c>
      <c r="B110" s="72">
        <v>36.556068831564374</v>
      </c>
      <c r="C110" s="72">
        <v>-3.0337588315643771</v>
      </c>
      <c r="D110" s="70"/>
      <c r="E110" s="70"/>
      <c r="F110" s="70"/>
      <c r="G110" s="70"/>
      <c r="H110" s="70"/>
      <c r="I110" s="70"/>
    </row>
    <row r="111" spans="1:11">
      <c r="A111" s="72">
        <v>17</v>
      </c>
      <c r="B111" s="72">
        <v>65.648882214120903</v>
      </c>
      <c r="C111" s="72">
        <v>2.2427785879102657E-2</v>
      </c>
      <c r="D111" s="70"/>
      <c r="E111" s="70"/>
      <c r="F111" s="70"/>
      <c r="G111" s="70"/>
      <c r="H111" s="70"/>
      <c r="I111" s="70"/>
    </row>
    <row r="112" spans="1:11">
      <c r="A112" s="72">
        <v>18</v>
      </c>
      <c r="B112" s="72">
        <v>39.912931914167046</v>
      </c>
      <c r="C112" s="72">
        <v>-2.0648019141670488</v>
      </c>
      <c r="D112" s="70"/>
      <c r="E112" s="70"/>
      <c r="F112" s="70"/>
      <c r="G112" s="70"/>
      <c r="H112" s="70"/>
      <c r="I112" s="70"/>
    </row>
    <row r="113" spans="1:9">
      <c r="A113" s="72">
        <v>19</v>
      </c>
      <c r="B113" s="72">
        <v>38.793977553299499</v>
      </c>
      <c r="C113" s="72">
        <v>4.7562624467005037</v>
      </c>
      <c r="D113" s="70"/>
      <c r="E113" s="70"/>
      <c r="F113" s="70"/>
      <c r="G113" s="70"/>
      <c r="H113" s="70"/>
      <c r="I113" s="70"/>
    </row>
    <row r="114" spans="1:9" ht="15.75" thickBot="1">
      <c r="A114" s="73">
        <v>20</v>
      </c>
      <c r="B114" s="73">
        <v>63.410973492385779</v>
      </c>
      <c r="C114" s="73">
        <v>-12.515873492385779</v>
      </c>
      <c r="D114" s="70"/>
      <c r="E114" s="70"/>
      <c r="F114" s="70"/>
      <c r="G114" s="70"/>
      <c r="H114" s="70"/>
      <c r="I114" s="70"/>
    </row>
    <row r="115" spans="1:9">
      <c r="A115" s="70"/>
      <c r="B115" s="70"/>
      <c r="C115" s="70"/>
      <c r="D115" s="70"/>
      <c r="E115" s="70"/>
      <c r="F115" s="70"/>
      <c r="G115" s="70"/>
      <c r="H115" s="70"/>
      <c r="I115" s="70"/>
    </row>
  </sheetData>
  <mergeCells count="2">
    <mergeCell ref="C46:D46"/>
    <mergeCell ref="E46:F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6723-FBF3-4A44-94E5-5FA19DFC8937}">
  <dimension ref="A1"/>
  <sheetViews>
    <sheetView workbookViewId="0"/>
  </sheetViews>
  <sheetFormatPr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Uloha 1</vt:lpstr>
      <vt:lpstr>Uloha 2</vt:lpstr>
      <vt:lpstr>Zadání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Alzbeta Stajer</cp:lastModifiedBy>
  <cp:revision/>
  <dcterms:created xsi:type="dcterms:W3CDTF">2019-11-25T19:19:58Z</dcterms:created>
  <dcterms:modified xsi:type="dcterms:W3CDTF">2019-11-27T21:49:50Z</dcterms:modified>
  <cp:category/>
  <cp:contentStatus/>
</cp:coreProperties>
</file>