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ndurakovic/PhD work/MIT work/EMPIRE code/Data handler/north_sea/"/>
    </mc:Choice>
  </mc:AlternateContent>
  <xr:revisionPtr revIDLastSave="0" documentId="13_ncr:1_{AF7BF534-EF20-9C4C-9651-EF8A5783C50F}" xr6:coauthVersionLast="47" xr6:coauthVersionMax="47" xr10:uidLastSave="{00000000-0000-0000-0000-000000000000}"/>
  <bookViews>
    <workbookView xWindow="-44800" yWindow="680" windowWidth="33600" windowHeight="19360" firstSheet="14" activeTab="22" xr2:uid="{EB483986-C6DA-2C47-865E-3FE264BC1975}"/>
  </bookViews>
  <sheets>
    <sheet name="ProductionNodes" sheetId="5" r:id="rId1"/>
    <sheet name="ReformerLocations" sheetId="24" r:id="rId2"/>
    <sheet name="ReformerPlants" sheetId="23" r:id="rId3"/>
    <sheet name="ReformerCapitalCost" sheetId="18" r:id="rId4"/>
    <sheet name="ReformerFixedOMCost" sheetId="19" r:id="rId5"/>
    <sheet name="ReformerVariableOMCost" sheetId="26" r:id="rId6"/>
    <sheet name="ReformerEfficiency" sheetId="20" r:id="rId7"/>
    <sheet name="ReformerElectricityUse" sheetId="27" r:id="rId8"/>
    <sheet name="ReformerLifetime" sheetId="21" r:id="rId9"/>
    <sheet name="ReformerEmissionFactor" sheetId="22" r:id="rId10"/>
    <sheet name="ReformerCO2CaptureFactor" sheetId="28" r:id="rId11"/>
    <sheet name="ElectrolyzerPlantCapitalCost" sheetId="1" r:id="rId12"/>
    <sheet name="ElectrolyzerFixedOMCost" sheetId="14" r:id="rId13"/>
    <sheet name="ElectrolyzerStackCapitalCost" sheetId="2" r:id="rId14"/>
    <sheet name="ElectrolyzerLifetime" sheetId="3" r:id="rId15"/>
    <sheet name="ElectrolyzerMWhPerTon" sheetId="12" r:id="rId16"/>
    <sheet name="PipelineCapitalCost" sheetId="8" r:id="rId17"/>
    <sheet name="PipelineOMCostPerKM" sheetId="10" r:id="rId18"/>
    <sheet name="PipelineCapacity" sheetId="29" r:id="rId19"/>
    <sheet name="PipelineCompressorPowerUsage" sheetId="13" r:id="rId20"/>
    <sheet name="StorageCapitalCost" sheetId="16" r:id="rId21"/>
    <sheet name="StorageFixedOMCost" sheetId="17" r:id="rId22"/>
    <sheet name="StorageMaxCapacity" sheetId="15" r:id="rId23"/>
    <sheet name="Demand" sheetId="31" r:id="rId24"/>
    <sheet name="Calculations" sheetId="11" r:id="rId25"/>
  </sheets>
  <definedNames>
    <definedName name="_xlnm._FilterDatabase" localSheetId="23" hidden="1">Demand!$A$3:$E$33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" i="31" l="1"/>
  <c r="Z5" i="31"/>
  <c r="AA5" i="31"/>
  <c r="AB5" i="31"/>
  <c r="AC5" i="31"/>
  <c r="AD5" i="31"/>
  <c r="AE5" i="31"/>
  <c r="AF5" i="31"/>
  <c r="AG5" i="31"/>
  <c r="Y6" i="31"/>
  <c r="Z6" i="31"/>
  <c r="AA6" i="31"/>
  <c r="AB6" i="31"/>
  <c r="AC6" i="31"/>
  <c r="AD6" i="31"/>
  <c r="AE6" i="31"/>
  <c r="AF6" i="31"/>
  <c r="AG6" i="31"/>
  <c r="Y7" i="31"/>
  <c r="Z7" i="31"/>
  <c r="AA7" i="31"/>
  <c r="AB7" i="31"/>
  <c r="AC7" i="31"/>
  <c r="AD7" i="31"/>
  <c r="AE7" i="31"/>
  <c r="AF7" i="31"/>
  <c r="AG7" i="31"/>
  <c r="Y8" i="31"/>
  <c r="Z8" i="31"/>
  <c r="AA8" i="31"/>
  <c r="AB8" i="31"/>
  <c r="AC8" i="31"/>
  <c r="AD8" i="31"/>
  <c r="AE8" i="31"/>
  <c r="AF8" i="31"/>
  <c r="AG8" i="31"/>
  <c r="Y9" i="31"/>
  <c r="Z9" i="31"/>
  <c r="AA9" i="31"/>
  <c r="AB9" i="31"/>
  <c r="AC9" i="31"/>
  <c r="AD9" i="31"/>
  <c r="AE9" i="31"/>
  <c r="AF9" i="31"/>
  <c r="AG9" i="31"/>
  <c r="Y11" i="31"/>
  <c r="Z11" i="31"/>
  <c r="AA11" i="31"/>
  <c r="AB11" i="31"/>
  <c r="AC11" i="31"/>
  <c r="AD11" i="31"/>
  <c r="AE11" i="31"/>
  <c r="AF11" i="31"/>
  <c r="AG11" i="31"/>
  <c r="Y12" i="31"/>
  <c r="Z12" i="31"/>
  <c r="AA12" i="31"/>
  <c r="AB12" i="31"/>
  <c r="AC12" i="31"/>
  <c r="AD12" i="31"/>
  <c r="AE12" i="31"/>
  <c r="AF12" i="31"/>
  <c r="AG12" i="31"/>
  <c r="Y13" i="31"/>
  <c r="Z13" i="31"/>
  <c r="AA13" i="31"/>
  <c r="AB13" i="31"/>
  <c r="AC13" i="31"/>
  <c r="AD13" i="31"/>
  <c r="AE13" i="31"/>
  <c r="AF13" i="31"/>
  <c r="AG13" i="31"/>
  <c r="Y14" i="31"/>
  <c r="Z14" i="31"/>
  <c r="AA14" i="31"/>
  <c r="AB14" i="31"/>
  <c r="AC14" i="31"/>
  <c r="AD14" i="31"/>
  <c r="AE14" i="31"/>
  <c r="AF14" i="31"/>
  <c r="AG14" i="31"/>
  <c r="Y15" i="31"/>
  <c r="Z15" i="31"/>
  <c r="AA15" i="31"/>
  <c r="AB15" i="31"/>
  <c r="AC15" i="31"/>
  <c r="AD15" i="31"/>
  <c r="AE15" i="31"/>
  <c r="AF15" i="31"/>
  <c r="AG15" i="31"/>
  <c r="Y18" i="31"/>
  <c r="Z18" i="31"/>
  <c r="AA18" i="31"/>
  <c r="AB18" i="31"/>
  <c r="AC18" i="31"/>
  <c r="AD18" i="31"/>
  <c r="AE18" i="31"/>
  <c r="AF18" i="31"/>
  <c r="AG18" i="31"/>
  <c r="Y19" i="31"/>
  <c r="Z19" i="31"/>
  <c r="AA19" i="31"/>
  <c r="AB19" i="31"/>
  <c r="AC19" i="31"/>
  <c r="AD19" i="31"/>
  <c r="AE19" i="31"/>
  <c r="AF19" i="31"/>
  <c r="AG19" i="31"/>
  <c r="Y20" i="31"/>
  <c r="Z20" i="31"/>
  <c r="AA20" i="31"/>
  <c r="AB20" i="31"/>
  <c r="AC20" i="31"/>
  <c r="AD20" i="31"/>
  <c r="AE20" i="31"/>
  <c r="AF20" i="31"/>
  <c r="AG20" i="31"/>
  <c r="Y21" i="31"/>
  <c r="Z21" i="31"/>
  <c r="AA21" i="31"/>
  <c r="AB21" i="31"/>
  <c r="AC21" i="31"/>
  <c r="AD21" i="31"/>
  <c r="AE21" i="31"/>
  <c r="AF21" i="31"/>
  <c r="AG21" i="31"/>
  <c r="Y24" i="31"/>
  <c r="Z24" i="31"/>
  <c r="AA24" i="31"/>
  <c r="AB24" i="31"/>
  <c r="AC24" i="31"/>
  <c r="AD24" i="31"/>
  <c r="AE24" i="31"/>
  <c r="AF24" i="31"/>
  <c r="AG24" i="31"/>
  <c r="Y25" i="31"/>
  <c r="Z25" i="31"/>
  <c r="AA25" i="31"/>
  <c r="AB25" i="31"/>
  <c r="AC25" i="31"/>
  <c r="AD25" i="31"/>
  <c r="AE25" i="31"/>
  <c r="AF25" i="31"/>
  <c r="AG25" i="31"/>
  <c r="Y26" i="31"/>
  <c r="Z26" i="31"/>
  <c r="AA26" i="31"/>
  <c r="AB26" i="31"/>
  <c r="AC26" i="31"/>
  <c r="AD26" i="31"/>
  <c r="AE26" i="31"/>
  <c r="AF26" i="31"/>
  <c r="AG26" i="31"/>
  <c r="Y27" i="31"/>
  <c r="Z27" i="31"/>
  <c r="AA27" i="31"/>
  <c r="AB27" i="31"/>
  <c r="AC27" i="31"/>
  <c r="AD27" i="31"/>
  <c r="AE27" i="31"/>
  <c r="AF27" i="31"/>
  <c r="AG27" i="31"/>
  <c r="Y30" i="31"/>
  <c r="Z30" i="31"/>
  <c r="AA30" i="31"/>
  <c r="AB30" i="31"/>
  <c r="AC30" i="31"/>
  <c r="AD30" i="31"/>
  <c r="AE30" i="31"/>
  <c r="AF30" i="31"/>
  <c r="AG30" i="31"/>
  <c r="Y31" i="31"/>
  <c r="Z31" i="31"/>
  <c r="AA31" i="31"/>
  <c r="AB31" i="31"/>
  <c r="AC31" i="31"/>
  <c r="AD31" i="31"/>
  <c r="AE31" i="31"/>
  <c r="AF31" i="31"/>
  <c r="AG31" i="31"/>
  <c r="Y32" i="31"/>
  <c r="Z32" i="31"/>
  <c r="AA32" i="31"/>
  <c r="AB32" i="31"/>
  <c r="AC32" i="31"/>
  <c r="AD32" i="31"/>
  <c r="AE32" i="31"/>
  <c r="AF32" i="31"/>
  <c r="AG32" i="31"/>
  <c r="Y33" i="31"/>
  <c r="Z33" i="31"/>
  <c r="AA33" i="31"/>
  <c r="AB33" i="31"/>
  <c r="AC33" i="31"/>
  <c r="AD33" i="31"/>
  <c r="AE33" i="31"/>
  <c r="AF33" i="31"/>
  <c r="AG33" i="31"/>
  <c r="V5" i="31"/>
  <c r="W5" i="31"/>
  <c r="X5" i="31"/>
  <c r="V6" i="31"/>
  <c r="W6" i="31"/>
  <c r="X6" i="31"/>
  <c r="V7" i="31"/>
  <c r="W7" i="31"/>
  <c r="X7" i="31"/>
  <c r="V8" i="31"/>
  <c r="W8" i="31"/>
  <c r="X8" i="31"/>
  <c r="V9" i="31"/>
  <c r="W9" i="31"/>
  <c r="X9" i="31"/>
  <c r="V11" i="31"/>
  <c r="W11" i="31"/>
  <c r="X11" i="31"/>
  <c r="V12" i="31"/>
  <c r="W12" i="31"/>
  <c r="X12" i="31"/>
  <c r="V13" i="31"/>
  <c r="W13" i="31"/>
  <c r="X13" i="31"/>
  <c r="V14" i="31"/>
  <c r="W14" i="31"/>
  <c r="X14" i="31"/>
  <c r="V15" i="31"/>
  <c r="W15" i="31"/>
  <c r="X15" i="31"/>
  <c r="V18" i="31"/>
  <c r="W18" i="31"/>
  <c r="X18" i="31"/>
  <c r="V19" i="31"/>
  <c r="W19" i="31"/>
  <c r="X19" i="31"/>
  <c r="V20" i="31"/>
  <c r="W20" i="31"/>
  <c r="X20" i="31"/>
  <c r="V21" i="31"/>
  <c r="W21" i="31"/>
  <c r="X21" i="31"/>
  <c r="V24" i="31"/>
  <c r="W24" i="31"/>
  <c r="X24" i="31"/>
  <c r="V25" i="31"/>
  <c r="W25" i="31"/>
  <c r="X25" i="31"/>
  <c r="V26" i="31"/>
  <c r="W26" i="31"/>
  <c r="X26" i="31"/>
  <c r="V27" i="31"/>
  <c r="W27" i="31"/>
  <c r="X27" i="31"/>
  <c r="V30" i="31"/>
  <c r="W30" i="31"/>
  <c r="X30" i="31"/>
  <c r="V31" i="31"/>
  <c r="W31" i="31"/>
  <c r="X31" i="31"/>
  <c r="V32" i="31"/>
  <c r="W32" i="31"/>
  <c r="X32" i="31"/>
  <c r="V33" i="31"/>
  <c r="W33" i="31"/>
  <c r="X33" i="31"/>
  <c r="K5" i="31"/>
  <c r="K6" i="31"/>
  <c r="K7" i="31"/>
  <c r="K8" i="31"/>
  <c r="K9" i="31"/>
  <c r="K10" i="31"/>
  <c r="K11" i="31"/>
  <c r="K12" i="31"/>
  <c r="K13" i="31"/>
  <c r="K14" i="31"/>
  <c r="K15" i="31"/>
  <c r="K16" i="31"/>
  <c r="K17" i="31"/>
  <c r="K18" i="31"/>
  <c r="K19" i="31"/>
  <c r="K20" i="31"/>
  <c r="K21" i="31"/>
  <c r="K22" i="31"/>
  <c r="K23" i="31"/>
  <c r="K24" i="31"/>
  <c r="K25" i="31"/>
  <c r="K26" i="31"/>
  <c r="K27" i="31"/>
  <c r="K28" i="31"/>
  <c r="K29" i="31"/>
  <c r="K30" i="31"/>
  <c r="K31" i="31"/>
  <c r="K32" i="31"/>
  <c r="K33" i="31"/>
  <c r="K4" i="31"/>
  <c r="B5" i="16"/>
  <c r="B6" i="16"/>
  <c r="B7" i="16"/>
  <c r="B8" i="16"/>
  <c r="B9" i="16"/>
  <c r="B4" i="16"/>
  <c r="B4" i="29"/>
  <c r="C17" i="28"/>
  <c r="C18" i="28"/>
  <c r="C19" i="28"/>
  <c r="C20" i="28"/>
  <c r="C21" i="28"/>
  <c r="C16" i="28"/>
  <c r="C11" i="28"/>
  <c r="C12" i="28"/>
  <c r="C13" i="28"/>
  <c r="C14" i="28"/>
  <c r="C15" i="28"/>
  <c r="C10" i="28"/>
  <c r="C5" i="28"/>
  <c r="C6" i="28"/>
  <c r="C7" i="28"/>
  <c r="C8" i="28"/>
  <c r="C9" i="28"/>
  <c r="C4" i="28"/>
  <c r="C4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6" i="31" l="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31" i="31"/>
  <c r="C32" i="31"/>
  <c r="C33" i="31"/>
  <c r="C5" i="31"/>
  <c r="B7" i="15" l="1"/>
  <c r="B6" i="15"/>
  <c r="B5" i="15"/>
  <c r="B4" i="15"/>
  <c r="B5" i="29" l="1"/>
  <c r="B6" i="29"/>
  <c r="B7" i="29"/>
  <c r="B4" i="12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4" i="27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4" i="26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4" i="19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4" i="18"/>
  <c r="B4" i="8"/>
  <c r="B6" i="8"/>
  <c r="B5" i="8"/>
  <c r="B7" i="8"/>
  <c r="B4" i="13"/>
  <c r="B6" i="13" s="1"/>
  <c r="B7" i="10"/>
  <c r="B6" i="10"/>
  <c r="B5" i="10"/>
  <c r="B4" i="10"/>
  <c r="B5" i="13"/>
  <c r="B7" i="13" s="1"/>
  <c r="I2" i="29"/>
  <c r="G5" i="28"/>
  <c r="O2" i="28"/>
  <c r="G5" i="22"/>
  <c r="E9" i="11"/>
  <c r="O2" i="22" l="1"/>
  <c r="G2" i="27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M1" i="27"/>
  <c r="K1" i="27"/>
  <c r="G4" i="27"/>
  <c r="G5" i="27"/>
  <c r="G6" i="27"/>
  <c r="G7" i="27"/>
  <c r="H7" i="27" s="1"/>
  <c r="G8" i="27"/>
  <c r="G9" i="27"/>
  <c r="H9" i="27" s="1"/>
  <c r="G10" i="27"/>
  <c r="G11" i="27"/>
  <c r="H11" i="27" s="1"/>
  <c r="G12" i="27"/>
  <c r="G13" i="27"/>
  <c r="H13" i="27" s="1"/>
  <c r="G14" i="27"/>
  <c r="G15" i="27"/>
  <c r="H15" i="27" s="1"/>
  <c r="G16" i="27"/>
  <c r="H16" i="27" s="1"/>
  <c r="G17" i="27"/>
  <c r="H17" i="27" s="1"/>
  <c r="G18" i="27"/>
  <c r="G19" i="27"/>
  <c r="H19" i="27" s="1"/>
  <c r="G20" i="27"/>
  <c r="H20" i="27" s="1"/>
  <c r="G21" i="27"/>
  <c r="H21" i="27" s="1"/>
  <c r="C19" i="20"/>
  <c r="C20" i="20"/>
  <c r="C21" i="20"/>
  <c r="C18" i="20"/>
  <c r="C17" i="20"/>
  <c r="C16" i="20"/>
  <c r="C11" i="20"/>
  <c r="C12" i="20"/>
  <c r="C13" i="20"/>
  <c r="C14" i="20"/>
  <c r="C15" i="20"/>
  <c r="C10" i="20"/>
  <c r="C5" i="20"/>
  <c r="C6" i="20"/>
  <c r="C7" i="20"/>
  <c r="C8" i="20"/>
  <c r="C9" i="20"/>
  <c r="C4" i="20"/>
  <c r="P11" i="22" l="1"/>
  <c r="Q11" i="22" s="1"/>
  <c r="H14" i="27"/>
  <c r="H6" i="27"/>
  <c r="H5" i="27"/>
  <c r="H12" i="27"/>
  <c r="H4" i="27"/>
  <c r="H18" i="27"/>
  <c r="H10" i="27"/>
  <c r="H8" i="27"/>
  <c r="N9" i="22"/>
  <c r="P15" i="22"/>
  <c r="Q15" i="22" s="1"/>
  <c r="P8" i="22"/>
  <c r="Q8" i="22" s="1"/>
  <c r="N14" i="22"/>
  <c r="N19" i="22"/>
  <c r="P17" i="22"/>
  <c r="Q17" i="22" s="1"/>
  <c r="P18" i="22"/>
  <c r="Q18" i="22" s="1"/>
  <c r="N13" i="22"/>
  <c r="N4" i="22"/>
  <c r="N10" i="22"/>
  <c r="N16" i="22"/>
  <c r="P6" i="22"/>
  <c r="Q6" i="22" s="1"/>
  <c r="P12" i="22"/>
  <c r="Q12" i="22" s="1"/>
  <c r="I21" i="27"/>
  <c r="I12" i="27"/>
  <c r="I15" i="27"/>
  <c r="I9" i="27"/>
  <c r="I20" i="27"/>
  <c r="I14" i="27"/>
  <c r="I6" i="27"/>
  <c r="I17" i="27"/>
  <c r="I11" i="27"/>
  <c r="I5" i="27"/>
  <c r="I16" i="27"/>
  <c r="I4" i="27"/>
  <c r="I19" i="27"/>
  <c r="I13" i="27"/>
  <c r="I7" i="27"/>
  <c r="P5" i="22"/>
  <c r="Q5" i="22" s="1"/>
  <c r="N5" i="22"/>
  <c r="B5" i="17"/>
  <c r="B6" i="17"/>
  <c r="B7" i="17"/>
  <c r="B8" i="17"/>
  <c r="B9" i="17"/>
  <c r="P10" i="22" l="1"/>
  <c r="Q10" i="22" s="1"/>
  <c r="N11" i="22"/>
  <c r="P4" i="22"/>
  <c r="Q4" i="22" s="1"/>
  <c r="N17" i="22"/>
  <c r="I10" i="27"/>
  <c r="I18" i="27"/>
  <c r="I8" i="27"/>
  <c r="N20" i="22"/>
  <c r="P20" i="22"/>
  <c r="Q20" i="22" s="1"/>
  <c r="P14" i="22"/>
  <c r="Q14" i="22" s="1"/>
  <c r="P16" i="22"/>
  <c r="Q16" i="22" s="1"/>
  <c r="P21" i="22"/>
  <c r="Q21" i="22" s="1"/>
  <c r="N21" i="22"/>
  <c r="P7" i="22"/>
  <c r="Q7" i="22" s="1"/>
  <c r="N7" i="22"/>
  <c r="N12" i="22"/>
  <c r="N8" i="22"/>
  <c r="P19" i="22"/>
  <c r="Q19" i="22" s="1"/>
  <c r="P13" i="22"/>
  <c r="Q13" i="22" s="1"/>
  <c r="N15" i="22"/>
  <c r="P9" i="22"/>
  <c r="Q9" i="22" s="1"/>
  <c r="N18" i="22"/>
  <c r="N6" i="22"/>
  <c r="B4" i="17"/>
  <c r="K4" i="15"/>
  <c r="B5" i="14"/>
  <c r="B6" i="14"/>
  <c r="B7" i="14"/>
  <c r="B8" i="14"/>
  <c r="B9" i="14"/>
  <c r="B4" i="14"/>
  <c r="F9" i="11"/>
  <c r="F10" i="11"/>
  <c r="F11" i="11"/>
  <c r="E11" i="11"/>
  <c r="E10" i="11"/>
  <c r="B9" i="1"/>
  <c r="B9" i="2" s="1"/>
  <c r="B8" i="1"/>
  <c r="B8" i="2" s="1"/>
  <c r="B7" i="1"/>
  <c r="B7" i="2" s="1"/>
  <c r="B6" i="1"/>
  <c r="B5" i="1"/>
  <c r="B4" i="1"/>
  <c r="G3" i="11" l="1"/>
  <c r="G4" i="11"/>
  <c r="G2" i="11"/>
  <c r="B5" i="2" l="1"/>
  <c r="B6" i="2"/>
  <c r="B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tc={8F958C4A-092E-9E4A-80C9-D5D0C1247762}</author>
  </authors>
  <commentList>
    <comment ref="E3" authorId="0" shapeId="0" xr:uid="{8F958C4A-092E-9E4A-80C9-D5D0C12477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Compression need from Analysing future demand, supply, and transport of hydrogen, 2021</t>
      </text>
    </comment>
  </commentList>
</comments>
</file>

<file path=xl/sharedStrings.xml><?xml version="1.0" encoding="utf-8"?>
<sst xmlns="http://schemas.openxmlformats.org/spreadsheetml/2006/main" count="400" uniqueCount="127">
  <si>
    <t>Period</t>
  </si>
  <si>
    <t>elyzerLifetime</t>
  </si>
  <si>
    <t>Node</t>
  </si>
  <si>
    <t>Germany</t>
  </si>
  <si>
    <t>Denmark</t>
  </si>
  <si>
    <t>ProductionNodes</t>
  </si>
  <si>
    <t>Source: 15% of installed capital cost (15% number from Table 2 in Hydrogen Production Cost From PEM Electrolysis - 2019)</t>
  </si>
  <si>
    <t>Source: Figure 4 in Development of Water Electrolysis in the European Union. Assumed 10% increase to account for installation cost</t>
  </si>
  <si>
    <t>Source: Assumed 1% of CAPEX (1% number from European Hydrogen Backbone, 2020; Appendix A, Table 5)</t>
  </si>
  <si>
    <t>Source:  Table 2 in Hydrogen Production Cost From PEM Electrolysis - 2019</t>
  </si>
  <si>
    <t>LHV of H2</t>
  </si>
  <si>
    <t>Capacity (GW LHV H2)</t>
  </si>
  <si>
    <t>Capex pipeline (M€/km)</t>
  </si>
  <si>
    <t>Capex compression (M€/km)</t>
  </si>
  <si>
    <t>Source: Extending the European Hydrogen Backbone, 2021; Appendix A, Table 3</t>
  </si>
  <si>
    <t>kWh/kg</t>
  </si>
  <si>
    <t>Capex (M€/(km*kg))</t>
  </si>
  <si>
    <t>Belgium</t>
  </si>
  <si>
    <t>Great Brit.</t>
  </si>
  <si>
    <t>Netherlands</t>
  </si>
  <si>
    <t>kg H2 in 1 TWh (LHV)</t>
  </si>
  <si>
    <t>Pipeline diameter (inches)</t>
  </si>
  <si>
    <t>Electricity usage at 75% capacity (MWe/km)</t>
  </si>
  <si>
    <t>Capacty (GW LHV H2)</t>
  </si>
  <si>
    <t>Electricity usage (MWe/(km*kg H2)</t>
  </si>
  <si>
    <t>Source: Analysing future demand, supply, and transport of hydrogen, 2021 (Table 35)</t>
  </si>
  <si>
    <t>Source: 5% of plant capital cost</t>
  </si>
  <si>
    <t>Max capacity [TWh]</t>
  </si>
  <si>
    <t>Source: Table 3 in Picturing the value of underground gas storage to the European hydrogen system by Gas Infrastructure Europe (GIE)</t>
  </si>
  <si>
    <t>Source: Table 5 in Picturing the value of underground gas storage to the European hydrogen system by Gas Infrastructure Europe (GIE)</t>
  </si>
  <si>
    <t>Source: 5% of capital cost</t>
  </si>
  <si>
    <t>Description: Lifetime of electrolyzer plant, before everything needs to be replaced (years) (default 20)</t>
  </si>
  <si>
    <t>Desciption: Capital cost of PEM electrolyzer (€/MW) (default 999999)</t>
  </si>
  <si>
    <t>Description: Maximum H2 storage capacity in each node (kg) (default 0)</t>
  </si>
  <si>
    <t>Source: Power-To-Hydrogen And Hydrogen-To-X System Analysis Of The Techno-Economic, Legal And Regulatory Conditions, Hydrogen TCP, 2020</t>
  </si>
  <si>
    <t>SMR</t>
  </si>
  <si>
    <t>LHV Efficiency</t>
  </si>
  <si>
    <t>Plant type</t>
  </si>
  <si>
    <t>SMR_CCS</t>
  </si>
  <si>
    <t>Description: Cost of replacing stack in PEM electrolyzer (€/MW) (default 999999)</t>
  </si>
  <si>
    <t>ATR_CCS</t>
  </si>
  <si>
    <t>GHR_ATR_CCS</t>
  </si>
  <si>
    <t>Source:  Table 21 in Hydrogen4EU report</t>
  </si>
  <si>
    <t>Description: LHV Efficiency of natural gas use for reformer plants</t>
  </si>
  <si>
    <t>Description: Fixed O&amp;M costs for reformer plants</t>
  </si>
  <si>
    <t>Description: Capital cost of reformer plants</t>
  </si>
  <si>
    <t>Description: Lifetime of reformer plants, before everything needs to be replaced (years) (default 25)</t>
  </si>
  <si>
    <t>Description: Variable O&amp;M costs for reformer plants</t>
  </si>
  <si>
    <t>CO2 emisions from natural gas combustion [kg CO2 / kg NG]</t>
  </si>
  <si>
    <t>Hydrogen</t>
  </si>
  <si>
    <t>Methane</t>
  </si>
  <si>
    <t>LHV [MJ/kg]</t>
  </si>
  <si>
    <t>CO2 capture rate [%]</t>
  </si>
  <si>
    <t>Description: Electricity use per kg H2</t>
  </si>
  <si>
    <t>PJ / PJ H2</t>
  </si>
  <si>
    <t>LHV H2</t>
  </si>
  <si>
    <t>MJ/kg</t>
  </si>
  <si>
    <t>PJ / kg H2</t>
  </si>
  <si>
    <t>MWh / PJ</t>
  </si>
  <si>
    <t>MWh / kg</t>
  </si>
  <si>
    <t>Variable O&amp;M cost (EUR/GJ H2)</t>
  </si>
  <si>
    <t>ATR</t>
  </si>
  <si>
    <t>Variable O&amp;M cost (EUR/kg H2)</t>
  </si>
  <si>
    <t>ReformerLocations</t>
  </si>
  <si>
    <t>ReformerPlants</t>
  </si>
  <si>
    <t>Capital cost [EUR/kW H2]</t>
  </si>
  <si>
    <t>Fixed O&amp;M cost [EUR/kW H2]</t>
  </si>
  <si>
    <t>Source:  Table 22 in Hydrogen4EU Report</t>
  </si>
  <si>
    <t>Source:  Efficiency numbers from Table 22 in Hydrogen4EU report + own calculations. 95% capture rate assumed based on conversation with author</t>
  </si>
  <si>
    <t>Variable O&amp;M cost (EUR/MWh H2)</t>
  </si>
  <si>
    <t>MWh / MWh</t>
  </si>
  <si>
    <t>MWh/kg</t>
  </si>
  <si>
    <t>EMITTED tons CO2/MWh</t>
  </si>
  <si>
    <t>EMITTED kg CO2/MWh H2</t>
  </si>
  <si>
    <t>CAPTURED kg CO2/MWh H2</t>
  </si>
  <si>
    <t>CAPTURED tons CO2/MWh</t>
  </si>
  <si>
    <t>Norway</t>
  </si>
  <si>
    <t>PipelineType</t>
  </si>
  <si>
    <t>Description: Capital cost per km for hydrogen pipelines (€/(km)) (default 999999)</t>
  </si>
  <si>
    <t>MediumOnshore</t>
  </si>
  <si>
    <t>LargeOnshore</t>
  </si>
  <si>
    <t>MediumOffshore</t>
  </si>
  <si>
    <t>LargeOffshore</t>
  </si>
  <si>
    <t>Capacity (GW)</t>
  </si>
  <si>
    <t>Compression need 
[MWe/1000 km]</t>
  </si>
  <si>
    <t>Description: O&amp;M cost hydrogen pipelines (€/(km)) (default 999999)</t>
  </si>
  <si>
    <t>Capital cost [EUR/MW H2]</t>
  </si>
  <si>
    <t>Fixed O&amp;M cost [EUR/MW H2]</t>
  </si>
  <si>
    <t>Variable O&amp;M cost [EUR/ton H2]</t>
  </si>
  <si>
    <t>Electricity demand [MWh / ton]</t>
  </si>
  <si>
    <t>Ton CO2 emissions per ton H2</t>
  </si>
  <si>
    <t>Description: Electricity consumption (MWh) for producing 1 ton of H2 (Figure 28 in Source)</t>
  </si>
  <si>
    <t>Description: Pipeline capacity (ton/hr) (default 999999)</t>
  </si>
  <si>
    <t>Description: Capital cost of developing the hydrogen storage (assumed to be salt cavern) (EUR/ton) (default 999999)</t>
  </si>
  <si>
    <t>Capital cost (euro/kg)</t>
  </si>
  <si>
    <t>Capital cost (euro/ton)</t>
  </si>
  <si>
    <t>Max capacity [ton]</t>
  </si>
  <si>
    <t>Total( MWh/hr)</t>
  </si>
  <si>
    <t>Total (TWh/year)</t>
  </si>
  <si>
    <t>Transport demand (TWh/year)</t>
  </si>
  <si>
    <t>Industrial demand (TWh/year)</t>
  </si>
  <si>
    <t>[Transport demand [kg/year]</t>
  </si>
  <si>
    <t>Industrial demand [kg/year]</t>
  </si>
  <si>
    <t>Source: Analysing future demand, supply, and transport of hydrogen, 2021 (Tables 5 and 15)</t>
  </si>
  <si>
    <t>Description: Fixed O&amp;M costs for salt cavern H2 storage (EUR/ton) (default 999999)</t>
  </si>
  <si>
    <t>Description: Emission of CO2 (ton) captured per ton H2 produced (ton CO2/ton H2)</t>
  </si>
  <si>
    <t>Ton CO2 emissions captured per ton H2</t>
  </si>
  <si>
    <t>Description: Emission of CO2 (ton) per ton H2 produced (ton CO2/ton H2)</t>
  </si>
  <si>
    <t>Description: Demand of hydrogen in each North Sea country (kg/year) (default: 0)</t>
  </si>
  <si>
    <t>Total demand (tons/hr)</t>
  </si>
  <si>
    <t>Total (tons/year)</t>
  </si>
  <si>
    <t>Capacity (ton/hr)</t>
  </si>
  <si>
    <t>Capital cost (euro/km)</t>
  </si>
  <si>
    <t>O&amp;M Cost (euro/km)</t>
  </si>
  <si>
    <t>Electricity usage (MWh/ton/km)</t>
  </si>
  <si>
    <t>Description: Electricity usage in compressors for transporting 1 ton of H2 for 1 km (MWe/(ton*km)) (default 999999)</t>
  </si>
  <si>
    <t>El consumption (MWh/ton)</t>
  </si>
  <si>
    <t>elyzerLifetime (years)</t>
  </si>
  <si>
    <t>elyzerStackCapCost (euro/MW)</t>
  </si>
  <si>
    <t>eLyzerOMCost (euro/MW)</t>
  </si>
  <si>
    <t>elyzerCapCost (euro/MW)</t>
  </si>
  <si>
    <t>SMRLifetime (years)</t>
  </si>
  <si>
    <t>O&amp;M cost per ton H2 (euro/ton)</t>
  </si>
  <si>
    <t>Std. dev. % of mean</t>
  </si>
  <si>
    <t>Lower</t>
  </si>
  <si>
    <t>Middle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</si>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</sst>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oran Durakovic" id="{83A8B537-F0C2-1644-9CE0-34F4BE7E2E51}" userId="S::gorand@ntnu.no::b65cc0a6-4260-4400-b97a-f3e0affc4de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10-20T19:52:16.10" personId="{83A8B537-F0C2-1644-9CE0-34F4BE7E2E51}" id="{8F958C4A-092E-9E4A-80C9-D5D0C1247762}">
    <text>Compression need from Analysing future demand, supply, and transport of hydrogen, 2021</text>
  </threadedComment>
</ThreadedComment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BA31-C322-C645-9748-84408CAE14BB}">
  <dimension ref="A1:A7"/>
  <sheetViews>
    <sheetView workbookViewId="0"/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17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657-FD93-C84A-ABD6-267EDA42A64A}">
  <dimension ref="A1:A7"/>
  <sheetViews>
    <sheetView workbookViewId="0">
      <selection activeCell="A2" sqref="A2:A7"/>
    </sheetView>
  </sheetViews>
  <sheetFormatPr baseColWidth="10" defaultRowHeight="16" x14ac:dyDescent="0.2"/>
  <sheetData>
    <row r="1" spans="1:1" x14ac:dyDescent="0.2">
      <c r="A1" t="s">
        <v>63</v>
      </c>
    </row>
    <row r="2" spans="1:1" x14ac:dyDescent="0.2">
      <c r="A2" t="s">
        <v>17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1D04-97E3-8343-9D37-48C8639F9B4D}">
  <dimension ref="A1:A4"/>
  <sheetViews>
    <sheetView zoomScaleNormal="100"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64</v>
      </c>
    </row>
    <row r="2" spans="1:1" x14ac:dyDescent="0.2">
      <c r="A2" t="s">
        <v>38</v>
      </c>
    </row>
    <row r="3" spans="1:1" x14ac:dyDescent="0.2">
      <c r="A3" t="s">
        <v>40</v>
      </c>
    </row>
    <row r="4" spans="1:1" x14ac:dyDescent="0.2">
      <c r="A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D3DF-5A2A-F84E-AC03-E8FC2BCB9DC1}">
  <dimension ref="A1:G21"/>
  <sheetViews>
    <sheetView workbookViewId="0">
      <selection activeCell="C4" sqref="C4:C21"/>
    </sheetView>
  </sheetViews>
  <sheetFormatPr baseColWidth="10" defaultRowHeight="16" x14ac:dyDescent="0.2"/>
  <sheetData>
    <row r="1" spans="1:7" x14ac:dyDescent="0.2">
      <c r="A1" s="1" t="s">
        <v>42</v>
      </c>
      <c r="B1" s="1"/>
      <c r="C1" s="1"/>
    </row>
    <row r="2" spans="1:7" x14ac:dyDescent="0.2">
      <c r="A2" s="1" t="s">
        <v>45</v>
      </c>
      <c r="B2" s="1"/>
      <c r="C2" s="1"/>
    </row>
    <row r="3" spans="1:7" x14ac:dyDescent="0.2">
      <c r="A3" s="1" t="s">
        <v>37</v>
      </c>
      <c r="B3" s="1" t="s">
        <v>0</v>
      </c>
      <c r="C3" s="1" t="s">
        <v>86</v>
      </c>
      <c r="F3" s="1"/>
      <c r="G3" s="1" t="s">
        <v>65</v>
      </c>
    </row>
    <row r="4" spans="1:7" x14ac:dyDescent="0.2">
      <c r="A4" s="1" t="s">
        <v>38</v>
      </c>
      <c r="B4" s="1">
        <v>1</v>
      </c>
      <c r="C4" s="1">
        <f>G4*1000</f>
        <v>1487000</v>
      </c>
      <c r="G4" s="1">
        <v>1487</v>
      </c>
    </row>
    <row r="5" spans="1:7" x14ac:dyDescent="0.2">
      <c r="A5" s="1" t="s">
        <v>38</v>
      </c>
      <c r="B5" s="1">
        <v>2</v>
      </c>
      <c r="C5" s="1">
        <f t="shared" ref="C5:C21" si="0">G5*1000</f>
        <v>1487000</v>
      </c>
      <c r="G5" s="1">
        <v>1487</v>
      </c>
    </row>
    <row r="6" spans="1:7" x14ac:dyDescent="0.2">
      <c r="A6" s="1" t="s">
        <v>38</v>
      </c>
      <c r="B6" s="1">
        <v>3</v>
      </c>
      <c r="C6" s="1">
        <f t="shared" si="0"/>
        <v>1204000</v>
      </c>
      <c r="G6" s="1">
        <v>1204</v>
      </c>
    </row>
    <row r="7" spans="1:7" x14ac:dyDescent="0.2">
      <c r="A7" s="1" t="s">
        <v>38</v>
      </c>
      <c r="B7" s="1">
        <v>4</v>
      </c>
      <c r="C7" s="1">
        <f t="shared" si="0"/>
        <v>1204000</v>
      </c>
      <c r="G7" s="1">
        <v>1204</v>
      </c>
    </row>
    <row r="8" spans="1:7" x14ac:dyDescent="0.2">
      <c r="A8" s="1" t="s">
        <v>38</v>
      </c>
      <c r="B8" s="1">
        <v>5</v>
      </c>
      <c r="C8" s="1">
        <f t="shared" si="0"/>
        <v>1204000</v>
      </c>
      <c r="G8" s="1">
        <v>1204</v>
      </c>
    </row>
    <row r="9" spans="1:7" x14ac:dyDescent="0.2">
      <c r="A9" s="1" t="s">
        <v>38</v>
      </c>
      <c r="B9" s="1">
        <v>6</v>
      </c>
      <c r="C9" s="1">
        <f t="shared" si="0"/>
        <v>1204000</v>
      </c>
      <c r="G9" s="1">
        <v>1204</v>
      </c>
    </row>
    <row r="10" spans="1:7" x14ac:dyDescent="0.2">
      <c r="A10" t="s">
        <v>40</v>
      </c>
      <c r="B10" s="1">
        <v>1</v>
      </c>
      <c r="C10" s="1">
        <f t="shared" si="0"/>
        <v>800000</v>
      </c>
      <c r="G10" s="1">
        <v>800</v>
      </c>
    </row>
    <row r="11" spans="1:7" x14ac:dyDescent="0.2">
      <c r="A11" t="s">
        <v>40</v>
      </c>
      <c r="B11" s="1">
        <v>2</v>
      </c>
      <c r="C11" s="1">
        <f t="shared" si="0"/>
        <v>800000</v>
      </c>
      <c r="G11" s="1">
        <v>800</v>
      </c>
    </row>
    <row r="12" spans="1:7" x14ac:dyDescent="0.2">
      <c r="A12" t="s">
        <v>40</v>
      </c>
      <c r="B12" s="1">
        <v>3</v>
      </c>
      <c r="C12" s="1">
        <f t="shared" si="0"/>
        <v>700000</v>
      </c>
      <c r="G12" s="1">
        <v>700</v>
      </c>
    </row>
    <row r="13" spans="1:7" x14ac:dyDescent="0.2">
      <c r="A13" t="s">
        <v>40</v>
      </c>
      <c r="B13" s="1">
        <v>4</v>
      </c>
      <c r="C13" s="1">
        <f t="shared" si="0"/>
        <v>700000</v>
      </c>
      <c r="G13" s="1">
        <v>700</v>
      </c>
    </row>
    <row r="14" spans="1:7" x14ac:dyDescent="0.2">
      <c r="A14" t="s">
        <v>40</v>
      </c>
      <c r="B14" s="1">
        <v>5</v>
      </c>
      <c r="C14" s="1">
        <f t="shared" si="0"/>
        <v>700000</v>
      </c>
      <c r="G14" s="1">
        <v>700</v>
      </c>
    </row>
    <row r="15" spans="1:7" x14ac:dyDescent="0.2">
      <c r="A15" t="s">
        <v>40</v>
      </c>
      <c r="B15" s="1">
        <v>6</v>
      </c>
      <c r="C15" s="1">
        <f t="shared" si="0"/>
        <v>700000</v>
      </c>
      <c r="G15" s="1">
        <v>700</v>
      </c>
    </row>
    <row r="16" spans="1:7" x14ac:dyDescent="0.2">
      <c r="A16" t="s">
        <v>41</v>
      </c>
      <c r="B16" s="1">
        <v>1</v>
      </c>
      <c r="C16" s="1">
        <f t="shared" si="0"/>
        <v>830000</v>
      </c>
      <c r="G16" s="1">
        <v>830</v>
      </c>
    </row>
    <row r="17" spans="1:7" x14ac:dyDescent="0.2">
      <c r="A17" t="s">
        <v>41</v>
      </c>
      <c r="B17" s="1">
        <v>2</v>
      </c>
      <c r="C17" s="1">
        <f t="shared" si="0"/>
        <v>830000</v>
      </c>
      <c r="G17" s="1">
        <v>830</v>
      </c>
    </row>
    <row r="18" spans="1:7" x14ac:dyDescent="0.2">
      <c r="A18" t="s">
        <v>41</v>
      </c>
      <c r="B18" s="1">
        <v>3</v>
      </c>
      <c r="C18" s="1">
        <f t="shared" si="0"/>
        <v>750000</v>
      </c>
      <c r="G18" s="1">
        <v>750</v>
      </c>
    </row>
    <row r="19" spans="1:7" x14ac:dyDescent="0.2">
      <c r="A19" t="s">
        <v>41</v>
      </c>
      <c r="B19" s="1">
        <v>4</v>
      </c>
      <c r="C19" s="1">
        <f t="shared" si="0"/>
        <v>750000</v>
      </c>
      <c r="G19" s="1">
        <v>750</v>
      </c>
    </row>
    <row r="20" spans="1:7" x14ac:dyDescent="0.2">
      <c r="A20" t="s">
        <v>41</v>
      </c>
      <c r="B20" s="1">
        <v>5</v>
      </c>
      <c r="C20" s="1">
        <f t="shared" si="0"/>
        <v>750000</v>
      </c>
      <c r="G20" s="1">
        <v>750</v>
      </c>
    </row>
    <row r="21" spans="1:7" x14ac:dyDescent="0.2">
      <c r="A21" t="s">
        <v>41</v>
      </c>
      <c r="B21" s="1">
        <v>6</v>
      </c>
      <c r="C21" s="1">
        <f t="shared" si="0"/>
        <v>750000</v>
      </c>
      <c r="G21" s="1">
        <v>750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AAAA-095A-4044-9493-0490E7C48C4F}">
  <dimension ref="A1:G21"/>
  <sheetViews>
    <sheetView zoomScaleNormal="100" workbookViewId="0">
      <selection activeCell="C4" sqref="C4:C21"/>
    </sheetView>
  </sheetViews>
  <sheetFormatPr baseColWidth="10" defaultRowHeight="16" x14ac:dyDescent="0.2"/>
  <cols>
    <col min="5" max="5" width="12.1640625" bestFit="1" customWidth="1"/>
  </cols>
  <sheetData>
    <row r="1" spans="1:7" x14ac:dyDescent="0.2">
      <c r="A1" s="1" t="s">
        <v>42</v>
      </c>
      <c r="B1" s="1"/>
      <c r="C1" s="1"/>
    </row>
    <row r="2" spans="1:7" x14ac:dyDescent="0.2">
      <c r="A2" s="1" t="s">
        <v>44</v>
      </c>
      <c r="B2" s="1"/>
      <c r="C2" s="1"/>
    </row>
    <row r="3" spans="1:7" x14ac:dyDescent="0.2">
      <c r="A3" s="1" t="s">
        <v>37</v>
      </c>
      <c r="B3" s="1" t="s">
        <v>0</v>
      </c>
      <c r="C3" s="1" t="s">
        <v>87</v>
      </c>
      <c r="D3" s="1"/>
      <c r="E3" s="1"/>
      <c r="G3" s="1" t="s">
        <v>66</v>
      </c>
    </row>
    <row r="4" spans="1:7" x14ac:dyDescent="0.2">
      <c r="A4" s="1" t="s">
        <v>38</v>
      </c>
      <c r="B4" s="1">
        <v>1</v>
      </c>
      <c r="C4" s="1">
        <f>G4*1000</f>
        <v>44600</v>
      </c>
      <c r="D4" s="1"/>
      <c r="G4" s="1">
        <v>44.6</v>
      </c>
    </row>
    <row r="5" spans="1:7" x14ac:dyDescent="0.2">
      <c r="A5" s="1" t="s">
        <v>38</v>
      </c>
      <c r="B5" s="1">
        <v>2</v>
      </c>
      <c r="C5" s="1">
        <f t="shared" ref="C5:C21" si="0">G5*1000</f>
        <v>44600</v>
      </c>
      <c r="D5" s="1"/>
      <c r="G5" s="1">
        <v>44.6</v>
      </c>
    </row>
    <row r="6" spans="1:7" x14ac:dyDescent="0.2">
      <c r="A6" s="1" t="s">
        <v>38</v>
      </c>
      <c r="B6" s="1">
        <v>3</v>
      </c>
      <c r="C6" s="1">
        <f t="shared" si="0"/>
        <v>36100</v>
      </c>
      <c r="D6" s="1"/>
      <c r="G6" s="1">
        <v>36.1</v>
      </c>
    </row>
    <row r="7" spans="1:7" x14ac:dyDescent="0.2">
      <c r="A7" s="1" t="s">
        <v>38</v>
      </c>
      <c r="B7" s="1">
        <v>4</v>
      </c>
      <c r="C7" s="1">
        <f t="shared" si="0"/>
        <v>36100</v>
      </c>
      <c r="D7" s="1"/>
      <c r="G7" s="1">
        <v>36.1</v>
      </c>
    </row>
    <row r="8" spans="1:7" x14ac:dyDescent="0.2">
      <c r="A8" s="1" t="s">
        <v>38</v>
      </c>
      <c r="B8" s="1">
        <v>5</v>
      </c>
      <c r="C8" s="1">
        <f t="shared" si="0"/>
        <v>36100</v>
      </c>
      <c r="D8" s="1"/>
      <c r="G8" s="1">
        <v>36.1</v>
      </c>
    </row>
    <row r="9" spans="1:7" x14ac:dyDescent="0.2">
      <c r="A9" s="1" t="s">
        <v>38</v>
      </c>
      <c r="B9" s="1">
        <v>6</v>
      </c>
      <c r="C9" s="1">
        <f t="shared" si="0"/>
        <v>36100</v>
      </c>
      <c r="D9" s="1"/>
      <c r="G9" s="1">
        <v>36.1</v>
      </c>
    </row>
    <row r="10" spans="1:7" x14ac:dyDescent="0.2">
      <c r="A10" t="s">
        <v>40</v>
      </c>
      <c r="B10" s="1">
        <v>1</v>
      </c>
      <c r="C10" s="1">
        <f t="shared" si="0"/>
        <v>24000</v>
      </c>
      <c r="G10" s="1">
        <v>24</v>
      </c>
    </row>
    <row r="11" spans="1:7" x14ac:dyDescent="0.2">
      <c r="A11" t="s">
        <v>40</v>
      </c>
      <c r="B11" s="1">
        <v>2</v>
      </c>
      <c r="C11" s="1">
        <f t="shared" si="0"/>
        <v>24000</v>
      </c>
      <c r="G11" s="1">
        <v>24</v>
      </c>
    </row>
    <row r="12" spans="1:7" x14ac:dyDescent="0.2">
      <c r="A12" t="s">
        <v>40</v>
      </c>
      <c r="B12" s="1">
        <v>3</v>
      </c>
      <c r="C12" s="1">
        <f t="shared" si="0"/>
        <v>21000</v>
      </c>
      <c r="G12" s="1">
        <v>21</v>
      </c>
    </row>
    <row r="13" spans="1:7" x14ac:dyDescent="0.2">
      <c r="A13" t="s">
        <v>40</v>
      </c>
      <c r="B13" s="1">
        <v>4</v>
      </c>
      <c r="C13" s="1">
        <f t="shared" si="0"/>
        <v>21000</v>
      </c>
      <c r="G13" s="1">
        <v>21</v>
      </c>
    </row>
    <row r="14" spans="1:7" x14ac:dyDescent="0.2">
      <c r="A14" t="s">
        <v>40</v>
      </c>
      <c r="B14" s="1">
        <v>5</v>
      </c>
      <c r="C14" s="1">
        <f t="shared" si="0"/>
        <v>21000</v>
      </c>
      <c r="G14" s="1">
        <v>21</v>
      </c>
    </row>
    <row r="15" spans="1:7" x14ac:dyDescent="0.2">
      <c r="A15" t="s">
        <v>40</v>
      </c>
      <c r="B15" s="1">
        <v>6</v>
      </c>
      <c r="C15" s="1">
        <f t="shared" si="0"/>
        <v>21000</v>
      </c>
      <c r="G15" s="1">
        <v>21</v>
      </c>
    </row>
    <row r="16" spans="1:7" x14ac:dyDescent="0.2">
      <c r="A16" t="s">
        <v>41</v>
      </c>
      <c r="B16" s="1">
        <v>1</v>
      </c>
      <c r="C16" s="1">
        <f t="shared" si="0"/>
        <v>24900</v>
      </c>
      <c r="G16" s="1">
        <v>24.9</v>
      </c>
    </row>
    <row r="17" spans="1:7" x14ac:dyDescent="0.2">
      <c r="A17" t="s">
        <v>41</v>
      </c>
      <c r="B17" s="1">
        <v>2</v>
      </c>
      <c r="C17" s="1">
        <f t="shared" si="0"/>
        <v>24900</v>
      </c>
      <c r="G17" s="1">
        <v>24.9</v>
      </c>
    </row>
    <row r="18" spans="1:7" x14ac:dyDescent="0.2">
      <c r="A18" t="s">
        <v>41</v>
      </c>
      <c r="B18" s="1">
        <v>3</v>
      </c>
      <c r="C18" s="1">
        <f t="shared" si="0"/>
        <v>22200</v>
      </c>
      <c r="G18" s="1">
        <v>22.2</v>
      </c>
    </row>
    <row r="19" spans="1:7" x14ac:dyDescent="0.2">
      <c r="A19" t="s">
        <v>41</v>
      </c>
      <c r="B19" s="1">
        <v>4</v>
      </c>
      <c r="C19" s="1">
        <f t="shared" si="0"/>
        <v>22200</v>
      </c>
      <c r="G19" s="1">
        <v>22.2</v>
      </c>
    </row>
    <row r="20" spans="1:7" x14ac:dyDescent="0.2">
      <c r="A20" t="s">
        <v>41</v>
      </c>
      <c r="B20" s="1">
        <v>5</v>
      </c>
      <c r="C20" s="1">
        <f t="shared" si="0"/>
        <v>22200</v>
      </c>
      <c r="G20" s="1">
        <v>22.2</v>
      </c>
    </row>
    <row r="21" spans="1:7" x14ac:dyDescent="0.2">
      <c r="A21" t="s">
        <v>41</v>
      </c>
      <c r="B21" s="1">
        <v>6</v>
      </c>
      <c r="C21" s="1">
        <f t="shared" si="0"/>
        <v>22200</v>
      </c>
      <c r="G21" s="1">
        <v>22.2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CF01-80CE-E743-8C57-07EFE290C6A1}">
  <dimension ref="A1:I21"/>
  <sheetViews>
    <sheetView workbookViewId="0">
      <selection activeCell="C4" sqref="C4:C21"/>
    </sheetView>
  </sheetViews>
  <sheetFormatPr baseColWidth="10" defaultRowHeight="16" x14ac:dyDescent="0.2"/>
  <sheetData>
    <row r="1" spans="1:9" x14ac:dyDescent="0.2">
      <c r="A1" s="1" t="s">
        <v>42</v>
      </c>
      <c r="B1" s="1"/>
      <c r="G1" s="4" t="s">
        <v>55</v>
      </c>
      <c r="H1" s="4">
        <v>120</v>
      </c>
      <c r="I1" s="4" t="s">
        <v>56</v>
      </c>
    </row>
    <row r="2" spans="1:9" x14ac:dyDescent="0.2">
      <c r="A2" s="1" t="s">
        <v>47</v>
      </c>
      <c r="B2" s="1"/>
    </row>
    <row r="3" spans="1:9" x14ac:dyDescent="0.2">
      <c r="A3" s="1" t="s">
        <v>37</v>
      </c>
      <c r="B3" s="1" t="s">
        <v>0</v>
      </c>
      <c r="C3" s="1" t="s">
        <v>88</v>
      </c>
      <c r="G3" s="1" t="s">
        <v>60</v>
      </c>
      <c r="H3" s="1" t="s">
        <v>62</v>
      </c>
      <c r="I3" s="1" t="s">
        <v>69</v>
      </c>
    </row>
    <row r="4" spans="1:9" x14ac:dyDescent="0.2">
      <c r="A4" s="1" t="s">
        <v>38</v>
      </c>
      <c r="B4" s="1">
        <v>1</v>
      </c>
      <c r="C4">
        <f>H4*1000</f>
        <v>63.6</v>
      </c>
      <c r="G4">
        <v>0.53</v>
      </c>
      <c r="H4">
        <f t="shared" ref="H4:H21" si="0">$H$1/1000*G4</f>
        <v>6.3600000000000004E-2</v>
      </c>
      <c r="I4">
        <f t="shared" ref="I4:I21" si="1">G4*3.6</f>
        <v>1.9080000000000001</v>
      </c>
    </row>
    <row r="5" spans="1:9" x14ac:dyDescent="0.2">
      <c r="A5" s="1" t="s">
        <v>38</v>
      </c>
      <c r="B5" s="1">
        <v>2</v>
      </c>
      <c r="C5">
        <f t="shared" ref="C5:C21" si="2">H5*1000</f>
        <v>63.6</v>
      </c>
      <c r="G5">
        <v>0.53</v>
      </c>
      <c r="H5">
        <f t="shared" si="0"/>
        <v>6.3600000000000004E-2</v>
      </c>
      <c r="I5">
        <f t="shared" si="1"/>
        <v>1.9080000000000001</v>
      </c>
    </row>
    <row r="6" spans="1:9" x14ac:dyDescent="0.2">
      <c r="A6" s="1" t="s">
        <v>38</v>
      </c>
      <c r="B6" s="1">
        <v>3</v>
      </c>
      <c r="C6">
        <f t="shared" si="2"/>
        <v>8.4</v>
      </c>
      <c r="G6">
        <v>7.0000000000000007E-2</v>
      </c>
      <c r="H6">
        <f t="shared" si="0"/>
        <v>8.4000000000000012E-3</v>
      </c>
      <c r="I6">
        <f t="shared" si="1"/>
        <v>0.25200000000000006</v>
      </c>
    </row>
    <row r="7" spans="1:9" x14ac:dyDescent="0.2">
      <c r="A7" s="1" t="s">
        <v>38</v>
      </c>
      <c r="B7" s="1">
        <v>4</v>
      </c>
      <c r="C7">
        <f t="shared" si="2"/>
        <v>8.4</v>
      </c>
      <c r="G7">
        <v>7.0000000000000007E-2</v>
      </c>
      <c r="H7">
        <f t="shared" si="0"/>
        <v>8.4000000000000012E-3</v>
      </c>
      <c r="I7">
        <f t="shared" si="1"/>
        <v>0.25200000000000006</v>
      </c>
    </row>
    <row r="8" spans="1:9" x14ac:dyDescent="0.2">
      <c r="A8" s="1" t="s">
        <v>38</v>
      </c>
      <c r="B8" s="1">
        <v>5</v>
      </c>
      <c r="C8">
        <f t="shared" si="2"/>
        <v>8.4</v>
      </c>
      <c r="G8">
        <v>7.0000000000000007E-2</v>
      </c>
      <c r="H8">
        <f t="shared" si="0"/>
        <v>8.4000000000000012E-3</v>
      </c>
      <c r="I8">
        <f t="shared" si="1"/>
        <v>0.25200000000000006</v>
      </c>
    </row>
    <row r="9" spans="1:9" x14ac:dyDescent="0.2">
      <c r="A9" s="1" t="s">
        <v>38</v>
      </c>
      <c r="B9" s="1">
        <v>6</v>
      </c>
      <c r="C9">
        <f t="shared" si="2"/>
        <v>8.4</v>
      </c>
      <c r="G9">
        <v>7.0000000000000007E-2</v>
      </c>
      <c r="H9">
        <f t="shared" si="0"/>
        <v>8.4000000000000012E-3</v>
      </c>
      <c r="I9">
        <f t="shared" si="1"/>
        <v>0.25200000000000006</v>
      </c>
    </row>
    <row r="10" spans="1:9" x14ac:dyDescent="0.2">
      <c r="A10" t="s">
        <v>40</v>
      </c>
      <c r="B10" s="1">
        <v>1</v>
      </c>
      <c r="C10">
        <f t="shared" si="2"/>
        <v>63.6</v>
      </c>
      <c r="G10">
        <v>0.53</v>
      </c>
      <c r="H10">
        <f t="shared" si="0"/>
        <v>6.3600000000000004E-2</v>
      </c>
      <c r="I10">
        <f t="shared" si="1"/>
        <v>1.9080000000000001</v>
      </c>
    </row>
    <row r="11" spans="1:9" x14ac:dyDescent="0.2">
      <c r="A11" t="s">
        <v>40</v>
      </c>
      <c r="B11" s="1">
        <v>2</v>
      </c>
      <c r="C11">
        <f t="shared" si="2"/>
        <v>63.6</v>
      </c>
      <c r="G11">
        <v>0.53</v>
      </c>
      <c r="H11">
        <f t="shared" si="0"/>
        <v>6.3600000000000004E-2</v>
      </c>
      <c r="I11">
        <f t="shared" si="1"/>
        <v>1.9080000000000001</v>
      </c>
    </row>
    <row r="12" spans="1:9" x14ac:dyDescent="0.2">
      <c r="A12" t="s">
        <v>40</v>
      </c>
      <c r="B12" s="1">
        <v>3</v>
      </c>
      <c r="C12">
        <f t="shared" si="2"/>
        <v>8.4</v>
      </c>
      <c r="G12">
        <v>7.0000000000000007E-2</v>
      </c>
      <c r="H12">
        <f t="shared" si="0"/>
        <v>8.4000000000000012E-3</v>
      </c>
      <c r="I12">
        <f t="shared" si="1"/>
        <v>0.25200000000000006</v>
      </c>
    </row>
    <row r="13" spans="1:9" x14ac:dyDescent="0.2">
      <c r="A13" t="s">
        <v>40</v>
      </c>
      <c r="B13" s="1">
        <v>4</v>
      </c>
      <c r="C13">
        <f t="shared" si="2"/>
        <v>8.4</v>
      </c>
      <c r="G13">
        <v>7.0000000000000007E-2</v>
      </c>
      <c r="H13">
        <f t="shared" si="0"/>
        <v>8.4000000000000012E-3</v>
      </c>
      <c r="I13">
        <f t="shared" si="1"/>
        <v>0.25200000000000006</v>
      </c>
    </row>
    <row r="14" spans="1:9" x14ac:dyDescent="0.2">
      <c r="A14" t="s">
        <v>40</v>
      </c>
      <c r="B14" s="1">
        <v>5</v>
      </c>
      <c r="C14">
        <f t="shared" si="2"/>
        <v>8.4</v>
      </c>
      <c r="G14">
        <v>7.0000000000000007E-2</v>
      </c>
      <c r="H14">
        <f t="shared" si="0"/>
        <v>8.4000000000000012E-3</v>
      </c>
      <c r="I14">
        <f t="shared" si="1"/>
        <v>0.25200000000000006</v>
      </c>
    </row>
    <row r="15" spans="1:9" x14ac:dyDescent="0.2">
      <c r="A15" t="s">
        <v>40</v>
      </c>
      <c r="B15" s="1">
        <v>6</v>
      </c>
      <c r="C15">
        <f t="shared" si="2"/>
        <v>8.4</v>
      </c>
      <c r="G15">
        <v>7.0000000000000007E-2</v>
      </c>
      <c r="H15">
        <f t="shared" si="0"/>
        <v>8.4000000000000012E-3</v>
      </c>
      <c r="I15">
        <f t="shared" si="1"/>
        <v>0.25200000000000006</v>
      </c>
    </row>
    <row r="16" spans="1:9" x14ac:dyDescent="0.2">
      <c r="A16" t="s">
        <v>41</v>
      </c>
      <c r="B16" s="1">
        <v>1</v>
      </c>
      <c r="C16">
        <f t="shared" si="2"/>
        <v>63.6</v>
      </c>
      <c r="G16">
        <v>0.53</v>
      </c>
      <c r="H16">
        <f t="shared" si="0"/>
        <v>6.3600000000000004E-2</v>
      </c>
      <c r="I16">
        <f t="shared" si="1"/>
        <v>1.9080000000000001</v>
      </c>
    </row>
    <row r="17" spans="1:9" x14ac:dyDescent="0.2">
      <c r="A17" t="s">
        <v>41</v>
      </c>
      <c r="B17" s="1">
        <v>2</v>
      </c>
      <c r="C17">
        <f t="shared" si="2"/>
        <v>63.6</v>
      </c>
      <c r="G17">
        <v>0.53</v>
      </c>
      <c r="H17">
        <f t="shared" si="0"/>
        <v>6.3600000000000004E-2</v>
      </c>
      <c r="I17">
        <f t="shared" si="1"/>
        <v>1.9080000000000001</v>
      </c>
    </row>
    <row r="18" spans="1:9" x14ac:dyDescent="0.2">
      <c r="A18" t="s">
        <v>41</v>
      </c>
      <c r="B18" s="1">
        <v>3</v>
      </c>
      <c r="C18">
        <f t="shared" si="2"/>
        <v>8.4</v>
      </c>
      <c r="G18">
        <v>7.0000000000000007E-2</v>
      </c>
      <c r="H18">
        <f t="shared" si="0"/>
        <v>8.4000000000000012E-3</v>
      </c>
      <c r="I18">
        <f t="shared" si="1"/>
        <v>0.25200000000000006</v>
      </c>
    </row>
    <row r="19" spans="1:9" x14ac:dyDescent="0.2">
      <c r="A19" t="s">
        <v>41</v>
      </c>
      <c r="B19" s="1">
        <v>4</v>
      </c>
      <c r="C19">
        <f t="shared" si="2"/>
        <v>8.4</v>
      </c>
      <c r="G19">
        <v>7.0000000000000007E-2</v>
      </c>
      <c r="H19">
        <f t="shared" si="0"/>
        <v>8.4000000000000012E-3</v>
      </c>
      <c r="I19">
        <f t="shared" si="1"/>
        <v>0.25200000000000006</v>
      </c>
    </row>
    <row r="20" spans="1:9" x14ac:dyDescent="0.2">
      <c r="A20" t="s">
        <v>41</v>
      </c>
      <c r="B20" s="1">
        <v>5</v>
      </c>
      <c r="C20">
        <f t="shared" si="2"/>
        <v>8.4</v>
      </c>
      <c r="G20">
        <v>7.0000000000000007E-2</v>
      </c>
      <c r="H20">
        <f t="shared" si="0"/>
        <v>8.4000000000000012E-3</v>
      </c>
      <c r="I20">
        <f t="shared" si="1"/>
        <v>0.25200000000000006</v>
      </c>
    </row>
    <row r="21" spans="1:9" x14ac:dyDescent="0.2">
      <c r="A21" t="s">
        <v>41</v>
      </c>
      <c r="B21" s="1">
        <v>6</v>
      </c>
      <c r="C21">
        <f t="shared" si="2"/>
        <v>8.4</v>
      </c>
      <c r="G21">
        <v>7.0000000000000007E-2</v>
      </c>
      <c r="H21">
        <f t="shared" si="0"/>
        <v>8.4000000000000012E-3</v>
      </c>
      <c r="I21">
        <f t="shared" si="1"/>
        <v>0.25200000000000006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9969-F67F-AC44-9619-7C34FD5331FA}">
  <dimension ref="A1:C21"/>
  <sheetViews>
    <sheetView workbookViewId="0">
      <selection activeCell="B22" sqref="B22"/>
    </sheetView>
  </sheetViews>
  <sheetFormatPr baseColWidth="10" defaultRowHeight="16" x14ac:dyDescent="0.2"/>
  <sheetData>
    <row r="1" spans="1:3" x14ac:dyDescent="0.2">
      <c r="A1" t="s">
        <v>67</v>
      </c>
    </row>
    <row r="2" spans="1:3" x14ac:dyDescent="0.2">
      <c r="A2" t="s">
        <v>43</v>
      </c>
    </row>
    <row r="3" spans="1:3" x14ac:dyDescent="0.2">
      <c r="A3" t="s">
        <v>37</v>
      </c>
      <c r="B3" t="s">
        <v>0</v>
      </c>
      <c r="C3" t="s">
        <v>36</v>
      </c>
    </row>
    <row r="4" spans="1:3" x14ac:dyDescent="0.2">
      <c r="A4" t="s">
        <v>38</v>
      </c>
      <c r="B4">
        <v>1</v>
      </c>
      <c r="C4" s="2">
        <f>1/1.385</f>
        <v>0.72202166064981954</v>
      </c>
    </row>
    <row r="5" spans="1:3" x14ac:dyDescent="0.2">
      <c r="A5" t="s">
        <v>38</v>
      </c>
      <c r="B5">
        <v>2</v>
      </c>
      <c r="C5" s="2">
        <f t="shared" ref="C5:C9" si="0">1/1.385</f>
        <v>0.72202166064981954</v>
      </c>
    </row>
    <row r="6" spans="1:3" x14ac:dyDescent="0.2">
      <c r="A6" t="s">
        <v>38</v>
      </c>
      <c r="B6">
        <v>3</v>
      </c>
      <c r="C6" s="2">
        <f t="shared" si="0"/>
        <v>0.72202166064981954</v>
      </c>
    </row>
    <row r="7" spans="1:3" x14ac:dyDescent="0.2">
      <c r="A7" t="s">
        <v>38</v>
      </c>
      <c r="B7">
        <v>4</v>
      </c>
      <c r="C7" s="2">
        <f t="shared" si="0"/>
        <v>0.72202166064981954</v>
      </c>
    </row>
    <row r="8" spans="1:3" x14ac:dyDescent="0.2">
      <c r="A8" t="s">
        <v>38</v>
      </c>
      <c r="B8">
        <v>5</v>
      </c>
      <c r="C8" s="2">
        <f t="shared" si="0"/>
        <v>0.72202166064981954</v>
      </c>
    </row>
    <row r="9" spans="1:3" x14ac:dyDescent="0.2">
      <c r="A9" t="s">
        <v>38</v>
      </c>
      <c r="B9">
        <v>6</v>
      </c>
      <c r="C9" s="2">
        <f t="shared" si="0"/>
        <v>0.72202166064981954</v>
      </c>
    </row>
    <row r="10" spans="1:3" x14ac:dyDescent="0.2">
      <c r="A10" s="1" t="s">
        <v>40</v>
      </c>
      <c r="B10">
        <v>1</v>
      </c>
      <c r="C10" s="2">
        <f>1/1.36</f>
        <v>0.73529411764705876</v>
      </c>
    </row>
    <row r="11" spans="1:3" x14ac:dyDescent="0.2">
      <c r="A11" s="1" t="s">
        <v>40</v>
      </c>
      <c r="B11">
        <v>2</v>
      </c>
      <c r="C11" s="2">
        <f t="shared" ref="C11:C15" si="1">1/1.36</f>
        <v>0.73529411764705876</v>
      </c>
    </row>
    <row r="12" spans="1:3" x14ac:dyDescent="0.2">
      <c r="A12" s="1" t="s">
        <v>40</v>
      </c>
      <c r="B12">
        <v>3</v>
      </c>
      <c r="C12" s="2">
        <f t="shared" si="1"/>
        <v>0.73529411764705876</v>
      </c>
    </row>
    <row r="13" spans="1:3" x14ac:dyDescent="0.2">
      <c r="A13" s="1" t="s">
        <v>40</v>
      </c>
      <c r="B13">
        <v>4</v>
      </c>
      <c r="C13" s="2">
        <f t="shared" si="1"/>
        <v>0.73529411764705876</v>
      </c>
    </row>
    <row r="14" spans="1:3" x14ac:dyDescent="0.2">
      <c r="A14" s="1" t="s">
        <v>40</v>
      </c>
      <c r="B14">
        <v>5</v>
      </c>
      <c r="C14" s="2">
        <f t="shared" si="1"/>
        <v>0.73529411764705876</v>
      </c>
    </row>
    <row r="15" spans="1:3" x14ac:dyDescent="0.2">
      <c r="A15" s="1" t="s">
        <v>40</v>
      </c>
      <c r="B15">
        <v>6</v>
      </c>
      <c r="C15" s="2">
        <f t="shared" si="1"/>
        <v>0.73529411764705876</v>
      </c>
    </row>
    <row r="16" spans="1:3" x14ac:dyDescent="0.2">
      <c r="A16" s="1" t="s">
        <v>41</v>
      </c>
      <c r="B16">
        <v>1</v>
      </c>
      <c r="C16" s="2">
        <f>1/1.28</f>
        <v>0.78125</v>
      </c>
    </row>
    <row r="17" spans="1:3" x14ac:dyDescent="0.2">
      <c r="A17" s="1" t="s">
        <v>41</v>
      </c>
      <c r="B17">
        <v>2</v>
      </c>
      <c r="C17" s="2">
        <f>1/1.28</f>
        <v>0.78125</v>
      </c>
    </row>
    <row r="18" spans="1:3" x14ac:dyDescent="0.2">
      <c r="A18" s="1" t="s">
        <v>41</v>
      </c>
      <c r="B18">
        <v>3</v>
      </c>
      <c r="C18" s="2">
        <f>1/1.2</f>
        <v>0.83333333333333337</v>
      </c>
    </row>
    <row r="19" spans="1:3" x14ac:dyDescent="0.2">
      <c r="A19" s="1" t="s">
        <v>41</v>
      </c>
      <c r="B19">
        <v>4</v>
      </c>
      <c r="C19" s="2">
        <f t="shared" ref="C19:C21" si="2">1/1.2</f>
        <v>0.83333333333333337</v>
      </c>
    </row>
    <row r="20" spans="1:3" x14ac:dyDescent="0.2">
      <c r="A20" s="1" t="s">
        <v>41</v>
      </c>
      <c r="B20">
        <v>5</v>
      </c>
      <c r="C20" s="2">
        <f t="shared" si="2"/>
        <v>0.83333333333333337</v>
      </c>
    </row>
    <row r="21" spans="1:3" x14ac:dyDescent="0.2">
      <c r="A21" s="1" t="s">
        <v>41</v>
      </c>
      <c r="B21">
        <v>6</v>
      </c>
      <c r="C21" s="2">
        <f t="shared" si="2"/>
        <v>0.83333333333333337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731-7FE6-2C41-B891-25FD089F2538}">
  <dimension ref="A1:M21"/>
  <sheetViews>
    <sheetView workbookViewId="0">
      <selection activeCell="C3" sqref="C3"/>
    </sheetView>
  </sheetViews>
  <sheetFormatPr baseColWidth="10" defaultRowHeight="16" x14ac:dyDescent="0.2"/>
  <sheetData>
    <row r="1" spans="1:13" x14ac:dyDescent="0.2">
      <c r="A1" t="s">
        <v>67</v>
      </c>
      <c r="F1" s="4" t="s">
        <v>55</v>
      </c>
      <c r="G1" s="4">
        <v>120</v>
      </c>
      <c r="H1" s="4" t="s">
        <v>56</v>
      </c>
      <c r="J1" s="4" t="s">
        <v>58</v>
      </c>
      <c r="K1">
        <f>10^9/3600</f>
        <v>277777.77777777775</v>
      </c>
      <c r="M1">
        <f>2.7777777*10^5</f>
        <v>277777.77</v>
      </c>
    </row>
    <row r="2" spans="1:13" x14ac:dyDescent="0.2">
      <c r="A2" t="s">
        <v>53</v>
      </c>
      <c r="G2" s="4">
        <f>33.3/1000</f>
        <v>3.3299999999999996E-2</v>
      </c>
      <c r="H2" s="4" t="s">
        <v>71</v>
      </c>
    </row>
    <row r="3" spans="1:13" x14ac:dyDescent="0.2">
      <c r="A3" t="s">
        <v>37</v>
      </c>
      <c r="B3" t="s">
        <v>0</v>
      </c>
      <c r="C3" t="s">
        <v>89</v>
      </c>
      <c r="F3" t="s">
        <v>54</v>
      </c>
      <c r="G3" t="s">
        <v>57</v>
      </c>
      <c r="H3" t="s">
        <v>59</v>
      </c>
      <c r="I3" t="s">
        <v>70</v>
      </c>
    </row>
    <row r="4" spans="1:13" x14ac:dyDescent="0.2">
      <c r="A4" t="s">
        <v>38</v>
      </c>
      <c r="B4">
        <v>1</v>
      </c>
      <c r="C4" s="5">
        <f>H4*1000</f>
        <v>0.49999999999999989</v>
      </c>
      <c r="F4">
        <v>1.4999999999999999E-2</v>
      </c>
      <c r="G4">
        <f t="shared" ref="G4:G21" si="0">F4*$G$1*10^(-9)</f>
        <v>1.8E-9</v>
      </c>
      <c r="H4">
        <f t="shared" ref="H4:H21" si="1">G4*$K$1</f>
        <v>4.999999999999999E-4</v>
      </c>
      <c r="I4">
        <f t="shared" ref="I4:I21" si="2">H4/$G$2</f>
        <v>1.5015015015015013E-2</v>
      </c>
    </row>
    <row r="5" spans="1:13" x14ac:dyDescent="0.2">
      <c r="A5" t="s">
        <v>38</v>
      </c>
      <c r="B5">
        <v>2</v>
      </c>
      <c r="C5" s="5">
        <f t="shared" ref="C5:C21" si="3">H5*1000</f>
        <v>0.49999999999999989</v>
      </c>
      <c r="F5">
        <v>1.4999999999999999E-2</v>
      </c>
      <c r="G5">
        <f t="shared" si="0"/>
        <v>1.8E-9</v>
      </c>
      <c r="H5">
        <f t="shared" si="1"/>
        <v>4.999999999999999E-4</v>
      </c>
      <c r="I5">
        <f t="shared" si="2"/>
        <v>1.5015015015015013E-2</v>
      </c>
    </row>
    <row r="6" spans="1:13" x14ac:dyDescent="0.2">
      <c r="A6" t="s">
        <v>38</v>
      </c>
      <c r="B6">
        <v>3</v>
      </c>
      <c r="C6" s="5">
        <f t="shared" si="3"/>
        <v>0.49999999999999989</v>
      </c>
      <c r="F6">
        <v>1.4999999999999999E-2</v>
      </c>
      <c r="G6">
        <f t="shared" si="0"/>
        <v>1.8E-9</v>
      </c>
      <c r="H6">
        <f t="shared" si="1"/>
        <v>4.999999999999999E-4</v>
      </c>
      <c r="I6">
        <f t="shared" si="2"/>
        <v>1.5015015015015013E-2</v>
      </c>
    </row>
    <row r="7" spans="1:13" x14ac:dyDescent="0.2">
      <c r="A7" t="s">
        <v>38</v>
      </c>
      <c r="B7">
        <v>4</v>
      </c>
      <c r="C7" s="5">
        <f t="shared" si="3"/>
        <v>0.49999999999999989</v>
      </c>
      <c r="F7">
        <v>1.4999999999999999E-2</v>
      </c>
      <c r="G7">
        <f t="shared" si="0"/>
        <v>1.8E-9</v>
      </c>
      <c r="H7">
        <f t="shared" si="1"/>
        <v>4.999999999999999E-4</v>
      </c>
      <c r="I7">
        <f t="shared" si="2"/>
        <v>1.5015015015015013E-2</v>
      </c>
    </row>
    <row r="8" spans="1:13" x14ac:dyDescent="0.2">
      <c r="A8" t="s">
        <v>38</v>
      </c>
      <c r="B8">
        <v>5</v>
      </c>
      <c r="C8" s="5">
        <f t="shared" si="3"/>
        <v>0.49999999999999989</v>
      </c>
      <c r="F8">
        <v>1.4999999999999999E-2</v>
      </c>
      <c r="G8">
        <f t="shared" si="0"/>
        <v>1.8E-9</v>
      </c>
      <c r="H8">
        <f t="shared" si="1"/>
        <v>4.999999999999999E-4</v>
      </c>
      <c r="I8">
        <f t="shared" si="2"/>
        <v>1.5015015015015013E-2</v>
      </c>
    </row>
    <row r="9" spans="1:13" x14ac:dyDescent="0.2">
      <c r="A9" t="s">
        <v>38</v>
      </c>
      <c r="B9">
        <v>6</v>
      </c>
      <c r="C9" s="5">
        <f t="shared" si="3"/>
        <v>0.49999999999999989</v>
      </c>
      <c r="F9">
        <v>1.4999999999999999E-2</v>
      </c>
      <c r="G9">
        <f t="shared" si="0"/>
        <v>1.8E-9</v>
      </c>
      <c r="H9">
        <f t="shared" si="1"/>
        <v>4.999999999999999E-4</v>
      </c>
      <c r="I9">
        <f t="shared" si="2"/>
        <v>1.5015015015015013E-2</v>
      </c>
    </row>
    <row r="10" spans="1:13" x14ac:dyDescent="0.2">
      <c r="A10" s="1" t="s">
        <v>40</v>
      </c>
      <c r="B10">
        <v>1</v>
      </c>
      <c r="C10" s="5">
        <f t="shared" si="3"/>
        <v>1.3333333333333333</v>
      </c>
      <c r="F10">
        <v>0.04</v>
      </c>
      <c r="G10">
        <f t="shared" si="0"/>
        <v>4.8E-9</v>
      </c>
      <c r="H10">
        <f t="shared" si="1"/>
        <v>1.3333333333333333E-3</v>
      </c>
      <c r="I10">
        <f t="shared" si="2"/>
        <v>4.0040040040040047E-2</v>
      </c>
    </row>
    <row r="11" spans="1:13" x14ac:dyDescent="0.2">
      <c r="A11" s="1" t="s">
        <v>40</v>
      </c>
      <c r="B11">
        <v>2</v>
      </c>
      <c r="C11" s="5">
        <f t="shared" si="3"/>
        <v>1.3333333333333333</v>
      </c>
      <c r="F11">
        <v>0.04</v>
      </c>
      <c r="G11">
        <f t="shared" si="0"/>
        <v>4.8E-9</v>
      </c>
      <c r="H11">
        <f t="shared" si="1"/>
        <v>1.3333333333333333E-3</v>
      </c>
      <c r="I11">
        <f t="shared" si="2"/>
        <v>4.0040040040040047E-2</v>
      </c>
    </row>
    <row r="12" spans="1:13" x14ac:dyDescent="0.2">
      <c r="A12" s="1" t="s">
        <v>40</v>
      </c>
      <c r="B12">
        <v>3</v>
      </c>
      <c r="C12" s="5">
        <f t="shared" si="3"/>
        <v>1.3333333333333333</v>
      </c>
      <c r="F12">
        <v>0.04</v>
      </c>
      <c r="G12">
        <f t="shared" si="0"/>
        <v>4.8E-9</v>
      </c>
      <c r="H12">
        <f t="shared" si="1"/>
        <v>1.3333333333333333E-3</v>
      </c>
      <c r="I12">
        <f t="shared" si="2"/>
        <v>4.0040040040040047E-2</v>
      </c>
    </row>
    <row r="13" spans="1:13" x14ac:dyDescent="0.2">
      <c r="A13" s="1" t="s">
        <v>40</v>
      </c>
      <c r="B13">
        <v>4</v>
      </c>
      <c r="C13" s="5">
        <f t="shared" si="3"/>
        <v>1.3333333333333333</v>
      </c>
      <c r="F13">
        <v>0.04</v>
      </c>
      <c r="G13">
        <f t="shared" si="0"/>
        <v>4.8E-9</v>
      </c>
      <c r="H13">
        <f t="shared" si="1"/>
        <v>1.3333333333333333E-3</v>
      </c>
      <c r="I13">
        <f t="shared" si="2"/>
        <v>4.0040040040040047E-2</v>
      </c>
    </row>
    <row r="14" spans="1:13" x14ac:dyDescent="0.2">
      <c r="A14" s="1" t="s">
        <v>40</v>
      </c>
      <c r="B14">
        <v>5</v>
      </c>
      <c r="C14" s="5">
        <f t="shared" si="3"/>
        <v>1.3333333333333333</v>
      </c>
      <c r="F14">
        <v>0.04</v>
      </c>
      <c r="G14">
        <f t="shared" si="0"/>
        <v>4.8E-9</v>
      </c>
      <c r="H14">
        <f t="shared" si="1"/>
        <v>1.3333333333333333E-3</v>
      </c>
      <c r="I14">
        <f t="shared" si="2"/>
        <v>4.0040040040040047E-2</v>
      </c>
    </row>
    <row r="15" spans="1:13" x14ac:dyDescent="0.2">
      <c r="A15" s="1" t="s">
        <v>40</v>
      </c>
      <c r="B15">
        <v>6</v>
      </c>
      <c r="C15" s="5">
        <f t="shared" si="3"/>
        <v>1.3333333333333333</v>
      </c>
      <c r="F15">
        <v>0.04</v>
      </c>
      <c r="G15">
        <f t="shared" si="0"/>
        <v>4.8E-9</v>
      </c>
      <c r="H15">
        <f t="shared" si="1"/>
        <v>1.3333333333333333E-3</v>
      </c>
      <c r="I15">
        <f t="shared" si="2"/>
        <v>4.0040040040040047E-2</v>
      </c>
    </row>
    <row r="16" spans="1:13" x14ac:dyDescent="0.2">
      <c r="A16" s="1" t="s">
        <v>41</v>
      </c>
      <c r="B16">
        <v>1</v>
      </c>
      <c r="C16" s="5">
        <f t="shared" si="3"/>
        <v>1.9999999999999996</v>
      </c>
      <c r="F16">
        <v>0.06</v>
      </c>
      <c r="G16">
        <f t="shared" si="0"/>
        <v>7.2E-9</v>
      </c>
      <c r="H16">
        <f t="shared" si="1"/>
        <v>1.9999999999999996E-3</v>
      </c>
      <c r="I16">
        <f t="shared" si="2"/>
        <v>6.0060060060060053E-2</v>
      </c>
    </row>
    <row r="17" spans="1:9" x14ac:dyDescent="0.2">
      <c r="A17" s="1" t="s">
        <v>41</v>
      </c>
      <c r="B17">
        <v>2</v>
      </c>
      <c r="C17" s="5">
        <f t="shared" si="3"/>
        <v>1.9999999999999996</v>
      </c>
      <c r="F17">
        <v>0.06</v>
      </c>
      <c r="G17">
        <f t="shared" si="0"/>
        <v>7.2E-9</v>
      </c>
      <c r="H17">
        <f t="shared" si="1"/>
        <v>1.9999999999999996E-3</v>
      </c>
      <c r="I17">
        <f t="shared" si="2"/>
        <v>6.0060060060060053E-2</v>
      </c>
    </row>
    <row r="18" spans="1:9" x14ac:dyDescent="0.2">
      <c r="A18" s="1" t="s">
        <v>41</v>
      </c>
      <c r="B18">
        <v>3</v>
      </c>
      <c r="C18" s="5">
        <f t="shared" si="3"/>
        <v>1.6666666666666667</v>
      </c>
      <c r="F18">
        <v>0.05</v>
      </c>
      <c r="G18">
        <f t="shared" si="0"/>
        <v>6.0000000000000008E-9</v>
      </c>
      <c r="H18">
        <f t="shared" si="1"/>
        <v>1.6666666666666668E-3</v>
      </c>
      <c r="I18">
        <f t="shared" si="2"/>
        <v>5.005005005005006E-2</v>
      </c>
    </row>
    <row r="19" spans="1:9" x14ac:dyDescent="0.2">
      <c r="A19" s="1" t="s">
        <v>41</v>
      </c>
      <c r="B19">
        <v>4</v>
      </c>
      <c r="C19" s="5">
        <f t="shared" si="3"/>
        <v>1.6666666666666667</v>
      </c>
      <c r="F19">
        <v>0.05</v>
      </c>
      <c r="G19">
        <f t="shared" si="0"/>
        <v>6.0000000000000008E-9</v>
      </c>
      <c r="H19">
        <f t="shared" si="1"/>
        <v>1.6666666666666668E-3</v>
      </c>
      <c r="I19">
        <f t="shared" si="2"/>
        <v>5.005005005005006E-2</v>
      </c>
    </row>
    <row r="20" spans="1:9" x14ac:dyDescent="0.2">
      <c r="A20" s="1" t="s">
        <v>41</v>
      </c>
      <c r="B20">
        <v>5</v>
      </c>
      <c r="C20" s="5">
        <f t="shared" si="3"/>
        <v>1.6666666666666667</v>
      </c>
      <c r="F20">
        <v>0.05</v>
      </c>
      <c r="G20">
        <f t="shared" si="0"/>
        <v>6.0000000000000008E-9</v>
      </c>
      <c r="H20">
        <f t="shared" si="1"/>
        <v>1.6666666666666668E-3</v>
      </c>
      <c r="I20">
        <f t="shared" si="2"/>
        <v>5.005005005005006E-2</v>
      </c>
    </row>
    <row r="21" spans="1:9" x14ac:dyDescent="0.2">
      <c r="A21" s="1" t="s">
        <v>41</v>
      </c>
      <c r="B21">
        <v>6</v>
      </c>
      <c r="C21" s="5">
        <f t="shared" si="3"/>
        <v>1.6666666666666667</v>
      </c>
      <c r="F21">
        <v>0.05</v>
      </c>
      <c r="G21">
        <f t="shared" si="0"/>
        <v>6.0000000000000008E-9</v>
      </c>
      <c r="H21">
        <f t="shared" si="1"/>
        <v>1.6666666666666668E-3</v>
      </c>
      <c r="I21">
        <f t="shared" si="2"/>
        <v>5.005005005005006E-2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60F9-6052-F04C-980F-90E524D68767}">
  <dimension ref="A1:B6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67</v>
      </c>
    </row>
    <row r="2" spans="1:2" x14ac:dyDescent="0.2">
      <c r="A2" t="s">
        <v>46</v>
      </c>
    </row>
    <row r="3" spans="1:2" x14ac:dyDescent="0.2">
      <c r="A3" t="s">
        <v>1</v>
      </c>
      <c r="B3" t="s">
        <v>121</v>
      </c>
    </row>
    <row r="4" spans="1:2" x14ac:dyDescent="0.2">
      <c r="A4" t="s">
        <v>38</v>
      </c>
      <c r="B4">
        <v>25</v>
      </c>
    </row>
    <row r="5" spans="1:2" x14ac:dyDescent="0.2">
      <c r="A5" t="s">
        <v>40</v>
      </c>
      <c r="B5">
        <v>25</v>
      </c>
    </row>
    <row r="6" spans="1:2" x14ac:dyDescent="0.2">
      <c r="A6" t="s">
        <v>41</v>
      </c>
      <c r="B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3942-A81D-F244-86B6-CFF02FEBECBE}">
  <dimension ref="A1:Q21"/>
  <sheetViews>
    <sheetView workbookViewId="0">
      <selection activeCell="C5" sqref="C5"/>
    </sheetView>
  </sheetViews>
  <sheetFormatPr baseColWidth="10" defaultRowHeight="16" x14ac:dyDescent="0.2"/>
  <sheetData>
    <row r="1" spans="1:17" x14ac:dyDescent="0.2">
      <c r="A1" t="s">
        <v>68</v>
      </c>
      <c r="N1" s="4" t="s">
        <v>55</v>
      </c>
      <c r="O1" s="4">
        <v>120</v>
      </c>
      <c r="P1" s="4" t="s">
        <v>56</v>
      </c>
    </row>
    <row r="2" spans="1:17" x14ac:dyDescent="0.2">
      <c r="A2" t="s">
        <v>107</v>
      </c>
      <c r="O2" s="4">
        <f>33.3/1000</f>
        <v>3.3299999999999996E-2</v>
      </c>
      <c r="P2" s="4" t="s">
        <v>71</v>
      </c>
    </row>
    <row r="3" spans="1:17" x14ac:dyDescent="0.2">
      <c r="A3" t="s">
        <v>37</v>
      </c>
      <c r="B3" t="s">
        <v>0</v>
      </c>
      <c r="C3" t="s">
        <v>90</v>
      </c>
      <c r="M3" t="s">
        <v>73</v>
      </c>
      <c r="N3" t="s">
        <v>72</v>
      </c>
      <c r="P3" t="s">
        <v>74</v>
      </c>
      <c r="Q3" t="s">
        <v>75</v>
      </c>
    </row>
    <row r="4" spans="1:17" x14ac:dyDescent="0.2">
      <c r="A4" t="s">
        <v>38</v>
      </c>
      <c r="B4">
        <v>1</v>
      </c>
      <c r="C4" s="2">
        <f>1/ReformerEfficiency!C4*$H$8/$H$9*$G$5*(1-$H$12)</f>
        <v>0.91202768079800478</v>
      </c>
      <c r="G4" s="4" t="s">
        <v>48</v>
      </c>
      <c r="M4">
        <f>C4/$O$2</f>
        <v>27.388218642582729</v>
      </c>
      <c r="N4">
        <f t="shared" ref="N4:N21" si="0">M4/1000</f>
        <v>2.7388218642582729E-2</v>
      </c>
      <c r="P4">
        <f>M4/(1-$H$12)*$H$12</f>
        <v>246.49396778324461</v>
      </c>
      <c r="Q4">
        <f t="shared" ref="Q4:Q21" si="1">P4/1000</f>
        <v>0.24649396778324462</v>
      </c>
    </row>
    <row r="5" spans="1:17" x14ac:dyDescent="0.2">
      <c r="A5" t="s">
        <v>38</v>
      </c>
      <c r="B5">
        <v>2</v>
      </c>
      <c r="C5" s="2">
        <f>1/ReformerEfficiency!C5*$H$8/$H$9*$G$5*(1-$H$12)</f>
        <v>0.91202768079800478</v>
      </c>
      <c r="G5" s="5">
        <f>44.01/16.04</f>
        <v>2.7437655860349128</v>
      </c>
      <c r="M5">
        <f t="shared" ref="M5:M21" si="2">C5/$O$2</f>
        <v>27.388218642582729</v>
      </c>
      <c r="N5">
        <f t="shared" si="0"/>
        <v>2.7388218642582729E-2</v>
      </c>
      <c r="P5">
        <f t="shared" ref="P5:P9" si="3">M5/(1-$H$12)*$H$12</f>
        <v>246.49396778324461</v>
      </c>
      <c r="Q5">
        <f t="shared" si="1"/>
        <v>0.24649396778324462</v>
      </c>
    </row>
    <row r="6" spans="1:17" x14ac:dyDescent="0.2">
      <c r="A6" t="s">
        <v>38</v>
      </c>
      <c r="B6">
        <v>3</v>
      </c>
      <c r="C6" s="2">
        <f>1/ReformerEfficiency!C6*$H$8/$H$9*$G$5*(1-$H$12)</f>
        <v>0.91202768079800478</v>
      </c>
      <c r="M6">
        <f t="shared" si="2"/>
        <v>27.388218642582729</v>
      </c>
      <c r="N6">
        <f t="shared" si="0"/>
        <v>2.7388218642582729E-2</v>
      </c>
      <c r="P6">
        <f t="shared" si="3"/>
        <v>246.49396778324461</v>
      </c>
      <c r="Q6">
        <f t="shared" si="1"/>
        <v>0.24649396778324462</v>
      </c>
    </row>
    <row r="7" spans="1:17" x14ac:dyDescent="0.2">
      <c r="A7" t="s">
        <v>38</v>
      </c>
      <c r="B7">
        <v>4</v>
      </c>
      <c r="C7" s="2">
        <f>1/ReformerEfficiency!C7*$H$8/$H$9*$G$5*(1-$H$12)</f>
        <v>0.91202768079800478</v>
      </c>
      <c r="H7" s="4" t="s">
        <v>51</v>
      </c>
      <c r="M7">
        <f t="shared" si="2"/>
        <v>27.388218642582729</v>
      </c>
      <c r="N7">
        <f t="shared" si="0"/>
        <v>2.7388218642582729E-2</v>
      </c>
      <c r="P7">
        <f t="shared" si="3"/>
        <v>246.49396778324461</v>
      </c>
      <c r="Q7">
        <f t="shared" si="1"/>
        <v>0.24649396778324462</v>
      </c>
    </row>
    <row r="8" spans="1:17" x14ac:dyDescent="0.2">
      <c r="A8" t="s">
        <v>38</v>
      </c>
      <c r="B8">
        <v>5</v>
      </c>
      <c r="C8" s="2">
        <f>1/ReformerEfficiency!C8*$H$8/$H$9*$G$5*(1-$H$12)</f>
        <v>0.91202768079800478</v>
      </c>
      <c r="G8" s="4" t="s">
        <v>49</v>
      </c>
      <c r="H8">
        <v>120</v>
      </c>
      <c r="M8">
        <f t="shared" si="2"/>
        <v>27.388218642582729</v>
      </c>
      <c r="N8">
        <f t="shared" si="0"/>
        <v>2.7388218642582729E-2</v>
      </c>
      <c r="P8">
        <f t="shared" si="3"/>
        <v>246.49396778324461</v>
      </c>
      <c r="Q8">
        <f t="shared" si="1"/>
        <v>0.24649396778324462</v>
      </c>
    </row>
    <row r="9" spans="1:17" x14ac:dyDescent="0.2">
      <c r="A9" t="s">
        <v>38</v>
      </c>
      <c r="B9">
        <v>6</v>
      </c>
      <c r="C9" s="2">
        <f>1/ReformerEfficiency!C9*$H$8/$H$9*$G$5*(1-$H$12)</f>
        <v>0.91202768079800478</v>
      </c>
      <c r="G9" s="4" t="s">
        <v>50</v>
      </c>
      <c r="H9">
        <v>50</v>
      </c>
      <c r="M9">
        <f t="shared" si="2"/>
        <v>27.388218642582729</v>
      </c>
      <c r="N9">
        <f t="shared" si="0"/>
        <v>2.7388218642582729E-2</v>
      </c>
      <c r="P9">
        <f t="shared" si="3"/>
        <v>246.49396778324461</v>
      </c>
      <c r="Q9">
        <f t="shared" si="1"/>
        <v>0.24649396778324462</v>
      </c>
    </row>
    <row r="10" spans="1:17" x14ac:dyDescent="0.2">
      <c r="A10" s="1" t="s">
        <v>40</v>
      </c>
      <c r="B10">
        <v>1</v>
      </c>
      <c r="C10" s="2">
        <f>1/ReformerEfficiency!C10*$H$8/$H$9*$G$5*(1-$H$12)</f>
        <v>0.89556508728179551</v>
      </c>
      <c r="M10">
        <f t="shared" si="2"/>
        <v>26.893846464918788</v>
      </c>
      <c r="N10">
        <f t="shared" si="0"/>
        <v>2.6893846464918787E-2</v>
      </c>
      <c r="P10">
        <f>M10/(1-$H$13)*$H$13</f>
        <v>357.30396017677845</v>
      </c>
      <c r="Q10">
        <f t="shared" si="1"/>
        <v>0.35730396017677846</v>
      </c>
    </row>
    <row r="11" spans="1:17" x14ac:dyDescent="0.2">
      <c r="A11" s="1" t="s">
        <v>40</v>
      </c>
      <c r="B11">
        <v>2</v>
      </c>
      <c r="C11" s="2">
        <f>1/ReformerEfficiency!C11*$H$8/$H$9*$G$5*(1-$H$12)</f>
        <v>0.89556508728179551</v>
      </c>
      <c r="H11" s="4" t="s">
        <v>52</v>
      </c>
      <c r="M11">
        <f t="shared" si="2"/>
        <v>26.893846464918788</v>
      </c>
      <c r="N11">
        <f t="shared" si="0"/>
        <v>2.6893846464918787E-2</v>
      </c>
      <c r="P11">
        <f t="shared" ref="P11:P21" si="4">M11/(1-$H$13)*$H$13</f>
        <v>357.30396017677845</v>
      </c>
      <c r="Q11">
        <f t="shared" si="1"/>
        <v>0.35730396017677846</v>
      </c>
    </row>
    <row r="12" spans="1:17" x14ac:dyDescent="0.2">
      <c r="A12" s="1" t="s">
        <v>40</v>
      </c>
      <c r="B12">
        <v>3</v>
      </c>
      <c r="C12" s="2">
        <f>1/ReformerEfficiency!C12*$H$8/$H$9*$G$5*(1-$H$12)</f>
        <v>0.89556508728179551</v>
      </c>
      <c r="G12" s="4" t="s">
        <v>35</v>
      </c>
      <c r="H12" s="4">
        <v>0.9</v>
      </c>
      <c r="M12">
        <f t="shared" si="2"/>
        <v>26.893846464918788</v>
      </c>
      <c r="N12">
        <f t="shared" si="0"/>
        <v>2.6893846464918787E-2</v>
      </c>
      <c r="P12">
        <f t="shared" si="4"/>
        <v>357.30396017677845</v>
      </c>
      <c r="Q12">
        <f t="shared" si="1"/>
        <v>0.35730396017677846</v>
      </c>
    </row>
    <row r="13" spans="1:17" x14ac:dyDescent="0.2">
      <c r="A13" s="1" t="s">
        <v>40</v>
      </c>
      <c r="B13">
        <v>4</v>
      </c>
      <c r="C13" s="2">
        <f>1/ReformerEfficiency!C13*$H$8/$H$9*$G$5*(1-$H$12)</f>
        <v>0.89556508728179551</v>
      </c>
      <c r="G13" s="4" t="s">
        <v>61</v>
      </c>
      <c r="H13" s="4">
        <v>0.93</v>
      </c>
      <c r="M13">
        <f t="shared" si="2"/>
        <v>26.893846464918788</v>
      </c>
      <c r="N13">
        <f t="shared" si="0"/>
        <v>2.6893846464918787E-2</v>
      </c>
      <c r="P13">
        <f t="shared" si="4"/>
        <v>357.30396017677845</v>
      </c>
      <c r="Q13">
        <f t="shared" si="1"/>
        <v>0.35730396017677846</v>
      </c>
    </row>
    <row r="14" spans="1:17" x14ac:dyDescent="0.2">
      <c r="A14" s="1" t="s">
        <v>40</v>
      </c>
      <c r="B14">
        <v>5</v>
      </c>
      <c r="C14" s="2">
        <f>1/ReformerEfficiency!C14*$H$8/$H$9*$G$5*(1-$H$12)</f>
        <v>0.89556508728179551</v>
      </c>
      <c r="M14">
        <f t="shared" si="2"/>
        <v>26.893846464918788</v>
      </c>
      <c r="N14">
        <f t="shared" si="0"/>
        <v>2.6893846464918787E-2</v>
      </c>
      <c r="P14">
        <f t="shared" si="4"/>
        <v>357.30396017677845</v>
      </c>
      <c r="Q14">
        <f t="shared" si="1"/>
        <v>0.35730396017677846</v>
      </c>
    </row>
    <row r="15" spans="1:17" x14ac:dyDescent="0.2">
      <c r="A15" s="1" t="s">
        <v>40</v>
      </c>
      <c r="B15">
        <v>6</v>
      </c>
      <c r="C15" s="2">
        <f>1/ReformerEfficiency!C15*$H$8/$H$9*$G$5*(1-$H$12)</f>
        <v>0.89556508728179551</v>
      </c>
      <c r="M15">
        <f t="shared" si="2"/>
        <v>26.893846464918788</v>
      </c>
      <c r="N15">
        <f t="shared" si="0"/>
        <v>2.6893846464918787E-2</v>
      </c>
      <c r="P15">
        <f t="shared" si="4"/>
        <v>357.30396017677845</v>
      </c>
      <c r="Q15">
        <f t="shared" si="1"/>
        <v>0.35730396017677846</v>
      </c>
    </row>
    <row r="16" spans="1:17" x14ac:dyDescent="0.2">
      <c r="A16" s="1" t="s">
        <v>41</v>
      </c>
      <c r="B16">
        <v>1</v>
      </c>
      <c r="C16" s="2">
        <f>1/ReformerEfficiency!C16*$H$8/$H$9*$G$5*(1-$H$12)</f>
        <v>0.84288478802992517</v>
      </c>
      <c r="M16">
        <f t="shared" si="2"/>
        <v>25.311855496394152</v>
      </c>
      <c r="N16">
        <f t="shared" si="0"/>
        <v>2.5311855496394153E-2</v>
      </c>
      <c r="P16">
        <f t="shared" si="4"/>
        <v>336.28608016637969</v>
      </c>
      <c r="Q16">
        <f t="shared" si="1"/>
        <v>0.33628608016637968</v>
      </c>
    </row>
    <row r="17" spans="1:17" x14ac:dyDescent="0.2">
      <c r="A17" s="1" t="s">
        <v>41</v>
      </c>
      <c r="B17">
        <v>2</v>
      </c>
      <c r="C17" s="2">
        <f>1/ReformerEfficiency!C17*$H$8/$H$9*$G$5*(1-$H$12)</f>
        <v>0.84288478802992517</v>
      </c>
      <c r="M17">
        <f t="shared" si="2"/>
        <v>25.311855496394152</v>
      </c>
      <c r="N17">
        <f t="shared" si="0"/>
        <v>2.5311855496394153E-2</v>
      </c>
      <c r="P17">
        <f t="shared" si="4"/>
        <v>336.28608016637969</v>
      </c>
      <c r="Q17">
        <f t="shared" si="1"/>
        <v>0.33628608016637968</v>
      </c>
    </row>
    <row r="18" spans="1:17" x14ac:dyDescent="0.2">
      <c r="A18" s="1" t="s">
        <v>41</v>
      </c>
      <c r="B18">
        <v>3</v>
      </c>
      <c r="C18" s="2">
        <f>1/ReformerEfficiency!C18*$H$8/$H$9*$G$5*(1-$H$12)</f>
        <v>0.79020448877805471</v>
      </c>
      <c r="M18">
        <f t="shared" si="2"/>
        <v>23.729864527869513</v>
      </c>
      <c r="N18">
        <f t="shared" si="0"/>
        <v>2.3729864527869512E-2</v>
      </c>
      <c r="P18">
        <f t="shared" si="4"/>
        <v>315.26820015598094</v>
      </c>
      <c r="Q18">
        <f t="shared" si="1"/>
        <v>0.31526820015598095</v>
      </c>
    </row>
    <row r="19" spans="1:17" x14ac:dyDescent="0.2">
      <c r="A19" s="1" t="s">
        <v>41</v>
      </c>
      <c r="B19">
        <v>4</v>
      </c>
      <c r="C19" s="2">
        <f>1/ReformerEfficiency!C19*$H$8/$H$9*$G$5*(1-$H$12)</f>
        <v>0.79020448877805471</v>
      </c>
      <c r="M19">
        <f t="shared" si="2"/>
        <v>23.729864527869513</v>
      </c>
      <c r="N19">
        <f t="shared" si="0"/>
        <v>2.3729864527869512E-2</v>
      </c>
      <c r="P19">
        <f t="shared" si="4"/>
        <v>315.26820015598094</v>
      </c>
      <c r="Q19">
        <f t="shared" si="1"/>
        <v>0.31526820015598095</v>
      </c>
    </row>
    <row r="20" spans="1:17" x14ac:dyDescent="0.2">
      <c r="A20" s="1" t="s">
        <v>41</v>
      </c>
      <c r="B20">
        <v>5</v>
      </c>
      <c r="C20" s="2">
        <f>1/ReformerEfficiency!C20*$H$8/$H$9*$G$5*(1-$H$12)</f>
        <v>0.79020448877805471</v>
      </c>
      <c r="M20">
        <f t="shared" si="2"/>
        <v>23.729864527869513</v>
      </c>
      <c r="N20">
        <f t="shared" si="0"/>
        <v>2.3729864527869512E-2</v>
      </c>
      <c r="P20">
        <f t="shared" si="4"/>
        <v>315.26820015598094</v>
      </c>
      <c r="Q20">
        <f t="shared" si="1"/>
        <v>0.31526820015598095</v>
      </c>
    </row>
    <row r="21" spans="1:17" x14ac:dyDescent="0.2">
      <c r="A21" s="1" t="s">
        <v>41</v>
      </c>
      <c r="B21">
        <v>6</v>
      </c>
      <c r="C21" s="2">
        <f>1/ReformerEfficiency!C21*$H$8/$H$9*$G$5*(1-$H$12)</f>
        <v>0.79020448877805471</v>
      </c>
      <c r="M21">
        <f t="shared" si="2"/>
        <v>23.729864527869513</v>
      </c>
      <c r="N21">
        <f t="shared" si="0"/>
        <v>2.3729864527869512E-2</v>
      </c>
      <c r="P21">
        <f t="shared" si="4"/>
        <v>315.26820015598094</v>
      </c>
      <c r="Q21">
        <f t="shared" si="1"/>
        <v>0.31526820015598095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71D5-6FE3-D24E-BFB9-96DDC2EEF26D}">
  <dimension ref="A1:P21"/>
  <sheetViews>
    <sheetView workbookViewId="0">
      <selection activeCell="F19" sqref="F19"/>
    </sheetView>
  </sheetViews>
  <sheetFormatPr baseColWidth="10" defaultRowHeight="16" x14ac:dyDescent="0.2"/>
  <sheetData>
    <row r="1" spans="1:16" x14ac:dyDescent="0.2">
      <c r="A1" t="s">
        <v>68</v>
      </c>
      <c r="N1" s="4" t="s">
        <v>55</v>
      </c>
      <c r="O1" s="4">
        <v>120</v>
      </c>
      <c r="P1" s="4" t="s">
        <v>56</v>
      </c>
    </row>
    <row r="2" spans="1:16" x14ac:dyDescent="0.2">
      <c r="A2" t="s">
        <v>105</v>
      </c>
      <c r="O2" s="4">
        <f>33.3/1000</f>
        <v>3.3299999999999996E-2</v>
      </c>
      <c r="P2" s="4" t="s">
        <v>71</v>
      </c>
    </row>
    <row r="3" spans="1:16" x14ac:dyDescent="0.2">
      <c r="A3" t="s">
        <v>37</v>
      </c>
      <c r="B3" t="s">
        <v>0</v>
      </c>
      <c r="C3" t="s">
        <v>106</v>
      </c>
    </row>
    <row r="4" spans="1:16" x14ac:dyDescent="0.2">
      <c r="A4" t="s">
        <v>38</v>
      </c>
      <c r="B4">
        <v>1</v>
      </c>
      <c r="C4" s="2">
        <f>1/ReformerEfficiency!C4*$H$8/$H$9*$G$5*($H$12)</f>
        <v>8.2082491271820448</v>
      </c>
      <c r="G4" s="4" t="s">
        <v>48</v>
      </c>
    </row>
    <row r="5" spans="1:16" x14ac:dyDescent="0.2">
      <c r="A5" t="s">
        <v>38</v>
      </c>
      <c r="B5">
        <v>2</v>
      </c>
      <c r="C5" s="2">
        <f>1/ReformerEfficiency!C5*$H$8/$H$9*$G$5*($H$12)</f>
        <v>8.2082491271820448</v>
      </c>
      <c r="G5" s="5">
        <f>44.01/16.04</f>
        <v>2.7437655860349128</v>
      </c>
    </row>
    <row r="6" spans="1:16" x14ac:dyDescent="0.2">
      <c r="A6" t="s">
        <v>38</v>
      </c>
      <c r="B6">
        <v>3</v>
      </c>
      <c r="C6" s="2">
        <f>1/ReformerEfficiency!C6*$H$8/$H$9*$G$5*($H$12)</f>
        <v>8.2082491271820448</v>
      </c>
    </row>
    <row r="7" spans="1:16" x14ac:dyDescent="0.2">
      <c r="A7" t="s">
        <v>38</v>
      </c>
      <c r="B7">
        <v>4</v>
      </c>
      <c r="C7" s="2">
        <f>1/ReformerEfficiency!C7*$H$8/$H$9*$G$5*($H$12)</f>
        <v>8.2082491271820448</v>
      </c>
      <c r="H7" s="4" t="s">
        <v>51</v>
      </c>
    </row>
    <row r="8" spans="1:16" x14ac:dyDescent="0.2">
      <c r="A8" t="s">
        <v>38</v>
      </c>
      <c r="B8">
        <v>5</v>
      </c>
      <c r="C8" s="2">
        <f>1/ReformerEfficiency!C8*$H$8/$H$9*$G$5*($H$12)</f>
        <v>8.2082491271820448</v>
      </c>
      <c r="G8" s="4" t="s">
        <v>49</v>
      </c>
      <c r="H8">
        <v>120</v>
      </c>
    </row>
    <row r="9" spans="1:16" x14ac:dyDescent="0.2">
      <c r="A9" t="s">
        <v>38</v>
      </c>
      <c r="B9">
        <v>6</v>
      </c>
      <c r="C9" s="2">
        <f>1/ReformerEfficiency!C9*$H$8/$H$9*$G$5*($H$12)</f>
        <v>8.2082491271820448</v>
      </c>
      <c r="G9" s="4" t="s">
        <v>50</v>
      </c>
      <c r="H9">
        <v>50</v>
      </c>
    </row>
    <row r="10" spans="1:16" x14ac:dyDescent="0.2">
      <c r="A10" s="1" t="s">
        <v>40</v>
      </c>
      <c r="B10">
        <v>1</v>
      </c>
      <c r="C10" s="2">
        <f>1/ReformerEfficiency!C10*$H$8/$H$9*$G$5*($H$13)</f>
        <v>8.3287553117207</v>
      </c>
    </row>
    <row r="11" spans="1:16" x14ac:dyDescent="0.2">
      <c r="A11" s="1" t="s">
        <v>40</v>
      </c>
      <c r="B11">
        <v>2</v>
      </c>
      <c r="C11" s="2">
        <f>1/ReformerEfficiency!C11*$H$8/$H$9*$G$5*($H$13)</f>
        <v>8.3287553117207</v>
      </c>
      <c r="H11" s="4" t="s">
        <v>52</v>
      </c>
    </row>
    <row r="12" spans="1:16" x14ac:dyDescent="0.2">
      <c r="A12" s="1" t="s">
        <v>40</v>
      </c>
      <c r="B12">
        <v>3</v>
      </c>
      <c r="C12" s="2">
        <f>1/ReformerEfficiency!C12*$H$8/$H$9*$G$5*($H$13)</f>
        <v>8.3287553117207</v>
      </c>
      <c r="G12" s="4" t="s">
        <v>35</v>
      </c>
      <c r="H12" s="4">
        <v>0.9</v>
      </c>
    </row>
    <row r="13" spans="1:16" x14ac:dyDescent="0.2">
      <c r="A13" s="1" t="s">
        <v>40</v>
      </c>
      <c r="B13">
        <v>4</v>
      </c>
      <c r="C13" s="2">
        <f>1/ReformerEfficiency!C13*$H$8/$H$9*$G$5*($H$13)</f>
        <v>8.3287553117207</v>
      </c>
      <c r="G13" s="4" t="s">
        <v>61</v>
      </c>
      <c r="H13" s="4">
        <v>0.93</v>
      </c>
    </row>
    <row r="14" spans="1:16" x14ac:dyDescent="0.2">
      <c r="A14" s="1" t="s">
        <v>40</v>
      </c>
      <c r="B14">
        <v>5</v>
      </c>
      <c r="C14" s="2">
        <f>1/ReformerEfficiency!C14*$H$8/$H$9*$G$5*($H$13)</f>
        <v>8.3287553117207</v>
      </c>
    </row>
    <row r="15" spans="1:16" x14ac:dyDescent="0.2">
      <c r="A15" s="1" t="s">
        <v>40</v>
      </c>
      <c r="B15">
        <v>6</v>
      </c>
      <c r="C15" s="2">
        <f>1/ReformerEfficiency!C15*$H$8/$H$9*$G$5*($H$13)</f>
        <v>8.3287553117207</v>
      </c>
    </row>
    <row r="16" spans="1:16" x14ac:dyDescent="0.2">
      <c r="A16" s="1" t="s">
        <v>41</v>
      </c>
      <c r="B16">
        <v>1</v>
      </c>
      <c r="C16" s="2">
        <f>1/ReformerEfficiency!C16*$H$8/$H$9*$G$5*($H$13)</f>
        <v>7.8388285286783059</v>
      </c>
    </row>
    <row r="17" spans="1:3" x14ac:dyDescent="0.2">
      <c r="A17" s="1" t="s">
        <v>41</v>
      </c>
      <c r="B17">
        <v>2</v>
      </c>
      <c r="C17" s="2">
        <f>1/ReformerEfficiency!C17*$H$8/$H$9*$G$5*($H$13)</f>
        <v>7.8388285286783059</v>
      </c>
    </row>
    <row r="18" spans="1:3" x14ac:dyDescent="0.2">
      <c r="A18" s="1" t="s">
        <v>41</v>
      </c>
      <c r="B18">
        <v>3</v>
      </c>
      <c r="C18" s="2">
        <f>1/ReformerEfficiency!C18*$H$8/$H$9*$G$5*($H$13)</f>
        <v>7.3489017456359109</v>
      </c>
    </row>
    <row r="19" spans="1:3" x14ac:dyDescent="0.2">
      <c r="A19" s="1" t="s">
        <v>41</v>
      </c>
      <c r="B19">
        <v>4</v>
      </c>
      <c r="C19" s="2">
        <f>1/ReformerEfficiency!C19*$H$8/$H$9*$G$5*($H$13)</f>
        <v>7.3489017456359109</v>
      </c>
    </row>
    <row r="20" spans="1:3" x14ac:dyDescent="0.2">
      <c r="A20" s="1" t="s">
        <v>41</v>
      </c>
      <c r="B20">
        <v>5</v>
      </c>
      <c r="C20" s="2">
        <f>1/ReformerEfficiency!C20*$H$8/$H$9*$G$5*($H$13)</f>
        <v>7.3489017456359109</v>
      </c>
    </row>
    <row r="21" spans="1:3" x14ac:dyDescent="0.2">
      <c r="A21" s="1" t="s">
        <v>41</v>
      </c>
      <c r="B21">
        <v>6</v>
      </c>
      <c r="C21" s="2">
        <f>1/ReformerEfficiency!C21*$H$8/$H$9*$G$5*($H$13)</f>
        <v>7.3489017456359109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C24E-CABF-B84A-AC03-912BDB717573}">
  <dimension ref="A1:B9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32</v>
      </c>
    </row>
    <row r="3" spans="1:2" x14ac:dyDescent="0.2">
      <c r="A3" t="s">
        <v>0</v>
      </c>
      <c r="B3" t="s">
        <v>120</v>
      </c>
    </row>
    <row r="4" spans="1:2" x14ac:dyDescent="0.2">
      <c r="A4">
        <v>1</v>
      </c>
      <c r="B4">
        <f>1100*1000</f>
        <v>1100000</v>
      </c>
    </row>
    <row r="5" spans="1:2" x14ac:dyDescent="0.2">
      <c r="A5">
        <v>2</v>
      </c>
      <c r="B5">
        <f>1.1*870*1000</f>
        <v>957000.00000000012</v>
      </c>
    </row>
    <row r="6" spans="1:2" x14ac:dyDescent="0.2">
      <c r="A6">
        <v>3</v>
      </c>
      <c r="B6">
        <f t="shared" ref="B6:B9" si="0">760*1.1*1000</f>
        <v>836000.00000000012</v>
      </c>
    </row>
    <row r="7" spans="1:2" x14ac:dyDescent="0.2">
      <c r="A7">
        <v>4</v>
      </c>
      <c r="B7">
        <f t="shared" si="0"/>
        <v>836000.00000000012</v>
      </c>
    </row>
    <row r="8" spans="1:2" x14ac:dyDescent="0.2">
      <c r="A8">
        <v>5</v>
      </c>
      <c r="B8">
        <f t="shared" si="0"/>
        <v>836000.00000000012</v>
      </c>
    </row>
    <row r="9" spans="1:2" x14ac:dyDescent="0.2">
      <c r="A9">
        <v>6</v>
      </c>
      <c r="B9">
        <f t="shared" si="0"/>
        <v>836000.00000000012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FB24-FB93-2B47-BB70-2727D41F935B}">
  <dimension ref="A1:B9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26</v>
      </c>
    </row>
    <row r="2" spans="1:2" x14ac:dyDescent="0.2">
      <c r="A2" t="s">
        <v>32</v>
      </c>
    </row>
    <row r="3" spans="1:2" x14ac:dyDescent="0.2">
      <c r="A3" t="s">
        <v>0</v>
      </c>
      <c r="B3" t="s">
        <v>119</v>
      </c>
    </row>
    <row r="4" spans="1:2" x14ac:dyDescent="0.2">
      <c r="A4">
        <v>1</v>
      </c>
      <c r="B4">
        <f>0.05*ElectrolyzerPlantCapitalCost!B4</f>
        <v>55000</v>
      </c>
    </row>
    <row r="5" spans="1:2" x14ac:dyDescent="0.2">
      <c r="A5">
        <v>2</v>
      </c>
      <c r="B5">
        <f>0.05*ElectrolyzerPlantCapitalCost!B5</f>
        <v>47850.000000000007</v>
      </c>
    </row>
    <row r="6" spans="1:2" x14ac:dyDescent="0.2">
      <c r="A6">
        <v>3</v>
      </c>
      <c r="B6">
        <f>0.05*ElectrolyzerPlantCapitalCost!B6</f>
        <v>41800.000000000007</v>
      </c>
    </row>
    <row r="7" spans="1:2" x14ac:dyDescent="0.2">
      <c r="A7">
        <v>4</v>
      </c>
      <c r="B7">
        <f>0.05*ElectrolyzerPlantCapitalCost!B7</f>
        <v>41800.000000000007</v>
      </c>
    </row>
    <row r="8" spans="1:2" x14ac:dyDescent="0.2">
      <c r="A8">
        <v>5</v>
      </c>
      <c r="B8">
        <f>0.05*ElectrolyzerPlantCapitalCost!B8</f>
        <v>41800.000000000007</v>
      </c>
    </row>
    <row r="9" spans="1:2" x14ac:dyDescent="0.2">
      <c r="A9">
        <v>6</v>
      </c>
      <c r="B9">
        <f>0.05*ElectrolyzerPlantCapitalCost!B9</f>
        <v>41800.000000000007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4405-4077-F94F-822B-3084C5C8DF5D}">
  <dimension ref="A1:B9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6</v>
      </c>
    </row>
    <row r="2" spans="1:2" x14ac:dyDescent="0.2">
      <c r="A2" t="s">
        <v>39</v>
      </c>
    </row>
    <row r="3" spans="1:2" x14ac:dyDescent="0.2">
      <c r="A3" t="s">
        <v>0</v>
      </c>
      <c r="B3" t="s">
        <v>118</v>
      </c>
    </row>
    <row r="4" spans="1:2" x14ac:dyDescent="0.2">
      <c r="A4">
        <v>1</v>
      </c>
      <c r="B4">
        <f>0.15*ElectrolyzerPlantCapitalCost!B4</f>
        <v>165000</v>
      </c>
    </row>
    <row r="5" spans="1:2" x14ac:dyDescent="0.2">
      <c r="A5">
        <v>2</v>
      </c>
      <c r="B5">
        <f>0.15*ElectrolyzerPlantCapitalCost!B5</f>
        <v>143550</v>
      </c>
    </row>
    <row r="6" spans="1:2" x14ac:dyDescent="0.2">
      <c r="A6">
        <v>3</v>
      </c>
      <c r="B6">
        <f>0.15*ElectrolyzerPlantCapitalCost!B6</f>
        <v>125400.00000000001</v>
      </c>
    </row>
    <row r="7" spans="1:2" x14ac:dyDescent="0.2">
      <c r="A7">
        <v>4</v>
      </c>
      <c r="B7">
        <f>0.15*ElectrolyzerPlantCapitalCost!B7</f>
        <v>125400.00000000001</v>
      </c>
    </row>
    <row r="8" spans="1:2" x14ac:dyDescent="0.2">
      <c r="A8">
        <v>5</v>
      </c>
      <c r="B8">
        <f>0.15*ElectrolyzerPlantCapitalCost!B8</f>
        <v>125400.00000000001</v>
      </c>
    </row>
    <row r="9" spans="1:2" x14ac:dyDescent="0.2">
      <c r="A9">
        <v>6</v>
      </c>
      <c r="B9">
        <f>0.15*ElectrolyzerPlantCapitalCost!B9</f>
        <v>125400.00000000001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E7F-9523-8044-ACCB-33786B254981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31</v>
      </c>
    </row>
    <row r="3" spans="1:1" x14ac:dyDescent="0.2">
      <c r="A3" t="s">
        <v>117</v>
      </c>
    </row>
    <row r="4" spans="1:1" x14ac:dyDescent="0.2">
      <c r="A4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4B03-BAA5-1E45-BBA0-24D02E199CA8}">
  <dimension ref="A1:B9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34</v>
      </c>
    </row>
    <row r="2" spans="1:2" x14ac:dyDescent="0.2">
      <c r="A2" t="s">
        <v>91</v>
      </c>
    </row>
    <row r="3" spans="1:2" x14ac:dyDescent="0.2">
      <c r="A3" t="s">
        <v>0</v>
      </c>
      <c r="B3" t="s">
        <v>116</v>
      </c>
    </row>
    <row r="4" spans="1:2" x14ac:dyDescent="0.2">
      <c r="A4">
        <v>1</v>
      </c>
      <c r="B4">
        <f>55</f>
        <v>55</v>
      </c>
    </row>
    <row r="5" spans="1:2" x14ac:dyDescent="0.2">
      <c r="A5">
        <v>2</v>
      </c>
      <c r="B5">
        <v>52.5</v>
      </c>
    </row>
    <row r="6" spans="1:2" x14ac:dyDescent="0.2">
      <c r="A6">
        <v>3</v>
      </c>
      <c r="B6">
        <v>52.5</v>
      </c>
    </row>
    <row r="7" spans="1:2" x14ac:dyDescent="0.2">
      <c r="A7">
        <v>4</v>
      </c>
      <c r="B7">
        <v>47.5</v>
      </c>
    </row>
    <row r="8" spans="1:2" x14ac:dyDescent="0.2">
      <c r="A8">
        <v>5</v>
      </c>
      <c r="B8">
        <v>47.5</v>
      </c>
    </row>
    <row r="9" spans="1:2" x14ac:dyDescent="0.2">
      <c r="A9">
        <v>6</v>
      </c>
      <c r="B9">
        <v>47.5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6011-9905-4640-862F-026047DDC4F5}">
  <dimension ref="A1:B7"/>
  <sheetViews>
    <sheetView workbookViewId="0">
      <selection activeCell="D6" sqref="D6"/>
    </sheetView>
  </sheetViews>
  <sheetFormatPr baseColWidth="10" defaultRowHeight="16" x14ac:dyDescent="0.2"/>
  <sheetData>
    <row r="1" spans="1:2" x14ac:dyDescent="0.2">
      <c r="A1" t="s">
        <v>14</v>
      </c>
    </row>
    <row r="2" spans="1:2" x14ac:dyDescent="0.2">
      <c r="A2" t="s">
        <v>78</v>
      </c>
    </row>
    <row r="3" spans="1:2" x14ac:dyDescent="0.2">
      <c r="A3" t="s">
        <v>77</v>
      </c>
      <c r="B3" t="s">
        <v>112</v>
      </c>
    </row>
    <row r="4" spans="1:2" x14ac:dyDescent="0.2">
      <c r="A4" t="s">
        <v>79</v>
      </c>
      <c r="B4">
        <f>2.2*10^6+316200</f>
        <v>2516200</v>
      </c>
    </row>
    <row r="5" spans="1:2" x14ac:dyDescent="0.2">
      <c r="A5" t="s">
        <v>80</v>
      </c>
      <c r="B5">
        <f>2.8*10^6+1475600</f>
        <v>4275600</v>
      </c>
    </row>
    <row r="6" spans="1:2" x14ac:dyDescent="0.2">
      <c r="A6" t="s">
        <v>81</v>
      </c>
      <c r="B6">
        <f>3.7*10^6+537540</f>
        <v>4237540</v>
      </c>
    </row>
    <row r="7" spans="1:2" x14ac:dyDescent="0.2">
      <c r="A7" t="s">
        <v>82</v>
      </c>
      <c r="B7">
        <f>4.8*10^6+2508520</f>
        <v>7308520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CAE3-56EC-0A4D-9664-FAD19D025C72}">
  <dimension ref="A1:B7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8</v>
      </c>
    </row>
    <row r="2" spans="1:2" x14ac:dyDescent="0.2">
      <c r="A2" t="s">
        <v>85</v>
      </c>
    </row>
    <row r="3" spans="1:2" x14ac:dyDescent="0.2">
      <c r="A3" t="s">
        <v>77</v>
      </c>
      <c r="B3" t="s">
        <v>113</v>
      </c>
    </row>
    <row r="4" spans="1:2" x14ac:dyDescent="0.2">
      <c r="A4" t="s">
        <v>79</v>
      </c>
      <c r="B4">
        <f>19800+5375.4</f>
        <v>25175.4</v>
      </c>
    </row>
    <row r="5" spans="1:2" x14ac:dyDescent="0.2">
      <c r="A5" t="s">
        <v>80</v>
      </c>
      <c r="B5">
        <f>25200+25085.2</f>
        <v>50285.2</v>
      </c>
    </row>
    <row r="6" spans="1:2" x14ac:dyDescent="0.2">
      <c r="A6" t="s">
        <v>81</v>
      </c>
      <c r="B6">
        <f>33300+9138.18</f>
        <v>42438.18</v>
      </c>
    </row>
    <row r="7" spans="1:2" x14ac:dyDescent="0.2">
      <c r="A7" t="s">
        <v>82</v>
      </c>
      <c r="B7">
        <f>43200+42644.84</f>
        <v>85844.84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4CB8-A2AE-844C-B81A-18CFC6C35D8D}">
  <dimension ref="A1:J7"/>
  <sheetViews>
    <sheetView workbookViewId="0">
      <selection activeCell="B3" sqref="B3"/>
    </sheetView>
  </sheetViews>
  <sheetFormatPr baseColWidth="10" defaultRowHeight="16" x14ac:dyDescent="0.2"/>
  <sheetData>
    <row r="1" spans="1:10" x14ac:dyDescent="0.2">
      <c r="A1" t="s">
        <v>14</v>
      </c>
      <c r="H1" s="4" t="s">
        <v>55</v>
      </c>
      <c r="I1" s="4">
        <v>120</v>
      </c>
      <c r="J1" s="4" t="s">
        <v>56</v>
      </c>
    </row>
    <row r="2" spans="1:10" x14ac:dyDescent="0.2">
      <c r="A2" t="s">
        <v>92</v>
      </c>
      <c r="I2" s="4">
        <f>33.3/1000</f>
        <v>3.3299999999999996E-2</v>
      </c>
      <c r="J2" s="4" t="s">
        <v>71</v>
      </c>
    </row>
    <row r="3" spans="1:10" x14ac:dyDescent="0.2">
      <c r="A3" t="s">
        <v>77</v>
      </c>
      <c r="B3" t="s">
        <v>111</v>
      </c>
      <c r="F3" t="s">
        <v>83</v>
      </c>
    </row>
    <row r="4" spans="1:10" x14ac:dyDescent="0.2">
      <c r="A4" t="s">
        <v>79</v>
      </c>
      <c r="B4">
        <f>F4/$I$2</f>
        <v>141.14114114114116</v>
      </c>
      <c r="F4">
        <v>4.7</v>
      </c>
    </row>
    <row r="5" spans="1:10" x14ac:dyDescent="0.2">
      <c r="A5" t="s">
        <v>80</v>
      </c>
      <c r="B5">
        <f t="shared" ref="B5:B7" si="0">F5/$I$2</f>
        <v>390.39039039039045</v>
      </c>
      <c r="F5">
        <v>13</v>
      </c>
    </row>
    <row r="6" spans="1:10" x14ac:dyDescent="0.2">
      <c r="A6" t="s">
        <v>81</v>
      </c>
      <c r="B6">
        <f t="shared" si="0"/>
        <v>141.14114114114116</v>
      </c>
      <c r="F6">
        <v>4.7</v>
      </c>
    </row>
    <row r="7" spans="1:10" x14ac:dyDescent="0.2">
      <c r="A7" t="s">
        <v>82</v>
      </c>
      <c r="B7">
        <f t="shared" si="0"/>
        <v>390.39039039039045</v>
      </c>
      <c r="F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C40E-43ED-AF40-9388-C6CA39591DCE}">
  <dimension ref="A1:E7"/>
  <sheetViews>
    <sheetView workbookViewId="0">
      <selection activeCell="A3" sqref="A3"/>
    </sheetView>
  </sheetViews>
  <sheetFormatPr baseColWidth="10" defaultRowHeight="16" x14ac:dyDescent="0.2"/>
  <cols>
    <col min="1" max="1" width="24" bestFit="1" customWidth="1"/>
  </cols>
  <sheetData>
    <row r="1" spans="1:5" x14ac:dyDescent="0.2">
      <c r="A1" t="s">
        <v>25</v>
      </c>
    </row>
    <row r="2" spans="1:5" x14ac:dyDescent="0.2">
      <c r="A2" t="s">
        <v>115</v>
      </c>
    </row>
    <row r="3" spans="1:5" x14ac:dyDescent="0.2">
      <c r="A3" t="s">
        <v>77</v>
      </c>
      <c r="B3" t="s">
        <v>114</v>
      </c>
      <c r="E3" s="7" t="s">
        <v>84</v>
      </c>
    </row>
    <row r="4" spans="1:5" x14ac:dyDescent="0.2">
      <c r="A4" t="s">
        <v>79</v>
      </c>
      <c r="B4" s="3">
        <f>E4/1000/PipelineCapacity!B4</f>
        <v>6.5891489361702123E-4</v>
      </c>
      <c r="E4" s="6">
        <v>93</v>
      </c>
    </row>
    <row r="5" spans="1:5" x14ac:dyDescent="0.2">
      <c r="A5" t="s">
        <v>80</v>
      </c>
      <c r="B5" s="3">
        <f>E5/1000/PipelineCapacity!B5</f>
        <v>1.111707692307692E-3</v>
      </c>
      <c r="E5" s="6">
        <v>434</v>
      </c>
    </row>
    <row r="6" spans="1:5" x14ac:dyDescent="0.2">
      <c r="A6" t="s">
        <v>81</v>
      </c>
      <c r="B6" s="3">
        <f>B4*1.7</f>
        <v>1.1201553191489361E-3</v>
      </c>
    </row>
    <row r="7" spans="1:5" x14ac:dyDescent="0.2">
      <c r="A7" t="s">
        <v>82</v>
      </c>
      <c r="B7" s="3">
        <f>B5*1.7</f>
        <v>1.8899030769230765E-3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B487-968D-D642-BA77-0E22D1EA5825}">
  <dimension ref="A1:F9"/>
  <sheetViews>
    <sheetView workbookViewId="0">
      <selection activeCell="B4" sqref="B4"/>
    </sheetView>
  </sheetViews>
  <sheetFormatPr baseColWidth="10" defaultRowHeight="16" x14ac:dyDescent="0.2"/>
  <sheetData>
    <row r="1" spans="1:6" x14ac:dyDescent="0.2">
      <c r="A1" t="s">
        <v>29</v>
      </c>
    </row>
    <row r="2" spans="1:6" x14ac:dyDescent="0.2">
      <c r="A2" t="s">
        <v>93</v>
      </c>
    </row>
    <row r="3" spans="1:6" x14ac:dyDescent="0.2">
      <c r="A3" t="s">
        <v>0</v>
      </c>
      <c r="B3" t="s">
        <v>95</v>
      </c>
      <c r="F3" t="s">
        <v>94</v>
      </c>
    </row>
    <row r="4" spans="1:6" x14ac:dyDescent="0.2">
      <c r="A4">
        <v>1</v>
      </c>
      <c r="B4">
        <f>F4*1000</f>
        <v>25500</v>
      </c>
      <c r="F4">
        <v>25.5</v>
      </c>
    </row>
    <row r="5" spans="1:6" x14ac:dyDescent="0.2">
      <c r="A5">
        <v>2</v>
      </c>
      <c r="B5">
        <f t="shared" ref="B5:B9" si="0">F5*1000</f>
        <v>25500</v>
      </c>
      <c r="F5">
        <v>25.5</v>
      </c>
    </row>
    <row r="6" spans="1:6" x14ac:dyDescent="0.2">
      <c r="A6">
        <v>3</v>
      </c>
      <c r="B6">
        <f t="shared" si="0"/>
        <v>25500</v>
      </c>
      <c r="F6">
        <v>25.5</v>
      </c>
    </row>
    <row r="7" spans="1:6" x14ac:dyDescent="0.2">
      <c r="A7">
        <v>4</v>
      </c>
      <c r="B7">
        <f t="shared" si="0"/>
        <v>25500</v>
      </c>
      <c r="F7">
        <v>25.5</v>
      </c>
    </row>
    <row r="8" spans="1:6" x14ac:dyDescent="0.2">
      <c r="A8">
        <v>5</v>
      </c>
      <c r="B8">
        <f t="shared" si="0"/>
        <v>25500</v>
      </c>
      <c r="F8">
        <v>25.5</v>
      </c>
    </row>
    <row r="9" spans="1:6" x14ac:dyDescent="0.2">
      <c r="A9">
        <v>6</v>
      </c>
      <c r="B9">
        <f t="shared" si="0"/>
        <v>25500</v>
      </c>
      <c r="F9">
        <v>25.5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299D-4023-484B-8AA0-9E4F8AB017A1}">
  <dimension ref="A1:B9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30</v>
      </c>
    </row>
    <row r="2" spans="1:2" x14ac:dyDescent="0.2">
      <c r="A2" t="s">
        <v>104</v>
      </c>
    </row>
    <row r="3" spans="1:2" x14ac:dyDescent="0.2">
      <c r="A3" t="s">
        <v>0</v>
      </c>
      <c r="B3" t="s">
        <v>122</v>
      </c>
    </row>
    <row r="4" spans="1:2" x14ac:dyDescent="0.2">
      <c r="A4">
        <v>1</v>
      </c>
      <c r="B4">
        <f>0.05*StorageCapitalCost!B4</f>
        <v>1275</v>
      </c>
    </row>
    <row r="5" spans="1:2" x14ac:dyDescent="0.2">
      <c r="A5">
        <v>2</v>
      </c>
      <c r="B5">
        <f>0.05*StorageCapitalCost!B5</f>
        <v>1275</v>
      </c>
    </row>
    <row r="6" spans="1:2" x14ac:dyDescent="0.2">
      <c r="A6">
        <v>3</v>
      </c>
      <c r="B6">
        <f>0.05*StorageCapitalCost!B6</f>
        <v>1275</v>
      </c>
    </row>
    <row r="7" spans="1:2" x14ac:dyDescent="0.2">
      <c r="A7">
        <v>4</v>
      </c>
      <c r="B7">
        <f>0.05*StorageCapitalCost!B7</f>
        <v>1275</v>
      </c>
    </row>
    <row r="8" spans="1:2" x14ac:dyDescent="0.2">
      <c r="A8">
        <v>5</v>
      </c>
      <c r="B8">
        <f>0.05*StorageCapitalCost!B8</f>
        <v>1275</v>
      </c>
    </row>
    <row r="9" spans="1:2" x14ac:dyDescent="0.2">
      <c r="A9">
        <v>6</v>
      </c>
      <c r="B9">
        <f>0.05*StorageCapitalCost!B9</f>
        <v>1275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635A-B35F-0942-B6DC-1D862A35DA91}">
  <dimension ref="A1:K7"/>
  <sheetViews>
    <sheetView tabSelected="1" workbookViewId="0">
      <selection activeCell="B7" sqref="B7"/>
    </sheetView>
  </sheetViews>
  <sheetFormatPr baseColWidth="10" defaultRowHeight="16" x14ac:dyDescent="0.2"/>
  <sheetData>
    <row r="1" spans="1:11" x14ac:dyDescent="0.2">
      <c r="A1" t="s">
        <v>28</v>
      </c>
    </row>
    <row r="2" spans="1:11" x14ac:dyDescent="0.2">
      <c r="A2" t="s">
        <v>33</v>
      </c>
    </row>
    <row r="3" spans="1:11" x14ac:dyDescent="0.2">
      <c r="A3" t="s">
        <v>2</v>
      </c>
      <c r="B3" t="s">
        <v>96</v>
      </c>
      <c r="C3" t="s">
        <v>27</v>
      </c>
      <c r="K3" t="s">
        <v>20</v>
      </c>
    </row>
    <row r="4" spans="1:11" x14ac:dyDescent="0.2">
      <c r="A4" t="s">
        <v>3</v>
      </c>
      <c r="B4">
        <f>C4*$K$4/1000</f>
        <v>1186186.1861861863</v>
      </c>
      <c r="C4">
        <v>39.5</v>
      </c>
      <c r="K4">
        <f>10^9/Calculations!$A$2</f>
        <v>30030030.030030031</v>
      </c>
    </row>
    <row r="5" spans="1:11" x14ac:dyDescent="0.2">
      <c r="A5" t="s">
        <v>4</v>
      </c>
      <c r="B5">
        <f t="shared" ref="B5:B7" si="0">C5*$K$4/1000</f>
        <v>39039.039039039038</v>
      </c>
      <c r="C5">
        <v>1.3</v>
      </c>
    </row>
    <row r="6" spans="1:11" x14ac:dyDescent="0.2">
      <c r="A6" t="s">
        <v>18</v>
      </c>
      <c r="B6">
        <f t="shared" si="0"/>
        <v>111111.11111111112</v>
      </c>
      <c r="C6">
        <v>3.7</v>
      </c>
    </row>
    <row r="7" spans="1:11" x14ac:dyDescent="0.2">
      <c r="A7" t="s">
        <v>19</v>
      </c>
      <c r="B7">
        <f t="shared" si="0"/>
        <v>27027.02702702703</v>
      </c>
      <c r="C7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888D-A542-2440-BCA0-BC1F9DF83B13}">
  <dimension ref="A1:AG42"/>
  <sheetViews>
    <sheetView zoomScaleNormal="100" workbookViewId="0">
      <selection activeCell="I11" sqref="I11"/>
    </sheetView>
  </sheetViews>
  <sheetFormatPr baseColWidth="10" defaultRowHeight="16" x14ac:dyDescent="0.2"/>
  <sheetData>
    <row r="1" spans="1:33" ht="24" x14ac:dyDescent="0.3">
      <c r="A1" t="s">
        <v>103</v>
      </c>
      <c r="M1" s="4" t="s">
        <v>20</v>
      </c>
      <c r="V1" s="19" t="s">
        <v>123</v>
      </c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x14ac:dyDescent="0.2">
      <c r="A2" t="s">
        <v>108</v>
      </c>
      <c r="M2" s="4">
        <v>30030030.030030031</v>
      </c>
      <c r="V2" s="9">
        <v>25</v>
      </c>
      <c r="W2" s="10">
        <v>25</v>
      </c>
      <c r="X2" s="11">
        <v>25</v>
      </c>
      <c r="Y2" s="9">
        <v>50</v>
      </c>
      <c r="Z2" s="10">
        <v>50</v>
      </c>
      <c r="AA2" s="11">
        <v>50</v>
      </c>
      <c r="AB2" s="9">
        <v>75</v>
      </c>
      <c r="AC2" s="10">
        <v>75</v>
      </c>
      <c r="AD2" s="11">
        <v>75</v>
      </c>
      <c r="AE2" s="9">
        <v>100</v>
      </c>
      <c r="AF2" s="10">
        <v>100</v>
      </c>
      <c r="AG2" s="11">
        <v>100</v>
      </c>
    </row>
    <row r="3" spans="1:33" x14ac:dyDescent="0.2">
      <c r="A3" t="s">
        <v>2</v>
      </c>
      <c r="B3" t="s">
        <v>0</v>
      </c>
      <c r="C3" t="s">
        <v>109</v>
      </c>
      <c r="D3" t="s">
        <v>102</v>
      </c>
      <c r="E3" t="s">
        <v>101</v>
      </c>
      <c r="G3" t="s">
        <v>100</v>
      </c>
      <c r="H3" t="s">
        <v>99</v>
      </c>
      <c r="I3" t="s">
        <v>98</v>
      </c>
      <c r="J3" t="s">
        <v>97</v>
      </c>
      <c r="K3" t="s">
        <v>110</v>
      </c>
      <c r="R3" t="s">
        <v>2</v>
      </c>
      <c r="S3" t="s">
        <v>0</v>
      </c>
      <c r="T3" t="s">
        <v>109</v>
      </c>
      <c r="V3" s="12" t="s">
        <v>124</v>
      </c>
      <c r="W3" s="4" t="s">
        <v>125</v>
      </c>
      <c r="X3" s="13" t="s">
        <v>126</v>
      </c>
      <c r="Y3" s="12" t="s">
        <v>124</v>
      </c>
      <c r="Z3" s="4" t="s">
        <v>125</v>
      </c>
      <c r="AA3" s="13" t="s">
        <v>126</v>
      </c>
      <c r="AB3" s="12" t="s">
        <v>124</v>
      </c>
      <c r="AC3" s="4" t="s">
        <v>125</v>
      </c>
      <c r="AD3" s="13" t="s">
        <v>126</v>
      </c>
      <c r="AE3" s="12" t="s">
        <v>124</v>
      </c>
      <c r="AF3" s="4" t="s">
        <v>125</v>
      </c>
      <c r="AG3" s="13" t="s">
        <v>126</v>
      </c>
    </row>
    <row r="4" spans="1:33" x14ac:dyDescent="0.2">
      <c r="A4" t="s">
        <v>3</v>
      </c>
      <c r="B4">
        <v>1</v>
      </c>
      <c r="C4" s="5">
        <v>0</v>
      </c>
      <c r="D4" s="8">
        <v>0</v>
      </c>
      <c r="E4" s="8">
        <v>0</v>
      </c>
      <c r="G4" s="2">
        <v>0</v>
      </c>
      <c r="H4" s="2">
        <v>0</v>
      </c>
      <c r="I4" s="2">
        <v>0</v>
      </c>
      <c r="J4">
        <v>0</v>
      </c>
      <c r="K4">
        <f>SUM(D4:E4)/10^3</f>
        <v>0</v>
      </c>
      <c r="R4" t="s">
        <v>3</v>
      </c>
      <c r="S4">
        <v>1</v>
      </c>
      <c r="T4">
        <v>0</v>
      </c>
      <c r="V4" s="14"/>
      <c r="X4" s="15"/>
      <c r="Y4" s="14"/>
      <c r="AA4" s="15"/>
      <c r="AB4" s="14"/>
      <c r="AD4" s="15"/>
      <c r="AE4" s="14"/>
      <c r="AG4" s="15"/>
    </row>
    <row r="5" spans="1:33" x14ac:dyDescent="0.2">
      <c r="A5" t="s">
        <v>3</v>
      </c>
      <c r="B5">
        <v>2</v>
      </c>
      <c r="C5" s="5">
        <f>(D5+E5)/(1000*8760)</f>
        <v>0.34280856198664417</v>
      </c>
      <c r="D5" s="8">
        <v>0</v>
      </c>
      <c r="E5" s="8">
        <v>3003003.0030030031</v>
      </c>
      <c r="G5" s="2">
        <v>0</v>
      </c>
      <c r="H5" s="2">
        <v>0.1</v>
      </c>
      <c r="I5" s="2">
        <v>0.1</v>
      </c>
      <c r="J5">
        <v>11.415525114155251</v>
      </c>
      <c r="K5">
        <f t="shared" ref="K5:K33" si="0">SUM(D5:E5)/10^3</f>
        <v>3003.003003003003</v>
      </c>
      <c r="R5" t="s">
        <v>3</v>
      </c>
      <c r="S5">
        <v>2</v>
      </c>
      <c r="T5">
        <v>0.34280856198664417</v>
      </c>
      <c r="V5" s="14">
        <f t="shared" ref="V5:V33" si="1">_xlfn.NORM.INV(1/6,$T5,V$2/100*$T5)</f>
        <v>0.25989846300909636</v>
      </c>
      <c r="W5">
        <f t="shared" ref="W5:W33" si="2">_xlfn.NORM.INV(0.5,$T5,W$2/100*$T5)</f>
        <v>0.34280856198664417</v>
      </c>
      <c r="X5" s="15">
        <f t="shared" ref="X5:X33" si="3">_xlfn.NORM.INV(5/6,$T5,X$2/100*$T5)</f>
        <v>0.42571866096419198</v>
      </c>
      <c r="Y5" s="14">
        <f t="shared" ref="Y5:AE19" si="4">_xlfn.NORM.INV(1/6,$T5,Y$2/100*$T5)</f>
        <v>0.17698836403154855</v>
      </c>
      <c r="Z5">
        <f t="shared" ref="Z5:AF19" si="5">_xlfn.NORM.INV(0.5,$T5,Z$2/100*$T5)</f>
        <v>0.34280856198664417</v>
      </c>
      <c r="AA5" s="15">
        <f t="shared" ref="AA5:AG19" si="6">_xlfn.NORM.INV(5/6,$T5,AA$2/100*$T5)</f>
        <v>0.50862875994173984</v>
      </c>
      <c r="AB5" s="14">
        <f t="shared" si="4"/>
        <v>9.4078265054000715E-2</v>
      </c>
      <c r="AC5">
        <f t="shared" si="5"/>
        <v>0.34280856198664417</v>
      </c>
      <c r="AD5" s="15">
        <f t="shared" si="6"/>
        <v>0.59153885891928759</v>
      </c>
      <c r="AE5" s="14">
        <f t="shared" si="4"/>
        <v>1.1168166076452934E-2</v>
      </c>
      <c r="AF5">
        <f t="shared" si="5"/>
        <v>0.34280856198664417</v>
      </c>
      <c r="AG5" s="15">
        <f t="shared" si="6"/>
        <v>0.67444895789683534</v>
      </c>
    </row>
    <row r="6" spans="1:33" x14ac:dyDescent="0.2">
      <c r="A6" t="s">
        <v>3</v>
      </c>
      <c r="B6">
        <v>3</v>
      </c>
      <c r="C6" s="5">
        <f t="shared" ref="C6:C33" si="7">(D6+E6)/(1000*8760)</f>
        <v>219.32891795905493</v>
      </c>
      <c r="D6" s="8">
        <v>1831231231.2312312</v>
      </c>
      <c r="E6" s="8">
        <v>90090090.090090096</v>
      </c>
      <c r="G6" s="2">
        <v>60.98</v>
      </c>
      <c r="H6" s="2">
        <v>3</v>
      </c>
      <c r="I6" s="2">
        <v>63.98</v>
      </c>
      <c r="J6">
        <v>7303.6529680365293</v>
      </c>
      <c r="K6">
        <f t="shared" si="0"/>
        <v>1921321.3213213212</v>
      </c>
      <c r="R6" t="s">
        <v>3</v>
      </c>
      <c r="S6">
        <v>3</v>
      </c>
      <c r="T6">
        <v>219.32891795905493</v>
      </c>
      <c r="V6" s="14">
        <f t="shared" si="1"/>
        <v>166.28303663321984</v>
      </c>
      <c r="W6">
        <f t="shared" si="2"/>
        <v>219.32891795905493</v>
      </c>
      <c r="X6" s="15">
        <f t="shared" si="3"/>
        <v>272.37479928489</v>
      </c>
      <c r="Y6" s="14">
        <f t="shared" si="4"/>
        <v>113.23715530738475</v>
      </c>
      <c r="Z6">
        <f t="shared" si="5"/>
        <v>219.32891795905493</v>
      </c>
      <c r="AA6" s="15">
        <f t="shared" si="6"/>
        <v>325.42068061072513</v>
      </c>
      <c r="AB6" s="14">
        <f t="shared" si="4"/>
        <v>60.191273981549671</v>
      </c>
      <c r="AC6">
        <f t="shared" si="5"/>
        <v>219.32891795905493</v>
      </c>
      <c r="AD6" s="15">
        <f t="shared" si="6"/>
        <v>378.4665619365602</v>
      </c>
      <c r="AE6" s="14">
        <f t="shared" si="4"/>
        <v>7.1453926557145735</v>
      </c>
      <c r="AF6">
        <f t="shared" si="5"/>
        <v>219.32891795905493</v>
      </c>
      <c r="AG6" s="15">
        <f t="shared" si="6"/>
        <v>431.51244326239532</v>
      </c>
    </row>
    <row r="7" spans="1:33" x14ac:dyDescent="0.2">
      <c r="A7" t="s">
        <v>3</v>
      </c>
      <c r="B7">
        <v>4</v>
      </c>
      <c r="C7" s="5">
        <f t="shared" si="7"/>
        <v>239.89743167825361</v>
      </c>
      <c r="D7" s="8">
        <v>1831231231.2312312</v>
      </c>
      <c r="E7" s="8">
        <v>270270270.27027029</v>
      </c>
      <c r="G7" s="2">
        <v>60.98</v>
      </c>
      <c r="H7" s="2">
        <v>9</v>
      </c>
      <c r="I7" s="2">
        <v>69.97999999999999</v>
      </c>
      <c r="J7">
        <v>7988.5844748858444</v>
      </c>
      <c r="K7">
        <f t="shared" si="0"/>
        <v>2101501.5015015015</v>
      </c>
      <c r="R7" t="s">
        <v>3</v>
      </c>
      <c r="S7">
        <v>4</v>
      </c>
      <c r="T7">
        <v>239.89743167825361</v>
      </c>
      <c r="V7" s="14">
        <f t="shared" si="1"/>
        <v>181.87694441376564</v>
      </c>
      <c r="W7">
        <f t="shared" si="2"/>
        <v>239.89743167825361</v>
      </c>
      <c r="X7" s="15">
        <f t="shared" si="3"/>
        <v>297.91791894274155</v>
      </c>
      <c r="Y7" s="14">
        <f t="shared" si="4"/>
        <v>123.85645714927769</v>
      </c>
      <c r="Z7">
        <f t="shared" si="5"/>
        <v>239.89743167825361</v>
      </c>
      <c r="AA7" s="15">
        <f t="shared" si="6"/>
        <v>355.93840620722955</v>
      </c>
      <c r="AB7" s="14">
        <f t="shared" si="4"/>
        <v>65.835969884789705</v>
      </c>
      <c r="AC7">
        <f t="shared" si="5"/>
        <v>239.89743167825361</v>
      </c>
      <c r="AD7" s="15">
        <f t="shared" si="6"/>
        <v>413.95889347171749</v>
      </c>
      <c r="AE7" s="14">
        <f t="shared" si="4"/>
        <v>7.8154826203017649</v>
      </c>
      <c r="AF7">
        <f t="shared" si="5"/>
        <v>239.89743167825361</v>
      </c>
      <c r="AG7" s="15">
        <f t="shared" si="6"/>
        <v>471.97938073620548</v>
      </c>
    </row>
    <row r="8" spans="1:33" x14ac:dyDescent="0.2">
      <c r="A8" t="s">
        <v>3</v>
      </c>
      <c r="B8">
        <v>5</v>
      </c>
      <c r="C8" s="5">
        <f t="shared" si="7"/>
        <v>693.67312517997459</v>
      </c>
      <c r="D8" s="8">
        <v>5481981981.9819822</v>
      </c>
      <c r="E8" s="8">
        <v>594594594.5945946</v>
      </c>
      <c r="G8" s="2">
        <v>182.55</v>
      </c>
      <c r="H8" s="2">
        <v>19.8</v>
      </c>
      <c r="I8" s="2">
        <v>202.35000000000002</v>
      </c>
      <c r="J8">
        <v>23099.315068493153</v>
      </c>
      <c r="K8">
        <f t="shared" si="0"/>
        <v>6076576.5765765775</v>
      </c>
      <c r="R8" t="s">
        <v>3</v>
      </c>
      <c r="S8">
        <v>5</v>
      </c>
      <c r="T8">
        <v>693.67312517997459</v>
      </c>
      <c r="V8" s="14">
        <f t="shared" si="1"/>
        <v>525.90453989890659</v>
      </c>
      <c r="W8">
        <f t="shared" si="2"/>
        <v>693.67312517997459</v>
      </c>
      <c r="X8" s="15">
        <f t="shared" si="3"/>
        <v>861.44171046104259</v>
      </c>
      <c r="Y8" s="14">
        <f t="shared" si="4"/>
        <v>358.13595461783854</v>
      </c>
      <c r="Z8">
        <f t="shared" si="5"/>
        <v>693.67312517997459</v>
      </c>
      <c r="AA8" s="15">
        <f t="shared" si="6"/>
        <v>1029.2102957421107</v>
      </c>
      <c r="AB8" s="14">
        <f t="shared" si="4"/>
        <v>190.36736933677054</v>
      </c>
      <c r="AC8">
        <f t="shared" si="5"/>
        <v>693.67312517997459</v>
      </c>
      <c r="AD8" s="15">
        <f t="shared" si="6"/>
        <v>1196.9788810231787</v>
      </c>
      <c r="AE8" s="14">
        <f t="shared" si="4"/>
        <v>22.598784055702481</v>
      </c>
      <c r="AF8">
        <f t="shared" si="5"/>
        <v>693.67312517997459</v>
      </c>
      <c r="AG8" s="15">
        <f t="shared" si="6"/>
        <v>1364.7474663042467</v>
      </c>
    </row>
    <row r="9" spans="1:33" x14ac:dyDescent="0.2">
      <c r="A9" t="s">
        <v>3</v>
      </c>
      <c r="B9">
        <v>6</v>
      </c>
      <c r="C9" s="5">
        <f t="shared" si="7"/>
        <v>735.49576974234515</v>
      </c>
      <c r="D9" s="8">
        <v>5481981981.9819822</v>
      </c>
      <c r="E9" s="8">
        <v>960960960.96096098</v>
      </c>
      <c r="G9" s="2">
        <v>182.55</v>
      </c>
      <c r="H9" s="2">
        <v>32</v>
      </c>
      <c r="I9" s="2">
        <v>214.55</v>
      </c>
      <c r="J9">
        <v>24492.009132420095</v>
      </c>
      <c r="K9">
        <f t="shared" si="0"/>
        <v>6442942.9429429434</v>
      </c>
      <c r="R9" t="s">
        <v>3</v>
      </c>
      <c r="S9">
        <v>6</v>
      </c>
      <c r="T9">
        <v>735.49576974234515</v>
      </c>
      <c r="V9" s="14">
        <f t="shared" si="1"/>
        <v>557.61215238601631</v>
      </c>
      <c r="W9">
        <f t="shared" si="2"/>
        <v>735.49576974234515</v>
      </c>
      <c r="X9" s="15">
        <f t="shared" si="3"/>
        <v>913.37938709867399</v>
      </c>
      <c r="Y9" s="14">
        <f t="shared" si="4"/>
        <v>379.72853502968746</v>
      </c>
      <c r="Z9">
        <f t="shared" si="5"/>
        <v>735.49576974234515</v>
      </c>
      <c r="AA9" s="15">
        <f t="shared" si="6"/>
        <v>1091.2630044550028</v>
      </c>
      <c r="AB9" s="14">
        <f t="shared" si="4"/>
        <v>201.84491767335862</v>
      </c>
      <c r="AC9">
        <f t="shared" si="5"/>
        <v>735.49576974234515</v>
      </c>
      <c r="AD9" s="15">
        <f t="shared" si="6"/>
        <v>1269.1466218113317</v>
      </c>
      <c r="AE9" s="14">
        <f t="shared" si="4"/>
        <v>23.961300317029782</v>
      </c>
      <c r="AF9">
        <f t="shared" si="5"/>
        <v>735.49576974234515</v>
      </c>
      <c r="AG9" s="15">
        <f t="shared" si="6"/>
        <v>1447.0302391676605</v>
      </c>
    </row>
    <row r="10" spans="1:33" x14ac:dyDescent="0.2">
      <c r="A10" t="s">
        <v>18</v>
      </c>
      <c r="B10">
        <v>1</v>
      </c>
      <c r="C10" s="5">
        <f t="shared" si="7"/>
        <v>0</v>
      </c>
      <c r="D10" s="8">
        <v>0</v>
      </c>
      <c r="E10" s="8">
        <v>0</v>
      </c>
      <c r="G10" s="2">
        <v>0</v>
      </c>
      <c r="H10" s="2">
        <v>0</v>
      </c>
      <c r="I10" s="2">
        <v>0</v>
      </c>
      <c r="J10">
        <v>0</v>
      </c>
      <c r="K10">
        <f t="shared" si="0"/>
        <v>0</v>
      </c>
      <c r="R10" t="s">
        <v>18</v>
      </c>
      <c r="S10">
        <v>1</v>
      </c>
      <c r="T10">
        <v>0</v>
      </c>
      <c r="V10" s="14"/>
      <c r="X10" s="15"/>
      <c r="Y10" s="14"/>
      <c r="AA10" s="15"/>
      <c r="AB10" s="14"/>
      <c r="AD10" s="15"/>
      <c r="AE10" s="14"/>
      <c r="AG10" s="15"/>
    </row>
    <row r="11" spans="1:33" x14ac:dyDescent="0.2">
      <c r="A11" t="s">
        <v>18</v>
      </c>
      <c r="B11">
        <v>2</v>
      </c>
      <c r="C11" s="5">
        <f t="shared" si="7"/>
        <v>0.34280856198664417</v>
      </c>
      <c r="D11" s="8">
        <v>0</v>
      </c>
      <c r="E11" s="8">
        <v>3003003.0030030031</v>
      </c>
      <c r="G11" s="2">
        <v>0</v>
      </c>
      <c r="H11" s="2">
        <v>0.1</v>
      </c>
      <c r="I11" s="2">
        <v>0.1</v>
      </c>
      <c r="J11">
        <v>11.415525114155251</v>
      </c>
      <c r="K11">
        <f t="shared" si="0"/>
        <v>3003.003003003003</v>
      </c>
      <c r="R11" t="s">
        <v>18</v>
      </c>
      <c r="S11">
        <v>2</v>
      </c>
      <c r="T11">
        <v>0.34280856198664417</v>
      </c>
      <c r="V11" s="14">
        <f t="shared" si="1"/>
        <v>0.25989846300909636</v>
      </c>
      <c r="W11">
        <f t="shared" si="2"/>
        <v>0.34280856198664417</v>
      </c>
      <c r="X11" s="15">
        <f t="shared" si="3"/>
        <v>0.42571866096419198</v>
      </c>
      <c r="Y11" s="14">
        <f t="shared" si="4"/>
        <v>0.17698836403154855</v>
      </c>
      <c r="Z11">
        <f t="shared" si="5"/>
        <v>0.34280856198664417</v>
      </c>
      <c r="AA11" s="15">
        <f t="shared" si="6"/>
        <v>0.50862875994173984</v>
      </c>
      <c r="AB11" s="14">
        <f t="shared" si="4"/>
        <v>9.4078265054000715E-2</v>
      </c>
      <c r="AC11">
        <f t="shared" si="5"/>
        <v>0.34280856198664417</v>
      </c>
      <c r="AD11" s="15">
        <f t="shared" si="6"/>
        <v>0.59153885891928759</v>
      </c>
      <c r="AE11" s="14">
        <f t="shared" si="4"/>
        <v>1.1168166076452934E-2</v>
      </c>
      <c r="AF11">
        <f t="shared" si="5"/>
        <v>0.34280856198664417</v>
      </c>
      <c r="AG11" s="15">
        <f t="shared" si="6"/>
        <v>0.67444895789683534</v>
      </c>
    </row>
    <row r="12" spans="1:33" x14ac:dyDescent="0.2">
      <c r="A12" t="s">
        <v>18</v>
      </c>
      <c r="B12">
        <v>3</v>
      </c>
      <c r="C12" s="5">
        <f t="shared" si="7"/>
        <v>93.312490572764546</v>
      </c>
      <c r="D12" s="8">
        <v>745345345.34534538</v>
      </c>
      <c r="E12" s="8">
        <v>72072072.072072074</v>
      </c>
      <c r="G12" s="2">
        <v>24.82</v>
      </c>
      <c r="H12" s="2">
        <v>2.4</v>
      </c>
      <c r="I12" s="2">
        <v>27.22</v>
      </c>
      <c r="J12">
        <v>3107.305936073059</v>
      </c>
      <c r="K12">
        <f t="shared" si="0"/>
        <v>817417.4174174174</v>
      </c>
      <c r="R12" t="s">
        <v>18</v>
      </c>
      <c r="S12">
        <v>3</v>
      </c>
      <c r="T12">
        <v>93.312490572764546</v>
      </c>
      <c r="V12" s="14">
        <f t="shared" si="1"/>
        <v>70.744361631076032</v>
      </c>
      <c r="W12">
        <f t="shared" si="2"/>
        <v>93.312490572764546</v>
      </c>
      <c r="X12" s="15">
        <f t="shared" si="3"/>
        <v>115.88061951445306</v>
      </c>
      <c r="Y12" s="14">
        <f t="shared" si="4"/>
        <v>48.176232689387518</v>
      </c>
      <c r="Z12">
        <f t="shared" si="5"/>
        <v>93.312490572764546</v>
      </c>
      <c r="AA12" s="15">
        <f t="shared" si="6"/>
        <v>138.44874845614157</v>
      </c>
      <c r="AB12" s="14">
        <f t="shared" si="4"/>
        <v>25.608103747699005</v>
      </c>
      <c r="AC12">
        <f t="shared" si="5"/>
        <v>93.312490572764546</v>
      </c>
      <c r="AD12" s="15">
        <f t="shared" si="6"/>
        <v>161.01687739783009</v>
      </c>
      <c r="AE12" s="14">
        <f t="shared" si="4"/>
        <v>3.0399748060104912</v>
      </c>
      <c r="AF12">
        <f t="shared" si="5"/>
        <v>93.312490572764546</v>
      </c>
      <c r="AG12" s="15">
        <f t="shared" si="6"/>
        <v>183.5850063395186</v>
      </c>
    </row>
    <row r="13" spans="1:33" x14ac:dyDescent="0.2">
      <c r="A13" t="s">
        <v>18</v>
      </c>
      <c r="B13">
        <v>4</v>
      </c>
      <c r="C13" s="5">
        <f t="shared" si="7"/>
        <v>109.76730154812347</v>
      </c>
      <c r="D13" s="8">
        <v>745345345.34534538</v>
      </c>
      <c r="E13" s="8">
        <v>216216216.21621624</v>
      </c>
      <c r="G13" s="2">
        <v>24.82</v>
      </c>
      <c r="H13" s="2">
        <v>7.2</v>
      </c>
      <c r="I13" s="2">
        <v>32.020000000000003</v>
      </c>
      <c r="J13">
        <v>3655.2511415525119</v>
      </c>
      <c r="K13">
        <f t="shared" si="0"/>
        <v>961561.56156156154</v>
      </c>
      <c r="R13" t="s">
        <v>18</v>
      </c>
      <c r="S13">
        <v>4</v>
      </c>
      <c r="T13">
        <v>109.76730154812347</v>
      </c>
      <c r="V13" s="14">
        <f t="shared" si="1"/>
        <v>83.219487855512654</v>
      </c>
      <c r="W13">
        <f t="shared" si="2"/>
        <v>109.76730154812347</v>
      </c>
      <c r="X13" s="15">
        <f t="shared" si="3"/>
        <v>136.31511524073429</v>
      </c>
      <c r="Y13" s="14">
        <f t="shared" si="4"/>
        <v>56.671674162901844</v>
      </c>
      <c r="Z13">
        <f t="shared" si="5"/>
        <v>109.76730154812347</v>
      </c>
      <c r="AA13" s="15">
        <f t="shared" si="6"/>
        <v>162.8629289333451</v>
      </c>
      <c r="AB13" s="14">
        <f t="shared" si="4"/>
        <v>30.123860470291035</v>
      </c>
      <c r="AC13">
        <f t="shared" si="5"/>
        <v>109.76730154812347</v>
      </c>
      <c r="AD13" s="15">
        <f t="shared" si="6"/>
        <v>189.41074262595589</v>
      </c>
      <c r="AE13" s="14">
        <f t="shared" si="4"/>
        <v>3.5760467776802187</v>
      </c>
      <c r="AF13">
        <f t="shared" si="5"/>
        <v>109.76730154812347</v>
      </c>
      <c r="AG13" s="15">
        <f t="shared" si="6"/>
        <v>215.95855631856671</v>
      </c>
    </row>
    <row r="14" spans="1:33" x14ac:dyDescent="0.2">
      <c r="A14" t="s">
        <v>18</v>
      </c>
      <c r="B14">
        <v>5</v>
      </c>
      <c r="C14" s="5">
        <f t="shared" si="7"/>
        <v>306.36801184746389</v>
      </c>
      <c r="D14" s="8">
        <v>2194294294.2942944</v>
      </c>
      <c r="E14" s="8">
        <v>489489489.4894895</v>
      </c>
      <c r="G14" s="2">
        <v>73.069999999999993</v>
      </c>
      <c r="H14" s="2">
        <v>16.3</v>
      </c>
      <c r="I14" s="2">
        <v>89.36999999999999</v>
      </c>
      <c r="J14">
        <v>10202.054794520547</v>
      </c>
      <c r="K14">
        <f t="shared" si="0"/>
        <v>2683783.7837837841</v>
      </c>
      <c r="R14" t="s">
        <v>18</v>
      </c>
      <c r="S14">
        <v>5</v>
      </c>
      <c r="T14">
        <v>306.36801184746389</v>
      </c>
      <c r="V14" s="14">
        <f t="shared" si="1"/>
        <v>232.27125639122943</v>
      </c>
      <c r="W14">
        <f t="shared" si="2"/>
        <v>306.36801184746389</v>
      </c>
      <c r="X14" s="15">
        <f t="shared" si="3"/>
        <v>380.46476730369835</v>
      </c>
      <c r="Y14" s="14">
        <f t="shared" si="4"/>
        <v>158.17450093499494</v>
      </c>
      <c r="Z14">
        <f t="shared" si="5"/>
        <v>306.36801184746389</v>
      </c>
      <c r="AA14" s="15">
        <f t="shared" si="6"/>
        <v>454.56152275993281</v>
      </c>
      <c r="AB14" s="14">
        <f t="shared" si="4"/>
        <v>84.077745478760448</v>
      </c>
      <c r="AC14">
        <f t="shared" si="5"/>
        <v>306.36801184746389</v>
      </c>
      <c r="AD14" s="15">
        <f t="shared" si="6"/>
        <v>528.65827821616733</v>
      </c>
      <c r="AE14" s="14">
        <f t="shared" si="4"/>
        <v>9.9809900225259867</v>
      </c>
      <c r="AF14">
        <f t="shared" si="5"/>
        <v>306.36801184746389</v>
      </c>
      <c r="AG14" s="15">
        <f t="shared" si="6"/>
        <v>602.75503367240185</v>
      </c>
    </row>
    <row r="15" spans="1:33" x14ac:dyDescent="0.2">
      <c r="A15" t="s">
        <v>18</v>
      </c>
      <c r="B15">
        <v>6</v>
      </c>
      <c r="C15" s="5">
        <f t="shared" si="7"/>
        <v>344.07695366599478</v>
      </c>
      <c r="D15" s="8">
        <v>2194294294.2942944</v>
      </c>
      <c r="E15" s="8">
        <v>819819819.81981981</v>
      </c>
      <c r="G15" s="2">
        <v>73.069999999999993</v>
      </c>
      <c r="H15" s="2">
        <v>27.3</v>
      </c>
      <c r="I15" s="2">
        <v>100.36999999999999</v>
      </c>
      <c r="J15">
        <v>11457.762557077625</v>
      </c>
      <c r="K15">
        <f t="shared" si="0"/>
        <v>3014114.1141141141</v>
      </c>
      <c r="R15" t="s">
        <v>18</v>
      </c>
      <c r="S15">
        <v>6</v>
      </c>
      <c r="T15">
        <v>344.07695366599478</v>
      </c>
      <c r="V15" s="14">
        <f t="shared" si="1"/>
        <v>260.86008732223002</v>
      </c>
      <c r="W15">
        <f t="shared" si="2"/>
        <v>344.07695366599478</v>
      </c>
      <c r="X15" s="15">
        <f t="shared" si="3"/>
        <v>427.29382000975954</v>
      </c>
      <c r="Y15" s="14">
        <f t="shared" si="4"/>
        <v>177.64322097846528</v>
      </c>
      <c r="Z15">
        <f t="shared" si="5"/>
        <v>344.07695366599478</v>
      </c>
      <c r="AA15" s="15">
        <f t="shared" si="6"/>
        <v>510.51068635352431</v>
      </c>
      <c r="AB15" s="14">
        <f t="shared" si="4"/>
        <v>94.426354634700544</v>
      </c>
      <c r="AC15">
        <f t="shared" si="5"/>
        <v>344.07695366599478</v>
      </c>
      <c r="AD15" s="15">
        <f t="shared" si="6"/>
        <v>593.72755269728896</v>
      </c>
      <c r="AE15" s="14">
        <f t="shared" si="4"/>
        <v>11.209488290935781</v>
      </c>
      <c r="AF15">
        <f t="shared" si="5"/>
        <v>344.07695366599478</v>
      </c>
      <c r="AG15" s="15">
        <f t="shared" si="6"/>
        <v>676.94441904105383</v>
      </c>
    </row>
    <row r="16" spans="1:33" x14ac:dyDescent="0.2">
      <c r="A16" t="s">
        <v>17</v>
      </c>
      <c r="B16">
        <v>1</v>
      </c>
      <c r="C16" s="5">
        <f t="shared" si="7"/>
        <v>0</v>
      </c>
      <c r="D16" s="8">
        <v>0</v>
      </c>
      <c r="E16" s="8">
        <v>0</v>
      </c>
      <c r="G16" s="2">
        <v>0</v>
      </c>
      <c r="H16" s="2">
        <v>0</v>
      </c>
      <c r="I16" s="2">
        <v>0</v>
      </c>
      <c r="J16">
        <v>0</v>
      </c>
      <c r="K16">
        <f t="shared" si="0"/>
        <v>0</v>
      </c>
      <c r="R16" t="s">
        <v>17</v>
      </c>
      <c r="S16">
        <v>1</v>
      </c>
      <c r="T16">
        <v>0</v>
      </c>
      <c r="V16" s="14"/>
      <c r="X16" s="15"/>
      <c r="Y16" s="14"/>
      <c r="AA16" s="15"/>
      <c r="AB16" s="14"/>
      <c r="AD16" s="15"/>
      <c r="AE16" s="14"/>
      <c r="AG16" s="15"/>
    </row>
    <row r="17" spans="1:33" x14ac:dyDescent="0.2">
      <c r="A17" t="s">
        <v>17</v>
      </c>
      <c r="B17">
        <v>2</v>
      </c>
      <c r="C17" s="5">
        <f t="shared" si="7"/>
        <v>0</v>
      </c>
      <c r="D17" s="8">
        <v>0</v>
      </c>
      <c r="E17" s="8">
        <v>0</v>
      </c>
      <c r="G17" s="2">
        <v>0</v>
      </c>
      <c r="H17" s="2">
        <v>0</v>
      </c>
      <c r="I17" s="2">
        <v>0</v>
      </c>
      <c r="J17">
        <v>0</v>
      </c>
      <c r="K17">
        <f t="shared" si="0"/>
        <v>0</v>
      </c>
      <c r="R17" t="s">
        <v>17</v>
      </c>
      <c r="S17">
        <v>2</v>
      </c>
      <c r="T17">
        <v>0</v>
      </c>
      <c r="V17" s="14"/>
      <c r="X17" s="15"/>
      <c r="Y17" s="14"/>
      <c r="AA17" s="15"/>
      <c r="AB17" s="14"/>
      <c r="AD17" s="15"/>
      <c r="AE17" s="14"/>
      <c r="AG17" s="15"/>
    </row>
    <row r="18" spans="1:33" x14ac:dyDescent="0.2">
      <c r="A18" t="s">
        <v>17</v>
      </c>
      <c r="B18">
        <v>3</v>
      </c>
      <c r="C18" s="5">
        <f t="shared" si="7"/>
        <v>62.254034856774588</v>
      </c>
      <c r="D18" s="8">
        <v>536336336.33633631</v>
      </c>
      <c r="E18" s="8">
        <v>9009009.0090090092</v>
      </c>
      <c r="G18" s="2">
        <v>17.86</v>
      </c>
      <c r="H18" s="2">
        <v>0.3</v>
      </c>
      <c r="I18" s="2">
        <v>18.16</v>
      </c>
      <c r="J18">
        <v>2073.0593607305937</v>
      </c>
      <c r="K18">
        <f t="shared" si="0"/>
        <v>545345.34534534533</v>
      </c>
      <c r="R18" t="s">
        <v>17</v>
      </c>
      <c r="S18">
        <v>3</v>
      </c>
      <c r="T18">
        <v>62.254034856774588</v>
      </c>
      <c r="V18" s="14">
        <f t="shared" si="1"/>
        <v>47.197560882451903</v>
      </c>
      <c r="W18">
        <f t="shared" si="2"/>
        <v>62.254034856774588</v>
      </c>
      <c r="X18" s="15">
        <f t="shared" si="3"/>
        <v>77.31050883109728</v>
      </c>
      <c r="Y18" s="14">
        <f t="shared" si="4"/>
        <v>32.141086908129218</v>
      </c>
      <c r="Z18">
        <f t="shared" si="5"/>
        <v>62.254034856774588</v>
      </c>
      <c r="AA18" s="15">
        <f t="shared" si="6"/>
        <v>92.366982805419951</v>
      </c>
      <c r="AB18" s="14">
        <f t="shared" si="4"/>
        <v>17.084612933806532</v>
      </c>
      <c r="AC18">
        <f t="shared" si="5"/>
        <v>62.254034856774588</v>
      </c>
      <c r="AD18" s="15">
        <f t="shared" si="6"/>
        <v>107.42345677974265</v>
      </c>
      <c r="AE18" s="14">
        <f t="shared" si="4"/>
        <v>2.0281389594838473</v>
      </c>
      <c r="AF18">
        <f t="shared" si="5"/>
        <v>62.254034856774588</v>
      </c>
      <c r="AG18" s="15">
        <f t="shared" si="6"/>
        <v>122.47993075406532</v>
      </c>
    </row>
    <row r="19" spans="1:33" x14ac:dyDescent="0.2">
      <c r="A19" t="s">
        <v>17</v>
      </c>
      <c r="B19">
        <v>4</v>
      </c>
      <c r="C19" s="5">
        <f t="shared" si="7"/>
        <v>64.653694790681101</v>
      </c>
      <c r="D19" s="8">
        <v>536336336.33633631</v>
      </c>
      <c r="E19" s="8">
        <v>30030030.030030031</v>
      </c>
      <c r="G19" s="2">
        <v>17.86</v>
      </c>
      <c r="H19" s="2">
        <v>1</v>
      </c>
      <c r="I19" s="2">
        <v>18.86</v>
      </c>
      <c r="J19">
        <v>2152.9680365296804</v>
      </c>
      <c r="K19">
        <f t="shared" si="0"/>
        <v>566366.36636636639</v>
      </c>
      <c r="R19" t="s">
        <v>17</v>
      </c>
      <c r="S19">
        <v>4</v>
      </c>
      <c r="T19">
        <v>64.653694790681101</v>
      </c>
      <c r="V19" s="14">
        <f t="shared" si="1"/>
        <v>49.016850123515582</v>
      </c>
      <c r="W19">
        <f t="shared" si="2"/>
        <v>64.653694790681101</v>
      </c>
      <c r="X19" s="15">
        <f t="shared" si="3"/>
        <v>80.29053945784662</v>
      </c>
      <c r="Y19" s="14">
        <f t="shared" si="4"/>
        <v>33.380005456350062</v>
      </c>
      <c r="Z19">
        <f t="shared" si="5"/>
        <v>64.653694790681101</v>
      </c>
      <c r="AA19" s="15">
        <f t="shared" si="6"/>
        <v>95.927384125012139</v>
      </c>
      <c r="AB19" s="14">
        <f t="shared" si="4"/>
        <v>17.743160789184543</v>
      </c>
      <c r="AC19">
        <f t="shared" si="5"/>
        <v>64.653694790681101</v>
      </c>
      <c r="AD19" s="15">
        <f t="shared" si="6"/>
        <v>111.56422879217766</v>
      </c>
      <c r="AE19" s="14">
        <f t="shared" si="4"/>
        <v>2.1063161220190239</v>
      </c>
      <c r="AF19">
        <f t="shared" si="5"/>
        <v>64.653694790681101</v>
      </c>
      <c r="AG19" s="15">
        <f t="shared" si="6"/>
        <v>127.20107345934318</v>
      </c>
    </row>
    <row r="20" spans="1:33" x14ac:dyDescent="0.2">
      <c r="A20" t="s">
        <v>17</v>
      </c>
      <c r="B20">
        <v>5</v>
      </c>
      <c r="C20" s="5">
        <f t="shared" si="7"/>
        <v>178.39757565784964</v>
      </c>
      <c r="D20" s="8">
        <v>1499699699.6996996</v>
      </c>
      <c r="E20" s="8">
        <v>63063063.06306307</v>
      </c>
      <c r="G20" s="2">
        <v>49.94</v>
      </c>
      <c r="H20" s="2">
        <v>2.1</v>
      </c>
      <c r="I20" s="2">
        <v>52.04</v>
      </c>
      <c r="J20">
        <v>5940.6392694063925</v>
      </c>
      <c r="K20">
        <f t="shared" si="0"/>
        <v>1562762.7627627628</v>
      </c>
      <c r="R20" t="s">
        <v>17</v>
      </c>
      <c r="S20">
        <v>5</v>
      </c>
      <c r="T20">
        <v>178.39757565784964</v>
      </c>
      <c r="V20" s="14">
        <f t="shared" si="1"/>
        <v>135.25116014993375</v>
      </c>
      <c r="W20">
        <f t="shared" si="2"/>
        <v>178.39757565784964</v>
      </c>
      <c r="X20" s="15">
        <f t="shared" si="3"/>
        <v>221.54399116576553</v>
      </c>
      <c r="Y20" s="14">
        <f t="shared" ref="Y20:AE33" si="8">_xlfn.NORM.INV(1/6,$T20,Y$2/100*$T20)</f>
        <v>92.104744642017877</v>
      </c>
      <c r="Z20">
        <f t="shared" ref="Z20:AF33" si="9">_xlfn.NORM.INV(0.5,$T20,Z$2/100*$T20)</f>
        <v>178.39757565784964</v>
      </c>
      <c r="AA20" s="15">
        <f t="shared" ref="AA20:AG33" si="10">_xlfn.NORM.INV(5/6,$T20,AA$2/100*$T20)</f>
        <v>264.69040667368142</v>
      </c>
      <c r="AB20" s="14">
        <f t="shared" si="8"/>
        <v>48.958329134101973</v>
      </c>
      <c r="AC20">
        <f t="shared" si="9"/>
        <v>178.39757565784964</v>
      </c>
      <c r="AD20" s="15">
        <f t="shared" si="10"/>
        <v>307.83682218159731</v>
      </c>
      <c r="AE20" s="14">
        <f t="shared" si="8"/>
        <v>5.8119136261861115</v>
      </c>
      <c r="AF20">
        <f t="shared" si="9"/>
        <v>178.39757565784964</v>
      </c>
      <c r="AG20" s="15">
        <f t="shared" si="10"/>
        <v>350.9832376895132</v>
      </c>
    </row>
    <row r="21" spans="1:33" x14ac:dyDescent="0.2">
      <c r="A21" t="s">
        <v>17</v>
      </c>
      <c r="B21">
        <v>6</v>
      </c>
      <c r="C21" s="5">
        <f t="shared" si="7"/>
        <v>182.51127840168937</v>
      </c>
      <c r="D21" s="8">
        <v>1499699699.6996996</v>
      </c>
      <c r="E21" s="8">
        <v>99099099.0990991</v>
      </c>
      <c r="G21" s="2">
        <v>49.94</v>
      </c>
      <c r="H21" s="2">
        <v>3.3</v>
      </c>
      <c r="I21" s="2">
        <v>53.239999999999995</v>
      </c>
      <c r="J21">
        <v>6077.6255707762548</v>
      </c>
      <c r="K21">
        <f t="shared" si="0"/>
        <v>1598798.7987987988</v>
      </c>
      <c r="R21" t="s">
        <v>17</v>
      </c>
      <c r="S21">
        <v>6</v>
      </c>
      <c r="T21">
        <v>182.51127840168937</v>
      </c>
      <c r="V21" s="14">
        <f t="shared" si="1"/>
        <v>138.36994170604291</v>
      </c>
      <c r="W21">
        <f t="shared" si="2"/>
        <v>182.51127840168937</v>
      </c>
      <c r="X21" s="15">
        <f t="shared" si="3"/>
        <v>226.65261509733583</v>
      </c>
      <c r="Y21" s="14">
        <f t="shared" si="8"/>
        <v>94.22860501039645</v>
      </c>
      <c r="Z21">
        <f t="shared" si="9"/>
        <v>182.51127840168937</v>
      </c>
      <c r="AA21" s="15">
        <f t="shared" si="10"/>
        <v>270.79395179298228</v>
      </c>
      <c r="AB21" s="14">
        <f t="shared" si="8"/>
        <v>50.08726831475002</v>
      </c>
      <c r="AC21">
        <f t="shared" si="9"/>
        <v>182.51127840168937</v>
      </c>
      <c r="AD21" s="15">
        <f t="shared" si="10"/>
        <v>314.93528848862871</v>
      </c>
      <c r="AE21" s="14">
        <f t="shared" si="8"/>
        <v>5.9459316191035327</v>
      </c>
      <c r="AF21">
        <f t="shared" si="9"/>
        <v>182.51127840168937</v>
      </c>
      <c r="AG21" s="15">
        <f t="shared" si="10"/>
        <v>359.0766251842752</v>
      </c>
    </row>
    <row r="22" spans="1:33" x14ac:dyDescent="0.2">
      <c r="A22" t="s">
        <v>19</v>
      </c>
      <c r="B22">
        <v>1</v>
      </c>
      <c r="C22" s="5">
        <f t="shared" si="7"/>
        <v>0</v>
      </c>
      <c r="D22" s="8">
        <v>0</v>
      </c>
      <c r="E22" s="8">
        <v>0</v>
      </c>
      <c r="G22" s="2">
        <v>0</v>
      </c>
      <c r="H22" s="2">
        <v>0</v>
      </c>
      <c r="I22" s="2">
        <v>0</v>
      </c>
      <c r="J22">
        <v>0</v>
      </c>
      <c r="K22">
        <f t="shared" si="0"/>
        <v>0</v>
      </c>
      <c r="R22" t="s">
        <v>19</v>
      </c>
      <c r="S22">
        <v>1</v>
      </c>
      <c r="T22">
        <v>0</v>
      </c>
      <c r="V22" s="14"/>
      <c r="X22" s="15"/>
      <c r="Y22" s="14"/>
      <c r="AA22" s="15"/>
      <c r="AB22" s="14"/>
      <c r="AD22" s="15"/>
      <c r="AE22" s="14"/>
      <c r="AG22" s="15"/>
    </row>
    <row r="23" spans="1:33" x14ac:dyDescent="0.2">
      <c r="A23" t="s">
        <v>19</v>
      </c>
      <c r="B23">
        <v>2</v>
      </c>
      <c r="C23" s="5">
        <f t="shared" si="7"/>
        <v>0</v>
      </c>
      <c r="D23" s="8">
        <v>0</v>
      </c>
      <c r="E23" s="8">
        <v>0</v>
      </c>
      <c r="G23" s="2">
        <v>0</v>
      </c>
      <c r="H23" s="2">
        <v>0</v>
      </c>
      <c r="I23" s="2">
        <v>0</v>
      </c>
      <c r="J23">
        <v>0</v>
      </c>
      <c r="K23">
        <f t="shared" si="0"/>
        <v>0</v>
      </c>
      <c r="R23" t="s">
        <v>19</v>
      </c>
      <c r="S23">
        <v>2</v>
      </c>
      <c r="T23">
        <v>0</v>
      </c>
      <c r="V23" s="14"/>
      <c r="X23" s="15"/>
      <c r="Y23" s="14"/>
      <c r="AA23" s="15"/>
      <c r="AB23" s="14"/>
      <c r="AD23" s="15"/>
      <c r="AE23" s="14"/>
      <c r="AG23" s="15"/>
    </row>
    <row r="24" spans="1:33" x14ac:dyDescent="0.2">
      <c r="A24" t="s">
        <v>19</v>
      </c>
      <c r="B24">
        <v>3</v>
      </c>
      <c r="C24" s="5">
        <f t="shared" si="7"/>
        <v>88.204642999163553</v>
      </c>
      <c r="D24" s="8">
        <v>751651651.65165174</v>
      </c>
      <c r="E24" s="8">
        <v>21021021.02102102</v>
      </c>
      <c r="G24" s="2">
        <v>25.03</v>
      </c>
      <c r="H24" s="2">
        <v>0.7</v>
      </c>
      <c r="I24" s="2">
        <v>25.73</v>
      </c>
      <c r="J24">
        <v>2937.2146118721462</v>
      </c>
      <c r="K24">
        <f t="shared" si="0"/>
        <v>772672.67267267278</v>
      </c>
      <c r="R24" t="s">
        <v>19</v>
      </c>
      <c r="S24">
        <v>3</v>
      </c>
      <c r="T24">
        <v>88.204642999163553</v>
      </c>
      <c r="V24" s="14">
        <f t="shared" si="1"/>
        <v>66.871874532240497</v>
      </c>
      <c r="W24">
        <f t="shared" si="2"/>
        <v>88.204642999163553</v>
      </c>
      <c r="X24" s="15">
        <f t="shared" si="3"/>
        <v>109.53741146608661</v>
      </c>
      <c r="Y24" s="14">
        <f t="shared" si="8"/>
        <v>45.539106065317448</v>
      </c>
      <c r="Z24">
        <f t="shared" si="9"/>
        <v>88.204642999163553</v>
      </c>
      <c r="AA24" s="15">
        <f t="shared" si="10"/>
        <v>130.87017993300967</v>
      </c>
      <c r="AB24" s="14">
        <f t="shared" si="8"/>
        <v>24.206337598394384</v>
      </c>
      <c r="AC24">
        <f t="shared" si="9"/>
        <v>88.204642999163553</v>
      </c>
      <c r="AD24" s="15">
        <f t="shared" si="10"/>
        <v>152.20294839993272</v>
      </c>
      <c r="AE24" s="14">
        <f t="shared" si="8"/>
        <v>2.8735691314713421</v>
      </c>
      <c r="AF24">
        <f t="shared" si="9"/>
        <v>88.204642999163553</v>
      </c>
      <c r="AG24" s="15">
        <f t="shared" si="10"/>
        <v>173.53571686685575</v>
      </c>
    </row>
    <row r="25" spans="1:33" x14ac:dyDescent="0.2">
      <c r="A25" t="s">
        <v>19</v>
      </c>
      <c r="B25">
        <v>4</v>
      </c>
      <c r="C25" s="5">
        <f t="shared" si="7"/>
        <v>93.003962866976565</v>
      </c>
      <c r="D25" s="8">
        <v>751651651.65165174</v>
      </c>
      <c r="E25" s="8">
        <v>63063063.06306307</v>
      </c>
      <c r="G25" s="2">
        <v>25.03</v>
      </c>
      <c r="H25" s="2">
        <v>2.1</v>
      </c>
      <c r="I25" s="2">
        <v>27.130000000000003</v>
      </c>
      <c r="J25">
        <v>3097.0319634703201</v>
      </c>
      <c r="K25">
        <f t="shared" si="0"/>
        <v>814714.71471471479</v>
      </c>
      <c r="R25" t="s">
        <v>19</v>
      </c>
      <c r="S25">
        <v>4</v>
      </c>
      <c r="T25">
        <v>93.003962866976565</v>
      </c>
      <c r="V25" s="14">
        <f t="shared" si="1"/>
        <v>70.51045301436784</v>
      </c>
      <c r="W25">
        <f t="shared" si="2"/>
        <v>93.003962866976565</v>
      </c>
      <c r="X25" s="15">
        <f t="shared" si="3"/>
        <v>115.49747271958529</v>
      </c>
      <c r="Y25" s="14">
        <f t="shared" si="8"/>
        <v>48.016943161759123</v>
      </c>
      <c r="Z25">
        <f t="shared" si="9"/>
        <v>93.003962866976565</v>
      </c>
      <c r="AA25" s="15">
        <f t="shared" si="10"/>
        <v>137.99098257219401</v>
      </c>
      <c r="AB25" s="14">
        <f t="shared" si="8"/>
        <v>25.523433309150406</v>
      </c>
      <c r="AC25">
        <f t="shared" si="9"/>
        <v>93.003962866976565</v>
      </c>
      <c r="AD25" s="15">
        <f t="shared" si="10"/>
        <v>160.48449242480274</v>
      </c>
      <c r="AE25" s="14">
        <f t="shared" si="8"/>
        <v>3.029923456541681</v>
      </c>
      <c r="AF25">
        <f t="shared" si="9"/>
        <v>93.003962866976565</v>
      </c>
      <c r="AG25" s="15">
        <f t="shared" si="10"/>
        <v>182.97800227741146</v>
      </c>
    </row>
    <row r="26" spans="1:33" x14ac:dyDescent="0.2">
      <c r="A26" t="s">
        <v>19</v>
      </c>
      <c r="B26">
        <v>5</v>
      </c>
      <c r="C26" s="5">
        <f t="shared" si="7"/>
        <v>256.35224265361251</v>
      </c>
      <c r="D26" s="8">
        <v>2104504504.5045044</v>
      </c>
      <c r="E26" s="8">
        <v>141141141.14114115</v>
      </c>
      <c r="G26" s="2">
        <v>70.08</v>
      </c>
      <c r="H26" s="2">
        <v>4.7</v>
      </c>
      <c r="I26" s="2">
        <v>74.78</v>
      </c>
      <c r="J26">
        <v>8536.5296803652964</v>
      </c>
      <c r="K26">
        <f t="shared" si="0"/>
        <v>2245645.6456456454</v>
      </c>
      <c r="R26" t="s">
        <v>19</v>
      </c>
      <c r="S26">
        <v>5</v>
      </c>
      <c r="T26">
        <v>256.35224265361251</v>
      </c>
      <c r="V26" s="14">
        <f t="shared" si="1"/>
        <v>194.35207063820226</v>
      </c>
      <c r="W26">
        <f t="shared" si="2"/>
        <v>256.35224265361251</v>
      </c>
      <c r="X26" s="15">
        <f t="shared" si="3"/>
        <v>318.35241466902278</v>
      </c>
      <c r="Y26" s="14">
        <f t="shared" si="8"/>
        <v>132.35189862279202</v>
      </c>
      <c r="Z26">
        <f t="shared" si="9"/>
        <v>256.35224265361251</v>
      </c>
      <c r="AA26" s="15">
        <f t="shared" si="10"/>
        <v>380.35258668443299</v>
      </c>
      <c r="AB26" s="14">
        <f t="shared" si="8"/>
        <v>70.35172660738175</v>
      </c>
      <c r="AC26">
        <f t="shared" si="9"/>
        <v>256.35224265361251</v>
      </c>
      <c r="AD26" s="15">
        <f t="shared" si="10"/>
        <v>442.35275869984326</v>
      </c>
      <c r="AE26" s="14">
        <f t="shared" si="8"/>
        <v>8.3515545919715066</v>
      </c>
      <c r="AF26">
        <f t="shared" si="9"/>
        <v>256.35224265361251</v>
      </c>
      <c r="AG26" s="15">
        <f t="shared" si="10"/>
        <v>504.35293071525348</v>
      </c>
    </row>
    <row r="27" spans="1:33" x14ac:dyDescent="0.2">
      <c r="A27" t="s">
        <v>19</v>
      </c>
      <c r="B27">
        <v>6</v>
      </c>
      <c r="C27" s="5">
        <f t="shared" si="7"/>
        <v>267.66492519917176</v>
      </c>
      <c r="D27" s="8">
        <v>2104504504.5045044</v>
      </c>
      <c r="E27" s="8">
        <v>240240240.24024025</v>
      </c>
      <c r="G27" s="2">
        <v>70.08</v>
      </c>
      <c r="H27" s="2">
        <v>8</v>
      </c>
      <c r="I27" s="2">
        <v>78.08</v>
      </c>
      <c r="J27">
        <v>8913.2420091324202</v>
      </c>
      <c r="K27">
        <f t="shared" si="0"/>
        <v>2344744.7447447446</v>
      </c>
      <c r="R27" t="s">
        <v>19</v>
      </c>
      <c r="S27">
        <v>6</v>
      </c>
      <c r="T27">
        <v>267.66492519917176</v>
      </c>
      <c r="V27" s="14">
        <f t="shared" si="1"/>
        <v>202.92871991750243</v>
      </c>
      <c r="W27">
        <f t="shared" si="2"/>
        <v>267.66492519917176</v>
      </c>
      <c r="X27" s="15">
        <f t="shared" si="3"/>
        <v>332.40113048084106</v>
      </c>
      <c r="Y27" s="14">
        <f t="shared" si="8"/>
        <v>138.19251463583311</v>
      </c>
      <c r="Z27">
        <f t="shared" si="9"/>
        <v>267.66492519917176</v>
      </c>
      <c r="AA27" s="15">
        <f t="shared" si="10"/>
        <v>397.13733576251042</v>
      </c>
      <c r="AB27" s="14">
        <f t="shared" si="8"/>
        <v>73.456309354163778</v>
      </c>
      <c r="AC27">
        <f t="shared" si="9"/>
        <v>267.66492519917176</v>
      </c>
      <c r="AD27" s="15">
        <f t="shared" si="10"/>
        <v>461.87354104417977</v>
      </c>
      <c r="AE27" s="14">
        <f t="shared" si="8"/>
        <v>8.7201040724944505</v>
      </c>
      <c r="AF27">
        <f t="shared" si="9"/>
        <v>267.66492519917176</v>
      </c>
      <c r="AG27" s="15">
        <f t="shared" si="10"/>
        <v>526.60974632584907</v>
      </c>
    </row>
    <row r="28" spans="1:33" x14ac:dyDescent="0.2">
      <c r="A28" t="s">
        <v>4</v>
      </c>
      <c r="B28">
        <v>1</v>
      </c>
      <c r="C28" s="5">
        <f t="shared" si="7"/>
        <v>0</v>
      </c>
      <c r="D28" s="8">
        <v>0</v>
      </c>
      <c r="E28" s="8">
        <v>0</v>
      </c>
      <c r="G28" s="2">
        <v>0</v>
      </c>
      <c r="H28" s="2">
        <v>0</v>
      </c>
      <c r="I28" s="2">
        <v>0</v>
      </c>
      <c r="J28">
        <v>0</v>
      </c>
      <c r="K28">
        <f t="shared" si="0"/>
        <v>0</v>
      </c>
      <c r="R28" t="s">
        <v>4</v>
      </c>
      <c r="S28">
        <v>1</v>
      </c>
      <c r="T28">
        <v>0</v>
      </c>
      <c r="V28" s="14"/>
      <c r="X28" s="15"/>
      <c r="Y28" s="14"/>
      <c r="AA28" s="15"/>
      <c r="AB28" s="14"/>
      <c r="AD28" s="15"/>
      <c r="AE28" s="14"/>
      <c r="AG28" s="15"/>
    </row>
    <row r="29" spans="1:33" x14ac:dyDescent="0.2">
      <c r="A29" t="s">
        <v>4</v>
      </c>
      <c r="B29">
        <v>2</v>
      </c>
      <c r="C29" s="5">
        <f t="shared" si="7"/>
        <v>0</v>
      </c>
      <c r="D29" s="8">
        <v>0</v>
      </c>
      <c r="E29" s="8">
        <v>0</v>
      </c>
      <c r="G29" s="2">
        <v>0</v>
      </c>
      <c r="H29" s="2">
        <v>0</v>
      </c>
      <c r="I29" s="2">
        <v>0</v>
      </c>
      <c r="J29">
        <v>0</v>
      </c>
      <c r="K29">
        <f t="shared" si="0"/>
        <v>0</v>
      </c>
      <c r="R29" t="s">
        <v>4</v>
      </c>
      <c r="S29">
        <v>2</v>
      </c>
      <c r="T29">
        <v>0</v>
      </c>
      <c r="V29" s="14"/>
      <c r="X29" s="15"/>
      <c r="Y29" s="14"/>
      <c r="AA29" s="15"/>
      <c r="AB29" s="14"/>
      <c r="AD29" s="15"/>
      <c r="AE29" s="14"/>
      <c r="AG29" s="15"/>
    </row>
    <row r="30" spans="1:33" x14ac:dyDescent="0.2">
      <c r="A30" t="s">
        <v>4</v>
      </c>
      <c r="B30">
        <v>3</v>
      </c>
      <c r="C30" s="5">
        <f t="shared" si="7"/>
        <v>9.8728865852153511</v>
      </c>
      <c r="D30" s="8">
        <v>77477477.477477476</v>
      </c>
      <c r="E30" s="8">
        <v>9009009.0090090092</v>
      </c>
      <c r="G30" s="2">
        <v>2.58</v>
      </c>
      <c r="H30" s="2">
        <v>0.3</v>
      </c>
      <c r="I30" s="2">
        <v>2.88</v>
      </c>
      <c r="J30">
        <v>328.76712328767127</v>
      </c>
      <c r="K30">
        <f t="shared" si="0"/>
        <v>86486.486486486479</v>
      </c>
      <c r="R30" t="s">
        <v>4</v>
      </c>
      <c r="S30">
        <v>3</v>
      </c>
      <c r="T30">
        <v>9.8728865852153511</v>
      </c>
      <c r="V30" s="14">
        <f t="shared" si="1"/>
        <v>7.4850757346619741</v>
      </c>
      <c r="W30">
        <f t="shared" si="2"/>
        <v>9.8728865852153511</v>
      </c>
      <c r="X30" s="15">
        <f t="shared" si="3"/>
        <v>12.260697435768728</v>
      </c>
      <c r="Y30" s="14">
        <f t="shared" si="8"/>
        <v>5.0972648841085979</v>
      </c>
      <c r="Z30">
        <f t="shared" si="9"/>
        <v>9.8728865852153511</v>
      </c>
      <c r="AA30" s="15">
        <f t="shared" si="10"/>
        <v>14.648508286322105</v>
      </c>
      <c r="AB30" s="14">
        <f t="shared" si="8"/>
        <v>2.7094540335552209</v>
      </c>
      <c r="AC30">
        <f t="shared" si="9"/>
        <v>9.8728865852153511</v>
      </c>
      <c r="AD30" s="15">
        <f t="shared" si="10"/>
        <v>17.03631913687548</v>
      </c>
      <c r="AE30" s="14">
        <f t="shared" si="8"/>
        <v>0.32164318300184469</v>
      </c>
      <c r="AF30">
        <f t="shared" si="9"/>
        <v>9.8728865852153511</v>
      </c>
      <c r="AG30" s="15">
        <f t="shared" si="10"/>
        <v>19.424129987428856</v>
      </c>
    </row>
    <row r="31" spans="1:33" x14ac:dyDescent="0.2">
      <c r="A31" t="s">
        <v>4</v>
      </c>
      <c r="B31">
        <v>4</v>
      </c>
      <c r="C31" s="5">
        <f t="shared" si="7"/>
        <v>12.27254651912186</v>
      </c>
      <c r="D31" s="8">
        <v>77477477.477477476</v>
      </c>
      <c r="E31" s="8">
        <v>30030030.030030031</v>
      </c>
      <c r="G31" s="2">
        <v>2.58</v>
      </c>
      <c r="H31" s="2">
        <v>1</v>
      </c>
      <c r="I31" s="2">
        <v>3.58</v>
      </c>
      <c r="J31">
        <v>408.67579908675805</v>
      </c>
      <c r="K31">
        <f t="shared" si="0"/>
        <v>107507.5075075075</v>
      </c>
      <c r="R31" t="s">
        <v>4</v>
      </c>
      <c r="S31">
        <v>4</v>
      </c>
      <c r="T31">
        <v>12.27254651912186</v>
      </c>
      <c r="V31" s="14">
        <f t="shared" si="1"/>
        <v>9.3043649757256492</v>
      </c>
      <c r="W31">
        <f t="shared" si="2"/>
        <v>12.27254651912186</v>
      </c>
      <c r="X31" s="15">
        <f t="shared" si="3"/>
        <v>15.240728062518071</v>
      </c>
      <c r="Y31" s="14">
        <f t="shared" si="8"/>
        <v>6.3361834323294373</v>
      </c>
      <c r="Z31">
        <f t="shared" si="9"/>
        <v>12.27254651912186</v>
      </c>
      <c r="AA31" s="15">
        <f t="shared" si="10"/>
        <v>18.208909605914283</v>
      </c>
      <c r="AB31" s="14">
        <f t="shared" si="8"/>
        <v>3.3680018889332253</v>
      </c>
      <c r="AC31">
        <f t="shared" si="9"/>
        <v>12.27254651912186</v>
      </c>
      <c r="AD31" s="15">
        <f t="shared" si="10"/>
        <v>21.177091149310495</v>
      </c>
      <c r="AE31" s="14">
        <f t="shared" si="8"/>
        <v>0.39982034553701418</v>
      </c>
      <c r="AF31">
        <f t="shared" si="9"/>
        <v>12.27254651912186</v>
      </c>
      <c r="AG31" s="15">
        <f t="shared" si="10"/>
        <v>24.145272692706705</v>
      </c>
    </row>
    <row r="32" spans="1:33" x14ac:dyDescent="0.2">
      <c r="A32" t="s">
        <v>4</v>
      </c>
      <c r="B32">
        <v>5</v>
      </c>
      <c r="C32" s="5">
        <f t="shared" si="7"/>
        <v>33.081026231711164</v>
      </c>
      <c r="D32" s="8">
        <v>220720720.72072071</v>
      </c>
      <c r="E32" s="8">
        <v>69069069.069069073</v>
      </c>
      <c r="G32" s="2">
        <v>7.35</v>
      </c>
      <c r="H32" s="2">
        <v>2.2999999999999998</v>
      </c>
      <c r="I32" s="2">
        <v>9.6499999999999986</v>
      </c>
      <c r="J32">
        <v>1101.5981735159817</v>
      </c>
      <c r="K32">
        <f t="shared" si="0"/>
        <v>289789.78978978982</v>
      </c>
      <c r="R32" t="s">
        <v>4</v>
      </c>
      <c r="S32">
        <v>5</v>
      </c>
      <c r="T32">
        <v>33.081026231711164</v>
      </c>
      <c r="V32" s="14">
        <f t="shared" si="1"/>
        <v>25.080201680377797</v>
      </c>
      <c r="W32">
        <f t="shared" si="2"/>
        <v>33.081026231711164</v>
      </c>
      <c r="X32" s="15">
        <f t="shared" si="3"/>
        <v>41.08185078304453</v>
      </c>
      <c r="Y32" s="14">
        <f t="shared" si="8"/>
        <v>17.079377129044435</v>
      </c>
      <c r="Z32">
        <f t="shared" si="9"/>
        <v>33.081026231711164</v>
      </c>
      <c r="AA32" s="15">
        <f t="shared" si="10"/>
        <v>49.082675334377896</v>
      </c>
      <c r="AB32" s="14">
        <f t="shared" si="8"/>
        <v>9.078552577711072</v>
      </c>
      <c r="AC32">
        <f t="shared" si="9"/>
        <v>33.081026231711164</v>
      </c>
      <c r="AD32" s="15">
        <f t="shared" si="10"/>
        <v>57.083499885711255</v>
      </c>
      <c r="AE32" s="14">
        <f t="shared" si="8"/>
        <v>1.0777280263777058</v>
      </c>
      <c r="AF32">
        <f t="shared" si="9"/>
        <v>33.081026231711164</v>
      </c>
      <c r="AG32" s="15">
        <f t="shared" si="10"/>
        <v>65.084324437044614</v>
      </c>
    </row>
    <row r="33" spans="1:33" x14ac:dyDescent="0.2">
      <c r="A33" t="s">
        <v>4</v>
      </c>
      <c r="B33">
        <v>6</v>
      </c>
      <c r="C33" s="5">
        <f t="shared" si="7"/>
        <v>37.880346099524182</v>
      </c>
      <c r="D33" s="8">
        <v>220720720.72072071</v>
      </c>
      <c r="E33" s="8">
        <v>111111111.11111112</v>
      </c>
      <c r="G33" s="2">
        <v>7.35</v>
      </c>
      <c r="H33" s="2">
        <v>3.7</v>
      </c>
      <c r="I33" s="2">
        <v>11.05</v>
      </c>
      <c r="J33">
        <v>1261.4155251141553</v>
      </c>
      <c r="K33">
        <f t="shared" si="0"/>
        <v>331831.83183183183</v>
      </c>
      <c r="R33" t="s">
        <v>4</v>
      </c>
      <c r="S33">
        <v>6</v>
      </c>
      <c r="T33">
        <v>37.880346099524182</v>
      </c>
      <c r="V33" s="16">
        <f t="shared" si="1"/>
        <v>28.718780162505148</v>
      </c>
      <c r="W33" s="17">
        <f t="shared" si="2"/>
        <v>37.880346099524182</v>
      </c>
      <c r="X33" s="18">
        <f t="shared" si="3"/>
        <v>47.041912036543216</v>
      </c>
      <c r="Y33" s="16">
        <f t="shared" si="8"/>
        <v>19.557214225486113</v>
      </c>
      <c r="Z33" s="17">
        <f t="shared" si="9"/>
        <v>37.880346099524182</v>
      </c>
      <c r="AA33" s="18">
        <f t="shared" si="10"/>
        <v>56.203477973562251</v>
      </c>
      <c r="AB33" s="16">
        <f t="shared" si="8"/>
        <v>10.395648288467083</v>
      </c>
      <c r="AC33" s="17">
        <f t="shared" si="9"/>
        <v>37.880346099524182</v>
      </c>
      <c r="AD33" s="18">
        <f t="shared" si="10"/>
        <v>65.365043910581278</v>
      </c>
      <c r="AE33" s="16">
        <f t="shared" si="8"/>
        <v>1.2340823514480448</v>
      </c>
      <c r="AF33" s="17">
        <f t="shared" si="9"/>
        <v>37.880346099524182</v>
      </c>
      <c r="AG33" s="18">
        <f t="shared" si="10"/>
        <v>74.526609847600326</v>
      </c>
    </row>
    <row r="34" spans="1:33" x14ac:dyDescent="0.2">
      <c r="H34" s="2"/>
    </row>
    <row r="42" spans="1:33" x14ac:dyDescent="0.2">
      <c r="H42" s="2"/>
    </row>
  </sheetData>
  <autoFilter ref="A3:E33" xr:uid="{0479888D-A542-2440-BCA0-BC1F9DF83B13}"/>
  <mergeCells count="1">
    <mergeCell ref="V1:A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BB76-1F70-3D4B-B789-4C7250BCB72C}">
  <dimension ref="A1:G11"/>
  <sheetViews>
    <sheetView workbookViewId="0">
      <selection activeCell="D9" sqref="D9"/>
    </sheetView>
  </sheetViews>
  <sheetFormatPr baseColWidth="10" defaultRowHeight="16" x14ac:dyDescent="0.2"/>
  <cols>
    <col min="6" max="6" width="11.1640625" bestFit="1" customWidth="1"/>
  </cols>
  <sheetData>
    <row r="1" spans="1:7" x14ac:dyDescent="0.2">
      <c r="A1" t="s">
        <v>10</v>
      </c>
      <c r="C1" t="s">
        <v>21</v>
      </c>
      <c r="D1" t="s">
        <v>11</v>
      </c>
      <c r="E1" t="s">
        <v>12</v>
      </c>
      <c r="F1" t="s">
        <v>13</v>
      </c>
      <c r="G1" t="s">
        <v>16</v>
      </c>
    </row>
    <row r="2" spans="1:7" x14ac:dyDescent="0.2">
      <c r="A2">
        <v>33.299999999999997</v>
      </c>
      <c r="B2" t="s">
        <v>15</v>
      </c>
      <c r="C2">
        <v>48</v>
      </c>
      <c r="D2">
        <v>13</v>
      </c>
      <c r="E2">
        <v>2.8</v>
      </c>
      <c r="F2">
        <v>0.62</v>
      </c>
      <c r="G2">
        <f>(E2+F2)*10^6/(D2*1/($A$2/10^6))</f>
        <v>8.7604615384615379</v>
      </c>
    </row>
    <row r="3" spans="1:7" x14ac:dyDescent="0.2">
      <c r="C3">
        <v>36</v>
      </c>
      <c r="D3">
        <v>4.7</v>
      </c>
      <c r="E3">
        <v>2.2000000000000002</v>
      </c>
      <c r="F3">
        <v>0.32</v>
      </c>
      <c r="G3">
        <f t="shared" ref="G3:G4" si="0">(E3+F3)*10^6/(D3*1/($A$2/10^6))</f>
        <v>17.854468085106383</v>
      </c>
    </row>
    <row r="4" spans="1:7" x14ac:dyDescent="0.2">
      <c r="C4">
        <v>20</v>
      </c>
      <c r="D4">
        <v>1.2</v>
      </c>
      <c r="E4">
        <v>1.5</v>
      </c>
      <c r="F4">
        <v>0.09</v>
      </c>
      <c r="G4">
        <f t="shared" si="0"/>
        <v>44.122500000000002</v>
      </c>
    </row>
    <row r="8" spans="1:7" x14ac:dyDescent="0.2">
      <c r="C8" t="s">
        <v>21</v>
      </c>
      <c r="D8" t="s">
        <v>23</v>
      </c>
      <c r="E8" t="s">
        <v>22</v>
      </c>
      <c r="F8" t="s">
        <v>24</v>
      </c>
    </row>
    <row r="9" spans="1:7" x14ac:dyDescent="0.2">
      <c r="C9">
        <v>48</v>
      </c>
      <c r="D9">
        <v>16.899999999999999</v>
      </c>
      <c r="E9">
        <f>434/1000</f>
        <v>0.434</v>
      </c>
      <c r="F9">
        <f>E9/(D9*10^6/$A$2)</f>
        <v>8.5515976331360932E-7</v>
      </c>
    </row>
    <row r="10" spans="1:7" x14ac:dyDescent="0.2">
      <c r="C10">
        <v>36</v>
      </c>
      <c r="D10">
        <v>4.7</v>
      </c>
      <c r="E10">
        <f>93/1000</f>
        <v>9.2999999999999999E-2</v>
      </c>
      <c r="F10">
        <f t="shared" ref="F10:F11" si="1">E10/(D10*10^6/$A$2)</f>
        <v>6.5891489361702123E-7</v>
      </c>
    </row>
    <row r="11" spans="1:7" x14ac:dyDescent="0.2">
      <c r="C11">
        <v>20</v>
      </c>
      <c r="D11">
        <v>1.2</v>
      </c>
      <c r="E11">
        <f>26/1000</f>
        <v>2.5999999999999999E-2</v>
      </c>
      <c r="F11">
        <f t="shared" si="1"/>
        <v>7.215E-7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ProductionNodes</vt:lpstr>
      <vt:lpstr>ReformerLocations</vt:lpstr>
      <vt:lpstr>ReformerPlants</vt:lpstr>
      <vt:lpstr>ReformerCapitalCost</vt:lpstr>
      <vt:lpstr>ReformerFixedOMCost</vt:lpstr>
      <vt:lpstr>ReformerVariableOMCost</vt:lpstr>
      <vt:lpstr>ReformerEfficiency</vt:lpstr>
      <vt:lpstr>ReformerElectricityUse</vt:lpstr>
      <vt:lpstr>ReformerLifetime</vt:lpstr>
      <vt:lpstr>ReformerEmissionFactor</vt:lpstr>
      <vt:lpstr>ReformerCO2CaptureFactor</vt:lpstr>
      <vt:lpstr>ElectrolyzerPlantCapitalCost</vt:lpstr>
      <vt:lpstr>ElectrolyzerFixedOMCost</vt:lpstr>
      <vt:lpstr>ElectrolyzerStackCapitalCost</vt:lpstr>
      <vt:lpstr>ElectrolyzerLifetime</vt:lpstr>
      <vt:lpstr>ElectrolyzerMWhPerTon</vt:lpstr>
      <vt:lpstr>PipelineCapitalCost</vt:lpstr>
      <vt:lpstr>PipelineOMCostPerKM</vt:lpstr>
      <vt:lpstr>PipelineCapacity</vt:lpstr>
      <vt:lpstr>PipelineCompressorPowerUsage</vt:lpstr>
      <vt:lpstr>StorageCapitalCost</vt:lpstr>
      <vt:lpstr>StorageFixedOMCost</vt:lpstr>
      <vt:lpstr>StorageMaxCapacity</vt:lpstr>
      <vt:lpstr>Demand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2021-09-15T10:06:39Z</dcterms:created>
  <dcterms:modified xsi:type="dcterms:W3CDTF">2023-03-20T13:52:16Z</dcterms:modified>
</cp:coreProperties>
</file>