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slpl-my.sharepoint.com/personal/ak307879_student_polsl_pl/Documents/"/>
    </mc:Choice>
  </mc:AlternateContent>
  <xr:revisionPtr revIDLastSave="0" documentId="8_{70B49859-1280-4EBA-A9EB-235F95B8F630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Prawo Malusa" sheetId="2" r:id="rId1"/>
    <sheet name="Akustyka" sheetId="1" r:id="rId2"/>
    <sheet name="Przyśpieszenie ziemskie" sheetId="3" r:id="rId3"/>
    <sheet name="Gęstość cieczy" sheetId="4" r:id="rId4"/>
    <sheet name="Wyznaczanie ładunku właściwego " sheetId="5" r:id="rId5"/>
    <sheet name="Współczynnik załamania światła" sheetId="6" r:id="rId6"/>
    <sheet name="Badanie zjawiska Halla" sheetId="7" r:id="rId7"/>
    <sheet name="Wyznaczanie długości fali świa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8" l="1"/>
  <c r="AA15" i="8" s="1"/>
  <c r="K7" i="8"/>
  <c r="K4" i="8"/>
  <c r="AA11" i="8" s="1"/>
  <c r="R5" i="8"/>
  <c r="AC24" i="8" s="1"/>
  <c r="R6" i="8"/>
  <c r="AC25" i="8" s="1"/>
  <c r="R7" i="8"/>
  <c r="AC26" i="8" s="1"/>
  <c r="R8" i="8"/>
  <c r="AC27" i="8" s="1"/>
  <c r="R4" i="8"/>
  <c r="Q8" i="8"/>
  <c r="AB27" i="8" s="1"/>
  <c r="Q5" i="8"/>
  <c r="Q6" i="8"/>
  <c r="Q7" i="8"/>
  <c r="AB26" i="8" s="1"/>
  <c r="Q4" i="8"/>
  <c r="P7" i="8"/>
  <c r="AA26" i="8" s="1"/>
  <c r="P5" i="8"/>
  <c r="AA24" i="8" s="1"/>
  <c r="P6" i="8"/>
  <c r="AA25" i="8" s="1"/>
  <c r="P8" i="8"/>
  <c r="AA27" i="8" s="1"/>
  <c r="AO6" i="6"/>
  <c r="AO4" i="6"/>
  <c r="BY4" i="7"/>
  <c r="BR3" i="7"/>
  <c r="BZ4" i="7"/>
  <c r="BE12" i="7"/>
  <c r="BE7" i="7"/>
  <c r="CA4" i="7"/>
  <c r="CB4" i="7"/>
  <c r="AH5" i="7" a="1"/>
  <c r="AH5" i="7" s="1"/>
  <c r="BF4" i="7"/>
  <c r="BF10" i="7"/>
  <c r="BH7" i="7"/>
  <c r="BG7" i="7"/>
  <c r="BF7" i="7"/>
  <c r="AT5" i="7"/>
  <c r="AS5" i="7"/>
  <c r="AR5" i="7"/>
  <c r="V5" i="7"/>
  <c r="BE5" i="7"/>
  <c r="BF5" i="7"/>
  <c r="BG5" i="7"/>
  <c r="BH5" i="7"/>
  <c r="O5" i="7"/>
  <c r="V6" i="7"/>
  <c r="W6" i="7" s="1"/>
  <c r="V7" i="7"/>
  <c r="V8" i="7"/>
  <c r="W8" i="7" s="1"/>
  <c r="V9" i="7"/>
  <c r="V10" i="7"/>
  <c r="V11" i="7"/>
  <c r="W11" i="7" s="1"/>
  <c r="V12" i="7"/>
  <c r="W12" i="7" s="1"/>
  <c r="V13" i="7"/>
  <c r="V14" i="7"/>
  <c r="V15" i="7"/>
  <c r="V16" i="7"/>
  <c r="V17" i="7"/>
  <c r="AA3" i="5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W7" i="7"/>
  <c r="W9" i="7"/>
  <c r="W10" i="7"/>
  <c r="W13" i="7"/>
  <c r="W14" i="7"/>
  <c r="W15" i="7"/>
  <c r="W16" i="7"/>
  <c r="W17" i="7"/>
  <c r="W5" i="7"/>
  <c r="P6" i="6"/>
  <c r="S5" i="6" s="1"/>
  <c r="R12" i="7"/>
  <c r="R17" i="7"/>
  <c r="P5" i="7"/>
  <c r="Q5" i="7"/>
  <c r="R5" i="7"/>
  <c r="P6" i="7"/>
  <c r="Q6" i="7"/>
  <c r="R6" i="7"/>
  <c r="P7" i="7"/>
  <c r="Q7" i="7"/>
  <c r="R7" i="7"/>
  <c r="P8" i="7"/>
  <c r="Q8" i="7"/>
  <c r="R8" i="7"/>
  <c r="P9" i="7"/>
  <c r="Q9" i="7"/>
  <c r="R9" i="7"/>
  <c r="P10" i="7"/>
  <c r="Q10" i="7"/>
  <c r="R10" i="7"/>
  <c r="P11" i="7"/>
  <c r="Q11" i="7"/>
  <c r="R11" i="7"/>
  <c r="P12" i="7"/>
  <c r="Q12" i="7"/>
  <c r="P13" i="7"/>
  <c r="Q13" i="7"/>
  <c r="R13" i="7"/>
  <c r="P14" i="7"/>
  <c r="Q14" i="7"/>
  <c r="R14" i="7"/>
  <c r="P15" i="7"/>
  <c r="Q15" i="7"/>
  <c r="R15" i="7"/>
  <c r="P16" i="7"/>
  <c r="Q16" i="7"/>
  <c r="R16" i="7"/>
  <c r="P17" i="7"/>
  <c r="Q17" i="7"/>
  <c r="O6" i="7"/>
  <c r="O7" i="7"/>
  <c r="O8" i="7"/>
  <c r="O9" i="7"/>
  <c r="O10" i="7"/>
  <c r="O11" i="7"/>
  <c r="O12" i="7"/>
  <c r="O13" i="7"/>
  <c r="O14" i="7"/>
  <c r="O15" i="7"/>
  <c r="O16" i="7"/>
  <c r="O17" i="7"/>
  <c r="K11" i="7"/>
  <c r="BH12" i="7" s="1"/>
  <c r="BB25" i="6"/>
  <c r="AF6" i="6"/>
  <c r="AF7" i="6"/>
  <c r="AF8" i="6"/>
  <c r="AF9" i="6"/>
  <c r="J5" i="6"/>
  <c r="M6" i="6"/>
  <c r="M7" i="6"/>
  <c r="M9" i="6"/>
  <c r="M13" i="6"/>
  <c r="M14" i="6"/>
  <c r="M5" i="6"/>
  <c r="J4" i="6"/>
  <c r="AO5" i="6" s="1"/>
  <c r="G6" i="6"/>
  <c r="G5" i="6"/>
  <c r="AF5" i="6" s="1"/>
  <c r="AI6" i="6" s="1"/>
  <c r="AL8" i="6" s="1"/>
  <c r="F8" i="6"/>
  <c r="F7" i="6"/>
  <c r="C12" i="6"/>
  <c r="M12" i="6" s="1"/>
  <c r="C11" i="6"/>
  <c r="M11" i="6" s="1"/>
  <c r="C10" i="6"/>
  <c r="M10" i="6" s="1"/>
  <c r="C8" i="6"/>
  <c r="M8" i="6" s="1"/>
  <c r="C5" i="6"/>
  <c r="V19" i="5"/>
  <c r="M16" i="5"/>
  <c r="M19" i="5" s="1"/>
  <c r="M5" i="5" s="1"/>
  <c r="S19" i="5" s="1"/>
  <c r="AB25" i="8" l="1"/>
  <c r="Q12" i="8"/>
  <c r="Q11" i="8"/>
  <c r="S11" i="8" s="1"/>
  <c r="U5" i="8"/>
  <c r="AA23" i="8"/>
  <c r="AA5" i="8" s="1"/>
  <c r="AH6" i="8" s="1"/>
  <c r="AB15" i="8"/>
  <c r="AB23" i="8"/>
  <c r="AB16" i="8"/>
  <c r="AB24" i="8"/>
  <c r="AC15" i="8"/>
  <c r="AC23" i="8"/>
  <c r="AC19" i="8"/>
  <c r="AC9" i="8" s="1"/>
  <c r="AJ10" i="8" s="1"/>
  <c r="U9" i="8"/>
  <c r="AA19" i="8"/>
  <c r="AA9" i="8" s="1"/>
  <c r="AH10" i="8" s="1"/>
  <c r="U7" i="8"/>
  <c r="AA17" i="8"/>
  <c r="AA7" i="8" s="1"/>
  <c r="AH8" i="8" s="1"/>
  <c r="U6" i="8"/>
  <c r="AA16" i="8"/>
  <c r="AA6" i="8" s="1"/>
  <c r="AH7" i="8" s="1"/>
  <c r="U8" i="8"/>
  <c r="AA18" i="8"/>
  <c r="AA8" i="8" s="1"/>
  <c r="AH9" i="8" s="1"/>
  <c r="V5" i="8"/>
  <c r="V8" i="8"/>
  <c r="AB18" i="8"/>
  <c r="AB8" i="8" s="1"/>
  <c r="AI9" i="8" s="1"/>
  <c r="V7" i="8"/>
  <c r="AB17" i="8"/>
  <c r="AB7" i="8" s="1"/>
  <c r="AI8" i="8" s="1"/>
  <c r="V6" i="8"/>
  <c r="V9" i="8"/>
  <c r="AB19" i="8"/>
  <c r="AB9" i="8" s="1"/>
  <c r="AI10" i="8" s="1"/>
  <c r="W5" i="8"/>
  <c r="W9" i="8"/>
  <c r="W8" i="8"/>
  <c r="AC18" i="8"/>
  <c r="AC8" i="8" s="1"/>
  <c r="AJ9" i="8" s="1"/>
  <c r="W7" i="8"/>
  <c r="AC17" i="8"/>
  <c r="AC7" i="8" s="1"/>
  <c r="AJ8" i="8" s="1"/>
  <c r="W6" i="8"/>
  <c r="AC16" i="8"/>
  <c r="AC6" i="8" s="1"/>
  <c r="AJ7" i="8" s="1"/>
  <c r="AQ5" i="7"/>
  <c r="BF12" i="7"/>
  <c r="BG12" i="7"/>
  <c r="AL12" i="7" a="1"/>
  <c r="AH12" i="7" a="1"/>
  <c r="AL5" i="7" a="1"/>
  <c r="S6" i="6"/>
  <c r="S12" i="6"/>
  <c r="V4" i="6"/>
  <c r="V5" i="6" s="1"/>
  <c r="V6" i="6" s="1"/>
  <c r="BB21" i="6"/>
  <c r="BB20" i="6"/>
  <c r="BB24" i="6" s="1"/>
  <c r="S9" i="6"/>
  <c r="AL7" i="6"/>
  <c r="AL6" i="6"/>
  <c r="AL5" i="6"/>
  <c r="AL9" i="6"/>
  <c r="BZ9" i="5"/>
  <c r="BZ8" i="5"/>
  <c r="BZ7" i="5"/>
  <c r="BO6" i="5"/>
  <c r="BO7" i="5"/>
  <c r="BO8" i="5"/>
  <c r="BO5" i="5"/>
  <c r="AM7" i="5"/>
  <c r="AM8" i="5"/>
  <c r="AM9" i="5"/>
  <c r="AM6" i="5"/>
  <c r="AJ7" i="5"/>
  <c r="AJ8" i="5"/>
  <c r="AJ9" i="5"/>
  <c r="AJ6" i="5"/>
  <c r="AG7" i="5"/>
  <c r="AG8" i="5"/>
  <c r="AG9" i="5"/>
  <c r="AG10" i="5"/>
  <c r="AG11" i="5"/>
  <c r="AG6" i="5"/>
  <c r="AD7" i="5"/>
  <c r="AD8" i="5"/>
  <c r="AD9" i="5"/>
  <c r="AD10" i="5"/>
  <c r="AD11" i="5"/>
  <c r="AD12" i="5"/>
  <c r="AD13" i="5"/>
  <c r="AD14" i="5"/>
  <c r="AD6" i="5"/>
  <c r="M6" i="5"/>
  <c r="S20" i="5" s="1"/>
  <c r="H9" i="5"/>
  <c r="AA7" i="5" s="1"/>
  <c r="AC7" i="4"/>
  <c r="Y5" i="4"/>
  <c r="U7" i="4"/>
  <c r="U6" i="4"/>
  <c r="V4" i="4" s="1"/>
  <c r="U5" i="4"/>
  <c r="U4" i="4"/>
  <c r="AC4" i="4"/>
  <c r="L8" i="4"/>
  <c r="L5" i="4" s="1"/>
  <c r="B8" i="4"/>
  <c r="B7" i="4"/>
  <c r="B6" i="4"/>
  <c r="B5" i="4"/>
  <c r="O4" i="4" s="1"/>
  <c r="B4" i="4"/>
  <c r="O6" i="4" s="1"/>
  <c r="B3" i="4"/>
  <c r="R5" i="4" s="1"/>
  <c r="T2" i="1"/>
  <c r="R2" i="1"/>
  <c r="Q2" i="1"/>
  <c r="P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2" i="2"/>
  <c r="I36" i="2"/>
  <c r="I37" i="2"/>
  <c r="I35" i="2"/>
  <c r="I27" i="2"/>
  <c r="I28" i="2"/>
  <c r="I29" i="2"/>
  <c r="I30" i="2"/>
  <c r="I31" i="2"/>
  <c r="I32" i="2"/>
  <c r="I33" i="2"/>
  <c r="I34" i="2"/>
  <c r="I26" i="2"/>
  <c r="BE10" i="3"/>
  <c r="BE9" i="3"/>
  <c r="BE8" i="3"/>
  <c r="BE7" i="3"/>
  <c r="BE6" i="3"/>
  <c r="BE4" i="3"/>
  <c r="S3" i="3"/>
  <c r="R3" i="3" s="1"/>
  <c r="U3" i="3"/>
  <c r="AX3" i="3"/>
  <c r="AX4" i="3"/>
  <c r="AX5" i="3"/>
  <c r="AX6" i="3"/>
  <c r="AX7" i="3"/>
  <c r="AX8" i="3"/>
  <c r="AX9" i="3"/>
  <c r="AX10" i="3"/>
  <c r="AW4" i="3"/>
  <c r="AW5" i="3"/>
  <c r="AW6" i="3"/>
  <c r="AW7" i="3"/>
  <c r="AW8" i="3"/>
  <c r="AW9" i="3"/>
  <c r="AW10" i="3"/>
  <c r="AW3" i="3"/>
  <c r="AV3" i="3"/>
  <c r="AV4" i="3"/>
  <c r="AV5" i="3"/>
  <c r="AV6" i="3"/>
  <c r="AV7" i="3"/>
  <c r="AV8" i="3"/>
  <c r="AV9" i="3"/>
  <c r="AV10" i="3"/>
  <c r="AQ10" i="3"/>
  <c r="AU3" i="3"/>
  <c r="AU10" i="3"/>
  <c r="AU4" i="3"/>
  <c r="AU5" i="3"/>
  <c r="AU6" i="3"/>
  <c r="AU7" i="3"/>
  <c r="AU8" i="3"/>
  <c r="AU9" i="3"/>
  <c r="AQ9" i="3"/>
  <c r="R4" i="3"/>
  <c r="R5" i="3"/>
  <c r="R6" i="3"/>
  <c r="R7" i="3"/>
  <c r="R8" i="3"/>
  <c r="R9" i="3"/>
  <c r="R10" i="3"/>
  <c r="S10" i="3"/>
  <c r="S4" i="3"/>
  <c r="P3" i="3"/>
  <c r="K3" i="3"/>
  <c r="J3" i="3"/>
  <c r="S5" i="3"/>
  <c r="S6" i="3"/>
  <c r="S7" i="3"/>
  <c r="S8" i="3"/>
  <c r="S9" i="3"/>
  <c r="I4" i="3"/>
  <c r="I5" i="3"/>
  <c r="I6" i="3"/>
  <c r="I7" i="3"/>
  <c r="I8" i="3"/>
  <c r="I9" i="3"/>
  <c r="I10" i="3"/>
  <c r="I3" i="3"/>
  <c r="P13" i="3"/>
  <c r="P4" i="3"/>
  <c r="P5" i="3"/>
  <c r="P6" i="3"/>
  <c r="P7" i="3"/>
  <c r="P8" i="3"/>
  <c r="P9" i="3"/>
  <c r="P10" i="3"/>
  <c r="N3" i="3"/>
  <c r="O3" i="3"/>
  <c r="Q3" i="3"/>
  <c r="AQ3" i="3" s="1" a="1"/>
  <c r="AQ3" i="3" s="1"/>
  <c r="O2" i="1"/>
  <c r="J10" i="3"/>
  <c r="Q10" i="3" s="1"/>
  <c r="J5" i="3"/>
  <c r="Q5" i="3" s="1"/>
  <c r="J4" i="3"/>
  <c r="Q4" i="3"/>
  <c r="J7" i="3"/>
  <c r="Q7" i="3" s="1"/>
  <c r="J8" i="3"/>
  <c r="Q8" i="3" s="1"/>
  <c r="J9" i="3"/>
  <c r="Q9" i="3" s="1"/>
  <c r="F3" i="1"/>
  <c r="G2" i="1"/>
  <c r="E2" i="1"/>
  <c r="D3" i="1"/>
  <c r="J6" i="3"/>
  <c r="Q6" i="3" s="1"/>
  <c r="C32" i="2"/>
  <c r="L17" i="2" s="1"/>
  <c r="I3" i="2"/>
  <c r="C9" i="2" s="1"/>
  <c r="I13" i="2" s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H6" i="2"/>
  <c r="AL9" i="1"/>
  <c r="AF9" i="1"/>
  <c r="AF10" i="1" s="1"/>
  <c r="N18" i="1"/>
  <c r="N13" i="1"/>
  <c r="N9" i="1"/>
  <c r="N5" i="1"/>
  <c r="N2" i="1"/>
  <c r="K2" i="1"/>
  <c r="E9" i="1"/>
  <c r="F11" i="1" s="1"/>
  <c r="D20" i="1"/>
  <c r="D21" i="1"/>
  <c r="D22" i="1"/>
  <c r="D23" i="1"/>
  <c r="D19" i="1"/>
  <c r="D15" i="1"/>
  <c r="D16" i="1"/>
  <c r="D17" i="1"/>
  <c r="D14" i="1"/>
  <c r="D11" i="1"/>
  <c r="D12" i="1"/>
  <c r="D10" i="1"/>
  <c r="D7" i="1"/>
  <c r="D8" i="1"/>
  <c r="D6" i="1"/>
  <c r="D4" i="1"/>
  <c r="AN9" i="8" l="1"/>
  <c r="AL8" i="8"/>
  <c r="AN7" i="8"/>
  <c r="AM10" i="8"/>
  <c r="AN8" i="8"/>
  <c r="AL7" i="8"/>
  <c r="AL9" i="8"/>
  <c r="AM8" i="8"/>
  <c r="AM9" i="8"/>
  <c r="AL10" i="8"/>
  <c r="AN10" i="8"/>
  <c r="AL6" i="8"/>
  <c r="AC5" i="8"/>
  <c r="AJ6" i="8" s="1"/>
  <c r="AN6" i="8" s="1"/>
  <c r="AB6" i="8"/>
  <c r="AI7" i="8" s="1"/>
  <c r="AM7" i="8" s="1"/>
  <c r="AB5" i="8"/>
  <c r="AI6" i="8" s="1"/>
  <c r="AL5" i="7"/>
  <c r="AH12" i="7"/>
  <c r="BG10" i="7"/>
  <c r="AL12" i="7"/>
  <c r="BH10" i="7"/>
  <c r="BE10" i="7"/>
  <c r="BB30" i="6"/>
  <c r="BB29" i="6"/>
  <c r="BB28" i="6"/>
  <c r="S11" i="6"/>
  <c r="S7" i="6"/>
  <c r="S13" i="6"/>
  <c r="S8" i="6"/>
  <c r="S10" i="6"/>
  <c r="S14" i="6"/>
  <c r="AI7" i="6"/>
  <c r="AV4" i="6" s="1"/>
  <c r="BB23" i="6" s="1"/>
  <c r="BB27" i="6" s="1"/>
  <c r="AE6" i="5"/>
  <c r="AE7" i="5"/>
  <c r="AH8" i="5"/>
  <c r="AE13" i="5"/>
  <c r="AE11" i="5"/>
  <c r="AE12" i="5"/>
  <c r="AA6" i="5"/>
  <c r="AA14" i="5"/>
  <c r="AA13" i="5"/>
  <c r="AN9" i="5"/>
  <c r="AK9" i="5"/>
  <c r="AA12" i="5"/>
  <c r="AE8" i="5"/>
  <c r="AH7" i="5"/>
  <c r="AK6" i="5"/>
  <c r="AE10" i="5"/>
  <c r="AH9" i="5"/>
  <c r="AK7" i="5"/>
  <c r="AE9" i="5"/>
  <c r="AH10" i="5"/>
  <c r="AK8" i="5"/>
  <c r="AH11" i="5"/>
  <c r="AN6" i="5"/>
  <c r="AN7" i="5"/>
  <c r="AE14" i="5"/>
  <c r="AH6" i="5"/>
  <c r="AN8" i="5"/>
  <c r="AA11" i="5"/>
  <c r="AA10" i="5"/>
  <c r="AA9" i="5"/>
  <c r="AA8" i="5"/>
  <c r="P7" i="5"/>
  <c r="V21" i="5" s="1"/>
  <c r="M10" i="5"/>
  <c r="S24" i="5" s="1"/>
  <c r="O7" i="5"/>
  <c r="U21" i="5" s="1"/>
  <c r="N10" i="5"/>
  <c r="T24" i="5" s="1"/>
  <c r="P5" i="5"/>
  <c r="N9" i="5"/>
  <c r="T23" i="5" s="1"/>
  <c r="N7" i="5"/>
  <c r="T21" i="5" s="1"/>
  <c r="O5" i="5"/>
  <c r="U19" i="5" s="1"/>
  <c r="M9" i="5"/>
  <c r="S23" i="5" s="1"/>
  <c r="M7" i="5"/>
  <c r="S21" i="5" s="1"/>
  <c r="O8" i="5"/>
  <c r="U22" i="5" s="1"/>
  <c r="N5" i="5"/>
  <c r="T19" i="5" s="1"/>
  <c r="P8" i="5"/>
  <c r="V22" i="5" s="1"/>
  <c r="P6" i="5"/>
  <c r="V20" i="5" s="1"/>
  <c r="O6" i="5"/>
  <c r="U20" i="5" s="1"/>
  <c r="M13" i="5"/>
  <c r="S27" i="5" s="1"/>
  <c r="M12" i="5"/>
  <c r="S26" i="5" s="1"/>
  <c r="N8" i="5"/>
  <c r="T22" i="5" s="1"/>
  <c r="N6" i="5"/>
  <c r="T20" i="5" s="1"/>
  <c r="M11" i="5"/>
  <c r="S25" i="5" s="1"/>
  <c r="M8" i="5"/>
  <c r="S22" i="5" s="1"/>
  <c r="Y6" i="4"/>
  <c r="F5" i="4"/>
  <c r="AD7" i="4" s="1"/>
  <c r="O5" i="4"/>
  <c r="P4" i="4" s="1"/>
  <c r="Y4" i="4" s="1"/>
  <c r="R4" i="4"/>
  <c r="U11" i="4"/>
  <c r="R6" i="4"/>
  <c r="L11" i="4"/>
  <c r="U9" i="4"/>
  <c r="U12" i="4"/>
  <c r="F6" i="4"/>
  <c r="I5" i="4"/>
  <c r="U10" i="4"/>
  <c r="C40" i="2"/>
  <c r="O6" i="2" s="1"/>
  <c r="C24" i="2"/>
  <c r="L9" i="2" s="1"/>
  <c r="C72" i="2"/>
  <c r="R19" i="2" s="1"/>
  <c r="C16" i="2"/>
  <c r="I20" i="2" s="1"/>
  <c r="C69" i="2"/>
  <c r="R16" i="2" s="1"/>
  <c r="C8" i="2"/>
  <c r="I12" i="2" s="1"/>
  <c r="C64" i="2"/>
  <c r="R11" i="2" s="1"/>
  <c r="C56" i="2"/>
  <c r="O22" i="2" s="1"/>
  <c r="C48" i="2"/>
  <c r="O14" i="2" s="1"/>
  <c r="C71" i="2"/>
  <c r="R18" i="2" s="1"/>
  <c r="C63" i="2"/>
  <c r="R10" i="2" s="1"/>
  <c r="C55" i="2"/>
  <c r="O21" i="2" s="1"/>
  <c r="C47" i="2"/>
  <c r="O13" i="2" s="1"/>
  <c r="C39" i="2"/>
  <c r="L24" i="2" s="1"/>
  <c r="C31" i="2"/>
  <c r="L16" i="2" s="1"/>
  <c r="C23" i="2"/>
  <c r="L8" i="2" s="1"/>
  <c r="C15" i="2"/>
  <c r="I19" i="2" s="1"/>
  <c r="C7" i="2"/>
  <c r="I11" i="2" s="1"/>
  <c r="C70" i="2"/>
  <c r="R17" i="2" s="1"/>
  <c r="C62" i="2"/>
  <c r="R9" i="2" s="1"/>
  <c r="C54" i="2"/>
  <c r="O20" i="2" s="1"/>
  <c r="C46" i="2"/>
  <c r="O12" i="2" s="1"/>
  <c r="C38" i="2"/>
  <c r="L23" i="2" s="1"/>
  <c r="C30" i="2"/>
  <c r="L15" i="2" s="1"/>
  <c r="C22" i="2"/>
  <c r="L7" i="2" s="1"/>
  <c r="C14" i="2"/>
  <c r="I18" i="2" s="1"/>
  <c r="C6" i="2"/>
  <c r="I10" i="2" s="1"/>
  <c r="C68" i="2"/>
  <c r="R15" i="2" s="1"/>
  <c r="C60" i="2"/>
  <c r="R7" i="2" s="1"/>
  <c r="C52" i="2"/>
  <c r="O18" i="2" s="1"/>
  <c r="C44" i="2"/>
  <c r="O10" i="2" s="1"/>
  <c r="C36" i="2"/>
  <c r="L21" i="2" s="1"/>
  <c r="C28" i="2"/>
  <c r="L13" i="2" s="1"/>
  <c r="C20" i="2"/>
  <c r="I24" i="2" s="1"/>
  <c r="C12" i="2"/>
  <c r="I16" i="2" s="1"/>
  <c r="C4" i="2"/>
  <c r="I8" i="2" s="1"/>
  <c r="C53" i="2"/>
  <c r="O19" i="2" s="1"/>
  <c r="C37" i="2"/>
  <c r="L22" i="2" s="1"/>
  <c r="C13" i="2"/>
  <c r="I17" i="2" s="1"/>
  <c r="C2" i="2"/>
  <c r="I6" i="2" s="1"/>
  <c r="C67" i="2"/>
  <c r="R14" i="2" s="1"/>
  <c r="C59" i="2"/>
  <c r="R6" i="2" s="1"/>
  <c r="C51" i="2"/>
  <c r="O17" i="2" s="1"/>
  <c r="C43" i="2"/>
  <c r="O9" i="2" s="1"/>
  <c r="C35" i="2"/>
  <c r="L20" i="2" s="1"/>
  <c r="C27" i="2"/>
  <c r="L12" i="2" s="1"/>
  <c r="C19" i="2"/>
  <c r="I23" i="2" s="1"/>
  <c r="C11" i="2"/>
  <c r="I15" i="2" s="1"/>
  <c r="C3" i="2"/>
  <c r="I7" i="2" s="1"/>
  <c r="C45" i="2"/>
  <c r="O11" i="2" s="1"/>
  <c r="C21" i="2"/>
  <c r="L6" i="2" s="1"/>
  <c r="C74" i="2"/>
  <c r="R21" i="2" s="1"/>
  <c r="C66" i="2"/>
  <c r="R13" i="2" s="1"/>
  <c r="C58" i="2"/>
  <c r="O24" i="2" s="1"/>
  <c r="C50" i="2"/>
  <c r="O16" i="2" s="1"/>
  <c r="C42" i="2"/>
  <c r="O8" i="2" s="1"/>
  <c r="C34" i="2"/>
  <c r="L19" i="2" s="1"/>
  <c r="C26" i="2"/>
  <c r="L11" i="2" s="1"/>
  <c r="C18" i="2"/>
  <c r="I22" i="2" s="1"/>
  <c r="C10" i="2"/>
  <c r="I14" i="2" s="1"/>
  <c r="C61" i="2"/>
  <c r="R8" i="2" s="1"/>
  <c r="C29" i="2"/>
  <c r="L14" i="2" s="1"/>
  <c r="C5" i="2"/>
  <c r="I9" i="2" s="1"/>
  <c r="C73" i="2"/>
  <c r="R20" i="2" s="1"/>
  <c r="C65" i="2"/>
  <c r="R12" i="2" s="1"/>
  <c r="C57" i="2"/>
  <c r="O23" i="2" s="1"/>
  <c r="C49" i="2"/>
  <c r="O15" i="2" s="1"/>
  <c r="C41" i="2"/>
  <c r="O7" i="2" s="1"/>
  <c r="C33" i="2"/>
  <c r="L18" i="2" s="1"/>
  <c r="C25" i="2"/>
  <c r="L10" i="2" s="1"/>
  <c r="C17" i="2"/>
  <c r="I21" i="2" s="1"/>
  <c r="T3" i="3"/>
  <c r="M3" i="3"/>
  <c r="L3" i="3"/>
  <c r="O5" i="3"/>
  <c r="N5" i="3"/>
  <c r="M5" i="3"/>
  <c r="L5" i="3"/>
  <c r="K5" i="3"/>
  <c r="O4" i="3"/>
  <c r="N4" i="3"/>
  <c r="M4" i="3"/>
  <c r="L4" i="3"/>
  <c r="K4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M2" i="1"/>
  <c r="BA4" i="1"/>
  <c r="F10" i="1"/>
  <c r="F12" i="1"/>
  <c r="M9" i="1"/>
  <c r="E5" i="1"/>
  <c r="M5" i="1" s="1"/>
  <c r="E13" i="1"/>
  <c r="E18" i="1"/>
  <c r="F4" i="1"/>
  <c r="F15" i="1"/>
  <c r="F14" i="1"/>
  <c r="AQ5" i="8" l="1"/>
  <c r="AM6" i="8"/>
  <c r="AI3" i="8" s="1"/>
  <c r="BE6" i="7"/>
  <c r="BE4" i="7" s="1"/>
  <c r="CG4" i="7"/>
  <c r="BU3" i="7"/>
  <c r="BH6" i="7"/>
  <c r="BT3" i="7"/>
  <c r="CI4" i="7"/>
  <c r="BG6" i="7"/>
  <c r="BS3" i="7"/>
  <c r="BF6" i="7"/>
  <c r="CH4" i="7"/>
  <c r="P7" i="6"/>
  <c r="AC4" i="6"/>
  <c r="BB22" i="6" s="1"/>
  <c r="BB26" i="6" s="1"/>
  <c r="BB32" i="6"/>
  <c r="BB31" i="6"/>
  <c r="AY4" i="6" s="1"/>
  <c r="BS5" i="6" s="1"/>
  <c r="BS8" i="6" s="1"/>
  <c r="AR4" i="5" a="1"/>
  <c r="AR20" i="5" a="1"/>
  <c r="AR20" i="5" s="1"/>
  <c r="AY20" i="5" s="1"/>
  <c r="BP7" i="5" s="1"/>
  <c r="AR28" i="5" a="1"/>
  <c r="AR28" i="5" s="1"/>
  <c r="AY21" i="5" s="1"/>
  <c r="BP8" i="5" s="1"/>
  <c r="AR12" i="5" a="1"/>
  <c r="AR12" i="5" s="1"/>
  <c r="S4" i="4"/>
  <c r="J2" i="1"/>
  <c r="F6" i="1"/>
  <c r="G9" i="1"/>
  <c r="J9" i="1" s="1"/>
  <c r="L9" i="1" s="1"/>
  <c r="L2" i="1"/>
  <c r="F16" i="1"/>
  <c r="M13" i="1"/>
  <c r="F17" i="1"/>
  <c r="G13" i="1"/>
  <c r="J13" i="1" s="1"/>
  <c r="L13" i="1" s="1"/>
  <c r="F20" i="1"/>
  <c r="M18" i="1"/>
  <c r="F7" i="1"/>
  <c r="G5" i="1" s="1"/>
  <c r="J5" i="1" s="1"/>
  <c r="L5" i="1" s="1"/>
  <c r="F8" i="1"/>
  <c r="F22" i="1"/>
  <c r="F19" i="1"/>
  <c r="F23" i="1"/>
  <c r="F21" i="1"/>
  <c r="BG4" i="7" l="1"/>
  <c r="BM3" i="7" s="1"/>
  <c r="BM5" i="7" s="1"/>
  <c r="BH4" i="7"/>
  <c r="BN3" i="7" s="1"/>
  <c r="BN5" i="7" s="1"/>
  <c r="CH6" i="7"/>
  <c r="BL3" i="7"/>
  <c r="BL5" i="7" s="1"/>
  <c r="CI6" i="7"/>
  <c r="BK3" i="7"/>
  <c r="CJ4" i="7"/>
  <c r="CG6" i="7"/>
  <c r="BB34" i="6"/>
  <c r="BB33" i="6"/>
  <c r="BK13" i="5"/>
  <c r="BQ8" i="5" s="1"/>
  <c r="BR8" i="5" s="1"/>
  <c r="BK12" i="5"/>
  <c r="BQ7" i="5" s="1"/>
  <c r="BR7" i="5" s="1"/>
  <c r="BT7" i="5"/>
  <c r="AR4" i="5"/>
  <c r="AY18" i="5" s="1"/>
  <c r="BP5" i="5" s="1"/>
  <c r="BK10" i="5"/>
  <c r="BT8" i="5"/>
  <c r="BQ5" i="5"/>
  <c r="BR5" i="5" s="1"/>
  <c r="AY19" i="5"/>
  <c r="BP6" i="5" s="1"/>
  <c r="BK11" i="5"/>
  <c r="BQ6" i="5" s="1"/>
  <c r="BR6" i="5" s="1"/>
  <c r="O5" i="1"/>
  <c r="P5" i="1" s="1"/>
  <c r="R5" i="1" s="1"/>
  <c r="O9" i="1"/>
  <c r="P9" i="1" s="1"/>
  <c r="R9" i="1" s="1"/>
  <c r="O13" i="1"/>
  <c r="P13" i="1" s="1"/>
  <c r="R13" i="1" s="1"/>
  <c r="G18" i="1"/>
  <c r="J18" i="1" s="1"/>
  <c r="L18" i="1" s="1"/>
  <c r="CJ6" i="7" l="1"/>
  <c r="CG7" i="7" s="1"/>
  <c r="CG5" i="7"/>
  <c r="BK5" i="7"/>
  <c r="BK6" i="7" s="1"/>
  <c r="BK4" i="7"/>
  <c r="BB35" i="6"/>
  <c r="BS5" i="5"/>
  <c r="BT5" i="5"/>
  <c r="BT6" i="5"/>
  <c r="O18" i="1"/>
  <c r="P18" i="1" s="1"/>
  <c r="BS6" i="6" l="1"/>
  <c r="BS7" i="6" s="1"/>
  <c r="BV5" i="5"/>
  <c r="BZ5" i="5" s="1"/>
  <c r="BZ6" i="5" s="1"/>
  <c r="BU5" i="5"/>
  <c r="BZ4" i="5"/>
  <c r="BZ10" i="5" s="1"/>
  <c r="U2" i="1"/>
  <c r="R18" i="1"/>
  <c r="S2" i="1" s="1"/>
  <c r="AF12" i="1" l="1"/>
  <c r="AT12" i="1"/>
  <c r="AL7" i="1" l="1"/>
  <c r="AT13" i="1" s="1"/>
  <c r="AF11" i="1"/>
  <c r="AF13" i="1" s="1"/>
  <c r="AL10" i="1" l="1"/>
  <c r="BA5" i="1" s="1"/>
  <c r="BA7" i="1" s="1"/>
  <c r="B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<sst xmlns="http://schemas.openxmlformats.org/spreadsheetml/2006/main" count="535" uniqueCount="331">
  <si>
    <t>Φ, °</t>
  </si>
  <si>
    <t>i, µA</t>
  </si>
  <si>
    <t>iT, µA</t>
  </si>
  <si>
    <t>i = f(φT )</t>
  </si>
  <si>
    <t>Δi</t>
  </si>
  <si>
    <t>Zadanie 2</t>
  </si>
  <si>
    <t>Zadanie 7</t>
  </si>
  <si>
    <t>i max</t>
  </si>
  <si>
    <t>f, Hz</t>
  </si>
  <si>
    <t>α, rad</t>
  </si>
  <si>
    <t>x, cm</t>
  </si>
  <si>
    <t>Δx, cm</t>
  </si>
  <si>
    <t>Δx sr, cm</t>
  </si>
  <si>
    <t>(xi - Δx sr)^2</t>
  </si>
  <si>
    <t>Σ(xi - Δx sr)^2</t>
  </si>
  <si>
    <t>N</t>
  </si>
  <si>
    <t>t α,N</t>
  </si>
  <si>
    <t>ua(x sr)</t>
  </si>
  <si>
    <t>ub(x sr)</t>
  </si>
  <si>
    <t>u(x sr)</t>
  </si>
  <si>
    <t>c, cm/s</t>
  </si>
  <si>
    <t>u(f), Hz</t>
  </si>
  <si>
    <t>u(c), cm/s</t>
  </si>
  <si>
    <t>wi</t>
  </si>
  <si>
    <t>Σ wi</t>
  </si>
  <si>
    <t>ci * wi</t>
  </si>
  <si>
    <t>Σ ci * wi</t>
  </si>
  <si>
    <t>śr waż c</t>
  </si>
  <si>
    <t>u(śr waż c)</t>
  </si>
  <si>
    <t>Zadanie 8</t>
  </si>
  <si>
    <t>Zadanie 9</t>
  </si>
  <si>
    <t>Zadanie 10</t>
  </si>
  <si>
    <t>---</t>
  </si>
  <si>
    <t>Generator DF1641B</t>
  </si>
  <si>
    <t>https://cnx.org/contents/TqqPA4io@1.153:8FwHJuoc@5/</t>
  </si>
  <si>
    <t>π</t>
  </si>
  <si>
    <t>klasa licznika a</t>
  </si>
  <si>
    <t>%</t>
  </si>
  <si>
    <t>Ocena zgodności wyniku końcowego z wartością dokładną</t>
  </si>
  <si>
    <t>stała b</t>
  </si>
  <si>
    <t>κ₀ dla teoretycznej prędkości dźwięku v</t>
  </si>
  <si>
    <t>(g * m^2) / (J * s^2)</t>
  </si>
  <si>
    <t>rozdzielczość</t>
  </si>
  <si>
    <t>Hz</t>
  </si>
  <si>
    <t>κ dla zmierzonej prędkości dźwięku c</t>
  </si>
  <si>
    <t>μ</t>
  </si>
  <si>
    <t>g/mol</t>
  </si>
  <si>
    <t>niepewność rozszerzona U(κ)</t>
  </si>
  <si>
    <t>c</t>
  </si>
  <si>
    <t>m/s</t>
  </si>
  <si>
    <t>|k - k₀|</t>
  </si>
  <si>
    <t>temperatura w pracowni</t>
  </si>
  <si>
    <t>°C</t>
  </si>
  <si>
    <t>R</t>
  </si>
  <si>
    <t>J/(mol*K)</t>
  </si>
  <si>
    <t>Temperatura w pracowni</t>
  </si>
  <si>
    <t>T</t>
  </si>
  <si>
    <t>K</t>
  </si>
  <si>
    <t xml:space="preserve">Ponieważ |k - k₀| &lt; U(κ), wynik końcowy jest zgodny z wartością dokładną </t>
  </si>
  <si>
    <t>Teoretyczna prędkość dźwięku v</t>
  </si>
  <si>
    <t>κ</t>
  </si>
  <si>
    <t>Zmierzona prędkość dźwięku c</t>
  </si>
  <si>
    <t>Niepewność rozszerzona U(c)</t>
  </si>
  <si>
    <t>u(c)</t>
  </si>
  <si>
    <t>Zadanie 4</t>
  </si>
  <si>
    <t>|c - v|</t>
  </si>
  <si>
    <t>u(κ)</t>
  </si>
  <si>
    <t>1399(13)</t>
  </si>
  <si>
    <t xml:space="preserve">Ponieważ |c − v| &lt; U(c), wynik końcowy jest zgodny z wartością dokładną </t>
  </si>
  <si>
    <t>Pomiary</t>
  </si>
  <si>
    <t>zadanie 1</t>
  </si>
  <si>
    <t>zadanie 2</t>
  </si>
  <si>
    <t>zadanie 3</t>
  </si>
  <si>
    <t>zadanie 4</t>
  </si>
  <si>
    <t>zadanie 5</t>
  </si>
  <si>
    <t>Zadanie 3</t>
  </si>
  <si>
    <t>Lp.</t>
  </si>
  <si>
    <t>L, cm</t>
  </si>
  <si>
    <t>t,s</t>
  </si>
  <si>
    <t>L, m</t>
  </si>
  <si>
    <t>sqrt(L), sqrt(m)</t>
  </si>
  <si>
    <t>tsr,s</t>
  </si>
  <si>
    <t>(xi - t sr)^2</t>
  </si>
  <si>
    <t>ua(tsr),s</t>
  </si>
  <si>
    <t>T,s</t>
  </si>
  <si>
    <t>u(T),s</t>
  </si>
  <si>
    <t>u(tsr)</t>
  </si>
  <si>
    <t>g</t>
  </si>
  <si>
    <t>u(g)</t>
  </si>
  <si>
    <t>Zadanie 5</t>
  </si>
  <si>
    <t>Zadanie 6</t>
  </si>
  <si>
    <t>min T</t>
  </si>
  <si>
    <t>err</t>
  </si>
  <si>
    <t>a=</t>
  </si>
  <si>
    <t>b=</t>
  </si>
  <si>
    <t>szerokość geograficzna Gliwic</t>
  </si>
  <si>
    <t>°</t>
  </si>
  <si>
    <t>u(a)=</t>
  </si>
  <si>
    <t>u(b)=</t>
  </si>
  <si>
    <t>rad</t>
  </si>
  <si>
    <t>R^2=</t>
  </si>
  <si>
    <t>wysokość Gliwic nad poziomem morza</t>
  </si>
  <si>
    <t>m</t>
  </si>
  <si>
    <t>g0</t>
  </si>
  <si>
    <t>m/s²</t>
  </si>
  <si>
    <t>U(g)</t>
  </si>
  <si>
    <t>min a</t>
  </si>
  <si>
    <t>|g-g0|</t>
  </si>
  <si>
    <t>min b</t>
  </si>
  <si>
    <t>|g-g0| &lt; U(g)</t>
  </si>
  <si>
    <t>Pomiar</t>
  </si>
  <si>
    <t>Zad od 1 do 4</t>
  </si>
  <si>
    <t>Zad 8</t>
  </si>
  <si>
    <t>Zad 9</t>
  </si>
  <si>
    <t>ub(tsr),s</t>
  </si>
  <si>
    <t>Δt</t>
  </si>
  <si>
    <t>s</t>
  </si>
  <si>
    <t>ΔL</t>
  </si>
  <si>
    <t>mm</t>
  </si>
  <si>
    <t>Współczynnik sudenta Fisheratα,N</t>
  </si>
  <si>
    <t>Liczba pomiarów N</t>
  </si>
  <si>
    <t>Temperatura otoczenia, °C</t>
  </si>
  <si>
    <t>gęstość wody w temperaturze otoczenia pw, kg/m^3</t>
  </si>
  <si>
    <t>masa, kg</t>
  </si>
  <si>
    <t>Gęstość badanych cieczy</t>
  </si>
  <si>
    <t>Gęstość śrutu</t>
  </si>
  <si>
    <t>Niepewność pomiaru</t>
  </si>
  <si>
    <t>m1 - masa pustego piknometru</t>
  </si>
  <si>
    <t>Pochodna</t>
  </si>
  <si>
    <t>p3</t>
  </si>
  <si>
    <t>u(p3)</t>
  </si>
  <si>
    <t>p4</t>
  </si>
  <si>
    <t>u(p4)</t>
  </si>
  <si>
    <t>ps</t>
  </si>
  <si>
    <t>u(ps)</t>
  </si>
  <si>
    <t>dla 4%</t>
  </si>
  <si>
    <t>dla 6%</t>
  </si>
  <si>
    <t>dla 5%</t>
  </si>
  <si>
    <t>dla 10%</t>
  </si>
  <si>
    <t>m2 - masa piknometru z wodą destylowaną</t>
  </si>
  <si>
    <t>m1</t>
  </si>
  <si>
    <t>u(p3)*k</t>
  </si>
  <si>
    <t>m3 - masa piknometru z cieczą 10% NaCl</t>
  </si>
  <si>
    <t>ub(mx)</t>
  </si>
  <si>
    <t>m2</t>
  </si>
  <si>
    <t>u(p4)*k</t>
  </si>
  <si>
    <t>m4 - masa piknometru z cieczą 5% NaCl</t>
  </si>
  <si>
    <t>m3</t>
  </si>
  <si>
    <t>m4</t>
  </si>
  <si>
    <t>m5</t>
  </si>
  <si>
    <t>u(ps)*k</t>
  </si>
  <si>
    <t>Obliczone</t>
  </si>
  <si>
    <t>m5 - masa piknometru ze śrutem</t>
  </si>
  <si>
    <t>m6</t>
  </si>
  <si>
    <t>k=2</t>
  </si>
  <si>
    <t>m6 - masa piknometru z wodą i śrutem</t>
  </si>
  <si>
    <t>10 mg</t>
  </si>
  <si>
    <t>kg</t>
  </si>
  <si>
    <t>Zad1/Pomiary</t>
  </si>
  <si>
    <t>Zad 2</t>
  </si>
  <si>
    <t>Zad 3</t>
  </si>
  <si>
    <t>Zad 4</t>
  </si>
  <si>
    <t>Zad 7</t>
  </si>
  <si>
    <t>Zad 5</t>
  </si>
  <si>
    <t>Mierniki</t>
  </si>
  <si>
    <t>Zadanie 1</t>
  </si>
  <si>
    <t xml:space="preserve"> </t>
  </si>
  <si>
    <t>U, V</t>
  </si>
  <si>
    <t>IH, A</t>
  </si>
  <si>
    <t>amperomierz LM-1</t>
  </si>
  <si>
    <t>B, T</t>
  </si>
  <si>
    <t>u(IH)</t>
  </si>
  <si>
    <t>A</t>
  </si>
  <si>
    <t>Regresja liniowa dla r = 2cm</t>
  </si>
  <si>
    <t>Wyprowadzić zależność między napięciem U przyśpieszającym elektrony a indukcją B pola magnetycznego</t>
  </si>
  <si>
    <t>r = 2cm</t>
  </si>
  <si>
    <t>r = 3cm</t>
  </si>
  <si>
    <t>r = 4cm</t>
  </si>
  <si>
    <t>r = 5cm</t>
  </si>
  <si>
    <t>zakres</t>
  </si>
  <si>
    <t>r, m</t>
  </si>
  <si>
    <t>a [V/(m^2 * T^2)] =</t>
  </si>
  <si>
    <t>= b [V]</t>
  </si>
  <si>
    <t>r, cm</t>
  </si>
  <si>
    <t>e/m, C/kg</t>
  </si>
  <si>
    <t>u(e/m), C/kg</t>
  </si>
  <si>
    <t>Σwi</t>
  </si>
  <si>
    <t>xiwi</t>
  </si>
  <si>
    <t>e/m śr, C/kg</t>
  </si>
  <si>
    <t>u(e/m śr), C/kg</t>
  </si>
  <si>
    <t>klasa</t>
  </si>
  <si>
    <t>u(U), V</t>
  </si>
  <si>
    <t>u(r^2, B^2)</t>
  </si>
  <si>
    <t>u(a) [V/(m^2 * T^2)] =</t>
  </si>
  <si>
    <t>= u(b) [V]</t>
  </si>
  <si>
    <t>R^2 =</t>
  </si>
  <si>
    <t>U(e/m śr), C/kg</t>
  </si>
  <si>
    <t>Multimetr MY-61</t>
  </si>
  <si>
    <t>Ale ponieważ zgodnie ze wzorem tablicowym (nie wiem czy tak się na to mówi) b powinno być równe 0, wzór wygląda tak:</t>
  </si>
  <si>
    <t>e, C</t>
  </si>
  <si>
    <t>&lt;- Dane z wikipedii</t>
  </si>
  <si>
    <t>V</t>
  </si>
  <si>
    <t>m, kg</t>
  </si>
  <si>
    <t>rozdzielczość C</t>
  </si>
  <si>
    <t>klasa a</t>
  </si>
  <si>
    <t>|e/m - e/m0|</t>
  </si>
  <si>
    <t>Regresja liniowa dla r = 3cm</t>
  </si>
  <si>
    <t>Umożliwia nam to wyliczenie e/m</t>
  </si>
  <si>
    <t>wyniki nie są ze sobą zgodne</t>
  </si>
  <si>
    <t>można napisać, że jest to wina małej ilości pomiarów przez co tworzyły się "jaja"</t>
  </si>
  <si>
    <t>Opisz to wszystko jakoś staranniej własnymi słowami</t>
  </si>
  <si>
    <t>µ0</t>
  </si>
  <si>
    <t>(T*m)/A</t>
  </si>
  <si>
    <t>r^2 * B^2, m^2 * T^2</t>
  </si>
  <si>
    <t>k</t>
  </si>
  <si>
    <t>T/A</t>
  </si>
  <si>
    <t>Regresja liniowa dla r = 4cm</t>
  </si>
  <si>
    <t>Regresja liniowa dla r = 5cm</t>
  </si>
  <si>
    <t>a</t>
  </si>
  <si>
    <t>b</t>
  </si>
  <si>
    <t>d</t>
  </si>
  <si>
    <t>γ1</t>
  </si>
  <si>
    <t>γ2</t>
  </si>
  <si>
    <t>ε1</t>
  </si>
  <si>
    <t>ε2</t>
  </si>
  <si>
    <t>Szerokość kątowa wiązki</t>
  </si>
  <si>
    <t>ϕ = 1/2*(γ1 − γ2)</t>
  </si>
  <si>
    <t>(ϕi - ϕ śr)^2</t>
  </si>
  <si>
    <t>Dokładność odczytu kąta Δγ</t>
  </si>
  <si>
    <t>u(ϕ)</t>
  </si>
  <si>
    <t>δ = 1/2*(ε1 − ε2)</t>
  </si>
  <si>
    <t>(δi - δ śr)^2</t>
  </si>
  <si>
    <t>Dokładność odczytu kąta Δε</t>
  </si>
  <si>
    <t>u(δ)</t>
  </si>
  <si>
    <t>n</t>
  </si>
  <si>
    <t>n0</t>
  </si>
  <si>
    <t>Dokładność pomiaru kąta</t>
  </si>
  <si>
    <t>Współczynniki Studenta Fishera t</t>
  </si>
  <si>
    <t>Niepewność odczytu kąta u(γ)</t>
  </si>
  <si>
    <t>Niepewność odczytu kąta u(ε)</t>
  </si>
  <si>
    <t>ϕ śr</t>
  </si>
  <si>
    <t>Niepewność odczytu kąta ub(γ)</t>
  </si>
  <si>
    <t>δ śr</t>
  </si>
  <si>
    <t>Niepewność odczytu kąta ub(δ)</t>
  </si>
  <si>
    <t>u(n)</t>
  </si>
  <si>
    <t>ua(ϕ śr)</t>
  </si>
  <si>
    <t>ua(δ śr)</t>
  </si>
  <si>
    <t>U(n)</t>
  </si>
  <si>
    <t>|n-n0|</t>
  </si>
  <si>
    <t>𝜑</t>
  </si>
  <si>
    <t>𝛿</t>
  </si>
  <si>
    <t>u(𝜑)</t>
  </si>
  <si>
    <t>u(𝛿)</t>
  </si>
  <si>
    <t>𝜑 rad</t>
  </si>
  <si>
    <t>𝛿 rad</t>
  </si>
  <si>
    <t>u(𝜑) rad</t>
  </si>
  <si>
    <t>u(𝛿) rad</t>
  </si>
  <si>
    <t>(𝜑 + 𝛿) / 2 rad</t>
  </si>
  <si>
    <t>sin(𝜑/2)</t>
  </si>
  <si>
    <t>cos(𝜑/2)</t>
  </si>
  <si>
    <t>sin((𝜑 + 𝛿) / 2)</t>
  </si>
  <si>
    <t>cos((𝜑 + 𝛿) / 2)</t>
  </si>
  <si>
    <t>((𝜕n/𝜕𝜙) * u(𝜙))^2</t>
  </si>
  <si>
    <t>((𝜕n/𝜕δ) * u(δ))^2</t>
  </si>
  <si>
    <t>Zad1</t>
  </si>
  <si>
    <t>Zad3</t>
  </si>
  <si>
    <t>Zad4</t>
  </si>
  <si>
    <t>Zad 6</t>
  </si>
  <si>
    <t>Zad7</t>
  </si>
  <si>
    <t>Zad 10</t>
  </si>
  <si>
    <t>Is, mA</t>
  </si>
  <si>
    <t>Uy, mV</t>
  </si>
  <si>
    <t>M-4650CR do mierzenia Is</t>
  </si>
  <si>
    <t>Uh=Uy-Uy0, mV</t>
  </si>
  <si>
    <t>I, A</t>
  </si>
  <si>
    <t>wi=</t>
  </si>
  <si>
    <t>γ0=</t>
  </si>
  <si>
    <t>mA</t>
  </si>
  <si>
    <t>I,A</t>
  </si>
  <si>
    <t>ΔIs</t>
  </si>
  <si>
    <t>ub(Is)</t>
  </si>
  <si>
    <t>1 I,A</t>
  </si>
  <si>
    <t>2 I,A</t>
  </si>
  <si>
    <t>u(Rh)=</t>
  </si>
  <si>
    <t>u(Rh śr)=</t>
  </si>
  <si>
    <t>u(γ0)=</t>
  </si>
  <si>
    <t>a[V/A]=</t>
  </si>
  <si>
    <t>b[mV]=</t>
  </si>
  <si>
    <t>RH</t>
  </si>
  <si>
    <t>Rh(a)'=</t>
  </si>
  <si>
    <t>Rhi*wi=</t>
  </si>
  <si>
    <t>u(γ0 śr)=</t>
  </si>
  <si>
    <t>u[V/A](a)=</t>
  </si>
  <si>
    <t>u(b)[mV]=</t>
  </si>
  <si>
    <t>Rh(d)'=</t>
  </si>
  <si>
    <t>Rh śr=</t>
  </si>
  <si>
    <t>γ0i*wi=</t>
  </si>
  <si>
    <t>d=</t>
  </si>
  <si>
    <t>u(d)=(50)</t>
  </si>
  <si>
    <t>milimetry</t>
  </si>
  <si>
    <t>Rh(I)'=</t>
  </si>
  <si>
    <t>γ0 śr=</t>
  </si>
  <si>
    <t>A=</t>
  </si>
  <si>
    <t>MY-65 do mierzenia I</t>
  </si>
  <si>
    <t>2,5 I,A</t>
  </si>
  <si>
    <t>3 I,A</t>
  </si>
  <si>
    <t>a=Uh/Is</t>
  </si>
  <si>
    <t>u(d)=</t>
  </si>
  <si>
    <t>u(I)=</t>
  </si>
  <si>
    <t>MY-68 do mierzenia Uy</t>
  </si>
  <si>
    <t>mV</t>
  </si>
  <si>
    <t>Zad 1</t>
  </si>
  <si>
    <t>x1L, cm</t>
  </si>
  <si>
    <t>x1P, cm</t>
  </si>
  <si>
    <t>x2L, cm</t>
  </si>
  <si>
    <t>x2P, cm</t>
  </si>
  <si>
    <t>x3L, cm</t>
  </si>
  <si>
    <t>x3P, cm</t>
  </si>
  <si>
    <t xml:space="preserve">ΔL, Δx </t>
  </si>
  <si>
    <t>x1 sr, cm</t>
  </si>
  <si>
    <t>x2 sr, cm</t>
  </si>
  <si>
    <t>x3, sr, cm</t>
  </si>
  <si>
    <t>L</t>
  </si>
  <si>
    <t>λ</t>
  </si>
  <si>
    <t>u(λ)=</t>
  </si>
  <si>
    <t>sr x=</t>
  </si>
  <si>
    <t>u(L), u(x)</t>
  </si>
  <si>
    <t>xi*wi=</t>
  </si>
  <si>
    <t>u(x sr)=</t>
  </si>
  <si>
    <t>x sr'=</t>
  </si>
  <si>
    <t>L'=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</si>
</sst>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0.0000000"/>
    <numFmt numFmtId="168" formatCode="0.0000000000"/>
    <numFmt numFmtId="169" formatCode="0.00000"/>
    <numFmt numFmtId="170" formatCode="0.00000000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1F1F1F"/>
      <name val="Google Sans"/>
    </font>
    <font>
      <sz val="11"/>
      <color rgb="FF1F1F1F"/>
      <name val="Google Sans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8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8">
    <xf numFmtId="0" fontId="0" fillId="0" borderId="0" xfId="0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6" xfId="0" quotePrefix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horizontal="right" wrapText="1"/>
    </xf>
    <xf numFmtId="0" fontId="5" fillId="0" borderId="32" xfId="0" applyFont="1" applyBorder="1" applyAlignment="1">
      <alignment wrapText="1"/>
    </xf>
    <xf numFmtId="0" fontId="0" fillId="0" borderId="10" xfId="0" applyBorder="1"/>
    <xf numFmtId="0" fontId="6" fillId="0" borderId="0" xfId="1" applyAlignment="1"/>
    <xf numFmtId="0" fontId="0" fillId="0" borderId="36" xfId="0" applyBorder="1"/>
    <xf numFmtId="0" fontId="0" fillId="0" borderId="13" xfId="0" applyBorder="1"/>
    <xf numFmtId="0" fontId="0" fillId="0" borderId="37" xfId="0" applyBorder="1"/>
    <xf numFmtId="0" fontId="0" fillId="0" borderId="15" xfId="0" applyBorder="1"/>
    <xf numFmtId="0" fontId="0" fillId="0" borderId="38" xfId="0" applyBorder="1"/>
    <xf numFmtId="0" fontId="0" fillId="0" borderId="19" xfId="0" applyBorder="1"/>
    <xf numFmtId="0" fontId="0" fillId="0" borderId="34" xfId="0" applyBorder="1"/>
    <xf numFmtId="0" fontId="0" fillId="0" borderId="11" xfId="0" applyBorder="1"/>
    <xf numFmtId="0" fontId="0" fillId="0" borderId="35" xfId="0" applyBorder="1"/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right"/>
    </xf>
    <xf numFmtId="0" fontId="0" fillId="0" borderId="33" xfId="0" applyBorder="1"/>
    <xf numFmtId="0" fontId="0" fillId="0" borderId="41" xfId="0" applyBorder="1" applyAlignment="1">
      <alignment vertical="center"/>
    </xf>
    <xf numFmtId="0" fontId="0" fillId="0" borderId="42" xfId="0" applyBorder="1"/>
    <xf numFmtId="0" fontId="5" fillId="0" borderId="2" xfId="0" applyFont="1" applyBorder="1" applyAlignment="1">
      <alignment horizontal="right" wrapText="1"/>
    </xf>
    <xf numFmtId="0" fontId="5" fillId="0" borderId="36" xfId="0" applyFont="1" applyBorder="1" applyAlignment="1">
      <alignment horizontal="right" wrapText="1"/>
    </xf>
    <xf numFmtId="0" fontId="5" fillId="0" borderId="13" xfId="0" applyFont="1" applyBorder="1" applyAlignment="1">
      <alignment horizontal="right" wrapText="1"/>
    </xf>
    <xf numFmtId="0" fontId="5" fillId="0" borderId="37" xfId="0" applyFont="1" applyBorder="1" applyAlignment="1">
      <alignment horizontal="right" wrapText="1"/>
    </xf>
    <xf numFmtId="0" fontId="5" fillId="0" borderId="9" xfId="0" applyFont="1" applyBorder="1" applyAlignment="1">
      <alignment horizontal="right" wrapText="1"/>
    </xf>
    <xf numFmtId="0" fontId="5" fillId="0" borderId="15" xfId="0" applyFont="1" applyBorder="1" applyAlignment="1">
      <alignment horizontal="right" wrapText="1"/>
    </xf>
    <xf numFmtId="0" fontId="5" fillId="0" borderId="38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19" xfId="0" applyFont="1" applyBorder="1" applyAlignment="1">
      <alignment horizontal="right" wrapText="1"/>
    </xf>
    <xf numFmtId="0" fontId="8" fillId="2" borderId="26" xfId="0" applyFont="1" applyFill="1" applyBorder="1" applyAlignment="1">
      <alignment wrapText="1"/>
    </xf>
    <xf numFmtId="0" fontId="5" fillId="0" borderId="23" xfId="0" applyFont="1" applyBorder="1" applyAlignment="1">
      <alignment wrapText="1"/>
    </xf>
    <xf numFmtId="0" fontId="9" fillId="2" borderId="24" xfId="0" applyFont="1" applyFill="1" applyBorder="1" applyAlignment="1">
      <alignment wrapText="1"/>
    </xf>
    <xf numFmtId="0" fontId="8" fillId="2" borderId="43" xfId="0" applyFont="1" applyFill="1" applyBorder="1" applyAlignment="1">
      <alignment wrapText="1"/>
    </xf>
    <xf numFmtId="0" fontId="0" fillId="0" borderId="44" xfId="0" applyBorder="1"/>
    <xf numFmtId="2" fontId="0" fillId="0" borderId="35" xfId="0" applyNumberFormat="1" applyBorder="1"/>
    <xf numFmtId="2" fontId="0" fillId="0" borderId="0" xfId="0" applyNumberFormat="1"/>
    <xf numFmtId="2" fontId="0" fillId="0" borderId="13" xfId="0" applyNumberFormat="1" applyBorder="1"/>
    <xf numFmtId="2" fontId="0" fillId="0" borderId="15" xfId="0" applyNumberFormat="1" applyBorder="1"/>
    <xf numFmtId="0" fontId="5" fillId="0" borderId="34" xfId="0" applyFont="1" applyBorder="1" applyAlignment="1">
      <alignment horizontal="right" wrapText="1"/>
    </xf>
    <xf numFmtId="2" fontId="0" fillId="0" borderId="2" xfId="0" applyNumberFormat="1" applyBorder="1"/>
    <xf numFmtId="2" fontId="0" fillId="0" borderId="9" xfId="0" applyNumberFormat="1" applyBorder="1"/>
    <xf numFmtId="165" fontId="0" fillId="0" borderId="6" xfId="0" quotePrefix="1" applyNumberFormat="1" applyBorder="1" applyAlignment="1">
      <alignment horizontal="center"/>
    </xf>
    <xf numFmtId="165" fontId="0" fillId="0" borderId="2" xfId="0" applyNumberFormat="1" applyBorder="1"/>
    <xf numFmtId="165" fontId="0" fillId="0" borderId="2" xfId="0" quotePrefix="1" applyNumberFormat="1" applyBorder="1" applyAlignment="1">
      <alignment horizontal="center"/>
    </xf>
    <xf numFmtId="165" fontId="0" fillId="0" borderId="9" xfId="0" applyNumberFormat="1" applyBorder="1"/>
    <xf numFmtId="166" fontId="0" fillId="0" borderId="18" xfId="0" applyNumberFormat="1" applyBorder="1"/>
    <xf numFmtId="166" fontId="0" fillId="0" borderId="3" xfId="0" applyNumberFormat="1" applyBorder="1"/>
    <xf numFmtId="166" fontId="0" fillId="0" borderId="8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166" fontId="0" fillId="0" borderId="2" xfId="0" applyNumberFormat="1" applyBorder="1"/>
    <xf numFmtId="166" fontId="0" fillId="0" borderId="9" xfId="0" applyNumberFormat="1" applyBorder="1"/>
    <xf numFmtId="0" fontId="0" fillId="0" borderId="9" xfId="0" applyBorder="1"/>
    <xf numFmtId="0" fontId="0" fillId="0" borderId="4" xfId="0" applyBorder="1"/>
    <xf numFmtId="0" fontId="10" fillId="0" borderId="1" xfId="0" applyFont="1" applyBorder="1" applyAlignment="1">
      <alignment horizontal="center"/>
    </xf>
    <xf numFmtId="167" fontId="0" fillId="0" borderId="1" xfId="0" applyNumberFormat="1" applyBorder="1"/>
    <xf numFmtId="0" fontId="10" fillId="0" borderId="1" xfId="0" applyFont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0" fontId="0" fillId="0" borderId="51" xfId="0" applyBorder="1"/>
    <xf numFmtId="165" fontId="0" fillId="0" borderId="1" xfId="0" applyNumberFormat="1" applyBorder="1"/>
    <xf numFmtId="169" fontId="0" fillId="0" borderId="0" xfId="0" applyNumberFormat="1"/>
    <xf numFmtId="169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70" fontId="0" fillId="0" borderId="0" xfId="0" applyNumberFormat="1"/>
    <xf numFmtId="168" fontId="0" fillId="0" borderId="2" xfId="0" applyNumberFormat="1" applyBorder="1"/>
    <xf numFmtId="0" fontId="5" fillId="0" borderId="0" xfId="0" applyFont="1" applyAlignment="1">
      <alignment horizontal="right" wrapText="1"/>
    </xf>
    <xf numFmtId="0" fontId="0" fillId="0" borderId="1" xfId="0" applyBorder="1"/>
    <xf numFmtId="0" fontId="0" fillId="0" borderId="3" xfId="0" applyBorder="1"/>
    <xf numFmtId="0" fontId="0" fillId="0" borderId="57" xfId="0" applyBorder="1"/>
    <xf numFmtId="0" fontId="0" fillId="0" borderId="59" xfId="0" applyBorder="1"/>
    <xf numFmtId="0" fontId="0" fillId="0" borderId="60" xfId="0" quotePrefix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/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4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/>
    <xf numFmtId="0" fontId="0" fillId="3" borderId="40" xfId="0" applyFill="1" applyBorder="1"/>
    <xf numFmtId="0" fontId="0" fillId="0" borderId="7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/>
    <xf numFmtId="0" fontId="0" fillId="0" borderId="75" xfId="0" applyBorder="1"/>
    <xf numFmtId="0" fontId="12" fillId="0" borderId="0" xfId="0" applyFont="1"/>
    <xf numFmtId="0" fontId="11" fillId="0" borderId="0" xfId="0" applyFont="1"/>
    <xf numFmtId="0" fontId="0" fillId="0" borderId="37" xfId="0" applyBorder="1" applyAlignment="1">
      <alignment horizontal="center"/>
    </xf>
    <xf numFmtId="0" fontId="13" fillId="0" borderId="0" xfId="0" applyFont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166" fontId="0" fillId="0" borderId="1" xfId="0" applyNumberFormat="1" applyBorder="1"/>
    <xf numFmtId="166" fontId="0" fillId="0" borderId="71" xfId="0" applyNumberFormat="1" applyBorder="1"/>
    <xf numFmtId="166" fontId="0" fillId="0" borderId="73" xfId="0" applyNumberFormat="1" applyBorder="1"/>
    <xf numFmtId="166" fontId="0" fillId="0" borderId="74" xfId="0" applyNumberFormat="1" applyBorder="1"/>
    <xf numFmtId="169" fontId="0" fillId="0" borderId="13" xfId="0" applyNumberFormat="1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4" xfId="0" applyBorder="1"/>
    <xf numFmtId="0" fontId="0" fillId="0" borderId="29" xfId="0" applyBorder="1"/>
    <xf numFmtId="11" fontId="0" fillId="0" borderId="1" xfId="0" applyNumberFormat="1" applyBorder="1"/>
    <xf numFmtId="11" fontId="0" fillId="0" borderId="71" xfId="0" applyNumberFormat="1" applyBorder="1"/>
    <xf numFmtId="11" fontId="0" fillId="0" borderId="73" xfId="0" applyNumberFormat="1" applyBorder="1"/>
    <xf numFmtId="11" fontId="0" fillId="0" borderId="74" xfId="0" applyNumberFormat="1" applyBorder="1"/>
    <xf numFmtId="11" fontId="0" fillId="0" borderId="2" xfId="0" applyNumberFormat="1" applyBorder="1"/>
    <xf numFmtId="11" fontId="0" fillId="0" borderId="13" xfId="0" applyNumberFormat="1" applyBorder="1"/>
    <xf numFmtId="11" fontId="0" fillId="0" borderId="9" xfId="0" applyNumberFormat="1" applyBorder="1"/>
    <xf numFmtId="11" fontId="0" fillId="0" borderId="15" xfId="0" applyNumberFormat="1" applyBorder="1"/>
    <xf numFmtId="0" fontId="3" fillId="0" borderId="2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0" fontId="4" fillId="0" borderId="27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49" xfId="0" quotePrefix="1" applyNumberFormat="1" applyBorder="1" applyAlignment="1">
      <alignment horizontal="center" vertical="center"/>
    </xf>
    <xf numFmtId="2" fontId="0" fillId="0" borderId="46" xfId="0" quotePrefix="1" applyNumberFormat="1" applyBorder="1" applyAlignment="1">
      <alignment horizontal="center" vertical="center"/>
    </xf>
    <xf numFmtId="2" fontId="0" fillId="0" borderId="48" xfId="0" quotePrefix="1" applyNumberFormat="1" applyBorder="1" applyAlignment="1">
      <alignment horizontal="center" vertical="center"/>
    </xf>
    <xf numFmtId="2" fontId="0" fillId="0" borderId="45" xfId="0" quotePrefix="1" applyNumberFormat="1" applyBorder="1" applyAlignment="1">
      <alignment horizontal="center" vertical="center"/>
    </xf>
    <xf numFmtId="2" fontId="0" fillId="0" borderId="47" xfId="0" quotePrefix="1" applyNumberForma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8" fontId="0" fillId="0" borderId="52" xfId="0" applyNumberFormat="1" applyBorder="1" applyAlignment="1">
      <alignment horizontal="center" vertical="center"/>
    </xf>
    <xf numFmtId="168" fontId="0" fillId="0" borderId="53" xfId="0" applyNumberFormat="1" applyBorder="1" applyAlignment="1">
      <alignment horizontal="center" vertical="center"/>
    </xf>
    <xf numFmtId="168" fontId="0" fillId="0" borderId="17" xfId="0" applyNumberFormat="1" applyBorder="1" applyAlignment="1">
      <alignment horizontal="center" vertical="center"/>
    </xf>
    <xf numFmtId="168" fontId="0" fillId="0" borderId="5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colors>
    <mruColors>
      <color rgb="FF000000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Pomiar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0" cap="rnd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'Prawo Malusa'!$F$2:$F$74</c:f>
                <c:numCache>
                  <c:formatCode>General</c:formatCode>
                  <c:ptCount val="73"/>
                  <c:pt idx="0">
                    <c:v>0.11547005383792516</c:v>
                  </c:pt>
                  <c:pt idx="1">
                    <c:v>0.11547005383792516</c:v>
                  </c:pt>
                  <c:pt idx="2">
                    <c:v>0.11547005383792516</c:v>
                  </c:pt>
                  <c:pt idx="3">
                    <c:v>0.11547005383792516</c:v>
                  </c:pt>
                  <c:pt idx="4">
                    <c:v>0.11547005383792516</c:v>
                  </c:pt>
                  <c:pt idx="5">
                    <c:v>0.11547005383792516</c:v>
                  </c:pt>
                  <c:pt idx="6">
                    <c:v>0.11639381426862856</c:v>
                  </c:pt>
                  <c:pt idx="7">
                    <c:v>0.11731757469933196</c:v>
                  </c:pt>
                  <c:pt idx="8">
                    <c:v>0.11916509556073876</c:v>
                  </c:pt>
                  <c:pt idx="9">
                    <c:v>0.12101261642214557</c:v>
                  </c:pt>
                  <c:pt idx="10">
                    <c:v>0.12332201749890408</c:v>
                  </c:pt>
                  <c:pt idx="11">
                    <c:v>0.12563141857566257</c:v>
                  </c:pt>
                  <c:pt idx="12">
                    <c:v>0.12840269986777278</c:v>
                  </c:pt>
                  <c:pt idx="13">
                    <c:v>0.13117398115988299</c:v>
                  </c:pt>
                  <c:pt idx="14">
                    <c:v>0.1339452624519932</c:v>
                  </c:pt>
                  <c:pt idx="15">
                    <c:v>0.13671654374410339</c:v>
                  </c:pt>
                  <c:pt idx="16">
                    <c:v>0.13856406460551018</c:v>
                  </c:pt>
                  <c:pt idx="17">
                    <c:v>0.14041158546691698</c:v>
                  </c:pt>
                  <c:pt idx="18">
                    <c:v>0.1417972261129721</c:v>
                  </c:pt>
                  <c:pt idx="19">
                    <c:v>0.14272098654367549</c:v>
                  </c:pt>
                  <c:pt idx="20">
                    <c:v>0.14272098654367549</c:v>
                  </c:pt>
                  <c:pt idx="21">
                    <c:v>0.14225910632832381</c:v>
                  </c:pt>
                  <c:pt idx="22">
                    <c:v>0.1413353458976204</c:v>
                  </c:pt>
                  <c:pt idx="23">
                    <c:v>0.14041158546691698</c:v>
                  </c:pt>
                  <c:pt idx="24">
                    <c:v>0.13856406460551018</c:v>
                  </c:pt>
                  <c:pt idx="25">
                    <c:v>0.13625466352875168</c:v>
                  </c:pt>
                  <c:pt idx="26">
                    <c:v>0.1339452624519932</c:v>
                  </c:pt>
                  <c:pt idx="27">
                    <c:v>0.13117398115988299</c:v>
                  </c:pt>
                  <c:pt idx="28">
                    <c:v>0.12886458008312449</c:v>
                  </c:pt>
                  <c:pt idx="29">
                    <c:v>0.12609329879101427</c:v>
                  </c:pt>
                  <c:pt idx="30">
                    <c:v>0.12378389771425577</c:v>
                  </c:pt>
                  <c:pt idx="31">
                    <c:v>0.12147449663749726</c:v>
                  </c:pt>
                  <c:pt idx="32">
                    <c:v>0.11962697577609047</c:v>
                  </c:pt>
                  <c:pt idx="33">
                    <c:v>0.11824133513003537</c:v>
                  </c:pt>
                  <c:pt idx="34">
                    <c:v>0.11685569448398025</c:v>
                  </c:pt>
                  <c:pt idx="35">
                    <c:v>0.11593193405327687</c:v>
                  </c:pt>
                  <c:pt idx="36">
                    <c:v>0.11547005383792516</c:v>
                  </c:pt>
                  <c:pt idx="37">
                    <c:v>0.11547005383792516</c:v>
                  </c:pt>
                  <c:pt idx="38">
                    <c:v>0.11547005383792516</c:v>
                  </c:pt>
                  <c:pt idx="39">
                    <c:v>0.11547005383792516</c:v>
                  </c:pt>
                  <c:pt idx="40">
                    <c:v>0.11547005383792516</c:v>
                  </c:pt>
                  <c:pt idx="41">
                    <c:v>0.11547005383792516</c:v>
                  </c:pt>
                  <c:pt idx="42">
                    <c:v>0.11593193405327687</c:v>
                  </c:pt>
                  <c:pt idx="43">
                    <c:v>0.11731757469933196</c:v>
                  </c:pt>
                  <c:pt idx="44">
                    <c:v>0.11870321534538707</c:v>
                  </c:pt>
                  <c:pt idx="45">
                    <c:v>0.12055073620679388</c:v>
                  </c:pt>
                  <c:pt idx="46">
                    <c:v>0.12286013728355237</c:v>
                  </c:pt>
                  <c:pt idx="47">
                    <c:v>0.12516953836031086</c:v>
                  </c:pt>
                  <c:pt idx="48">
                    <c:v>0.12794081965242107</c:v>
                  </c:pt>
                  <c:pt idx="49">
                    <c:v>0.13025022072917958</c:v>
                  </c:pt>
                  <c:pt idx="50">
                    <c:v>0.13302150202128979</c:v>
                  </c:pt>
                  <c:pt idx="51">
                    <c:v>0.13533090309804829</c:v>
                  </c:pt>
                  <c:pt idx="52">
                    <c:v>0.1376403041748068</c:v>
                  </c:pt>
                  <c:pt idx="53">
                    <c:v>0.1394878250362136</c:v>
                  </c:pt>
                  <c:pt idx="54">
                    <c:v>0.14041158546691698</c:v>
                  </c:pt>
                  <c:pt idx="55">
                    <c:v>0.1417972261129721</c:v>
                  </c:pt>
                  <c:pt idx="56">
                    <c:v>0.1417972261129721</c:v>
                  </c:pt>
                  <c:pt idx="57">
                    <c:v>0.1417972261129721</c:v>
                  </c:pt>
                  <c:pt idx="58">
                    <c:v>0.14087346568226869</c:v>
                  </c:pt>
                  <c:pt idx="59">
                    <c:v>0.1394878250362136</c:v>
                  </c:pt>
                  <c:pt idx="60">
                    <c:v>0.1376403041748068</c:v>
                  </c:pt>
                  <c:pt idx="61">
                    <c:v>0.13579278331339997</c:v>
                  </c:pt>
                  <c:pt idx="62">
                    <c:v>0.13348338223664147</c:v>
                  </c:pt>
                  <c:pt idx="63">
                    <c:v>0.13071210094453128</c:v>
                  </c:pt>
                  <c:pt idx="64">
                    <c:v>0.12794081965242107</c:v>
                  </c:pt>
                  <c:pt idx="65">
                    <c:v>0.12563141857566257</c:v>
                  </c:pt>
                  <c:pt idx="66">
                    <c:v>0.12332201749890408</c:v>
                  </c:pt>
                  <c:pt idx="67">
                    <c:v>0.12147449663749726</c:v>
                  </c:pt>
                  <c:pt idx="68">
                    <c:v>0.11916509556073876</c:v>
                  </c:pt>
                  <c:pt idx="69">
                    <c:v>0.11777945491468365</c:v>
                  </c:pt>
                  <c:pt idx="70">
                    <c:v>0.11685569448398025</c:v>
                  </c:pt>
                  <c:pt idx="71">
                    <c:v>0.11593193405327687</c:v>
                  </c:pt>
                  <c:pt idx="72">
                    <c:v>0.11547005383792516</c:v>
                  </c:pt>
                </c:numCache>
              </c:numRef>
            </c:plus>
            <c:minus>
              <c:numRef>
                <c:f>'Prawo Malusa'!$F$2:$F$74</c:f>
                <c:numCache>
                  <c:formatCode>General</c:formatCode>
                  <c:ptCount val="73"/>
                  <c:pt idx="0">
                    <c:v>0.11547005383792516</c:v>
                  </c:pt>
                  <c:pt idx="1">
                    <c:v>0.11547005383792516</c:v>
                  </c:pt>
                  <c:pt idx="2">
                    <c:v>0.11547005383792516</c:v>
                  </c:pt>
                  <c:pt idx="3">
                    <c:v>0.11547005383792516</c:v>
                  </c:pt>
                  <c:pt idx="4">
                    <c:v>0.11547005383792516</c:v>
                  </c:pt>
                  <c:pt idx="5">
                    <c:v>0.11547005383792516</c:v>
                  </c:pt>
                  <c:pt idx="6">
                    <c:v>0.11639381426862856</c:v>
                  </c:pt>
                  <c:pt idx="7">
                    <c:v>0.11731757469933196</c:v>
                  </c:pt>
                  <c:pt idx="8">
                    <c:v>0.11916509556073876</c:v>
                  </c:pt>
                  <c:pt idx="9">
                    <c:v>0.12101261642214557</c:v>
                  </c:pt>
                  <c:pt idx="10">
                    <c:v>0.12332201749890408</c:v>
                  </c:pt>
                  <c:pt idx="11">
                    <c:v>0.12563141857566257</c:v>
                  </c:pt>
                  <c:pt idx="12">
                    <c:v>0.12840269986777278</c:v>
                  </c:pt>
                  <c:pt idx="13">
                    <c:v>0.13117398115988299</c:v>
                  </c:pt>
                  <c:pt idx="14">
                    <c:v>0.1339452624519932</c:v>
                  </c:pt>
                  <c:pt idx="15">
                    <c:v>0.13671654374410339</c:v>
                  </c:pt>
                  <c:pt idx="16">
                    <c:v>0.13856406460551018</c:v>
                  </c:pt>
                  <c:pt idx="17">
                    <c:v>0.14041158546691698</c:v>
                  </c:pt>
                  <c:pt idx="18">
                    <c:v>0.1417972261129721</c:v>
                  </c:pt>
                  <c:pt idx="19">
                    <c:v>0.14272098654367549</c:v>
                  </c:pt>
                  <c:pt idx="20">
                    <c:v>0.14272098654367549</c:v>
                  </c:pt>
                  <c:pt idx="21">
                    <c:v>0.14225910632832381</c:v>
                  </c:pt>
                  <c:pt idx="22">
                    <c:v>0.1413353458976204</c:v>
                  </c:pt>
                  <c:pt idx="23">
                    <c:v>0.14041158546691698</c:v>
                  </c:pt>
                  <c:pt idx="24">
                    <c:v>0.13856406460551018</c:v>
                  </c:pt>
                  <c:pt idx="25">
                    <c:v>0.13625466352875168</c:v>
                  </c:pt>
                  <c:pt idx="26">
                    <c:v>0.1339452624519932</c:v>
                  </c:pt>
                  <c:pt idx="27">
                    <c:v>0.13117398115988299</c:v>
                  </c:pt>
                  <c:pt idx="28">
                    <c:v>0.12886458008312449</c:v>
                  </c:pt>
                  <c:pt idx="29">
                    <c:v>0.12609329879101427</c:v>
                  </c:pt>
                  <c:pt idx="30">
                    <c:v>0.12378389771425577</c:v>
                  </c:pt>
                  <c:pt idx="31">
                    <c:v>0.12147449663749726</c:v>
                  </c:pt>
                  <c:pt idx="32">
                    <c:v>0.11962697577609047</c:v>
                  </c:pt>
                  <c:pt idx="33">
                    <c:v>0.11824133513003537</c:v>
                  </c:pt>
                  <c:pt idx="34">
                    <c:v>0.11685569448398025</c:v>
                  </c:pt>
                  <c:pt idx="35">
                    <c:v>0.11593193405327687</c:v>
                  </c:pt>
                  <c:pt idx="36">
                    <c:v>0.11547005383792516</c:v>
                  </c:pt>
                  <c:pt idx="37">
                    <c:v>0.11547005383792516</c:v>
                  </c:pt>
                  <c:pt idx="38">
                    <c:v>0.11547005383792516</c:v>
                  </c:pt>
                  <c:pt idx="39">
                    <c:v>0.11547005383792516</c:v>
                  </c:pt>
                  <c:pt idx="40">
                    <c:v>0.11547005383792516</c:v>
                  </c:pt>
                  <c:pt idx="41">
                    <c:v>0.11547005383792516</c:v>
                  </c:pt>
                  <c:pt idx="42">
                    <c:v>0.11593193405327687</c:v>
                  </c:pt>
                  <c:pt idx="43">
                    <c:v>0.11731757469933196</c:v>
                  </c:pt>
                  <c:pt idx="44">
                    <c:v>0.11870321534538707</c:v>
                  </c:pt>
                  <c:pt idx="45">
                    <c:v>0.12055073620679388</c:v>
                  </c:pt>
                  <c:pt idx="46">
                    <c:v>0.12286013728355237</c:v>
                  </c:pt>
                  <c:pt idx="47">
                    <c:v>0.12516953836031086</c:v>
                  </c:pt>
                  <c:pt idx="48">
                    <c:v>0.12794081965242107</c:v>
                  </c:pt>
                  <c:pt idx="49">
                    <c:v>0.13025022072917958</c:v>
                  </c:pt>
                  <c:pt idx="50">
                    <c:v>0.13302150202128979</c:v>
                  </c:pt>
                  <c:pt idx="51">
                    <c:v>0.13533090309804829</c:v>
                  </c:pt>
                  <c:pt idx="52">
                    <c:v>0.1376403041748068</c:v>
                  </c:pt>
                  <c:pt idx="53">
                    <c:v>0.1394878250362136</c:v>
                  </c:pt>
                  <c:pt idx="54">
                    <c:v>0.14041158546691698</c:v>
                  </c:pt>
                  <c:pt idx="55">
                    <c:v>0.1417972261129721</c:v>
                  </c:pt>
                  <c:pt idx="56">
                    <c:v>0.1417972261129721</c:v>
                  </c:pt>
                  <c:pt idx="57">
                    <c:v>0.1417972261129721</c:v>
                  </c:pt>
                  <c:pt idx="58">
                    <c:v>0.14087346568226869</c:v>
                  </c:pt>
                  <c:pt idx="59">
                    <c:v>0.1394878250362136</c:v>
                  </c:pt>
                  <c:pt idx="60">
                    <c:v>0.1376403041748068</c:v>
                  </c:pt>
                  <c:pt idx="61">
                    <c:v>0.13579278331339997</c:v>
                  </c:pt>
                  <c:pt idx="62">
                    <c:v>0.13348338223664147</c:v>
                  </c:pt>
                  <c:pt idx="63">
                    <c:v>0.13071210094453128</c:v>
                  </c:pt>
                  <c:pt idx="64">
                    <c:v>0.12794081965242107</c:v>
                  </c:pt>
                  <c:pt idx="65">
                    <c:v>0.12563141857566257</c:v>
                  </c:pt>
                  <c:pt idx="66">
                    <c:v>0.12332201749890408</c:v>
                  </c:pt>
                  <c:pt idx="67">
                    <c:v>0.12147449663749726</c:v>
                  </c:pt>
                  <c:pt idx="68">
                    <c:v>0.11916509556073876</c:v>
                  </c:pt>
                  <c:pt idx="69">
                    <c:v>0.11777945491468365</c:v>
                  </c:pt>
                  <c:pt idx="70">
                    <c:v>0.11685569448398025</c:v>
                  </c:pt>
                  <c:pt idx="71">
                    <c:v>0.11593193405327687</c:v>
                  </c:pt>
                  <c:pt idx="72">
                    <c:v>0.11547005383792516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'Prawo Malusa'!$A$2:$A$74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'Prawo Malusa'!$B$2:$B$74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0.8</c:v>
                </c:pt>
                <c:pt idx="9">
                  <c:v>1.2</c:v>
                </c:pt>
                <c:pt idx="10">
                  <c:v>1.7</c:v>
                </c:pt>
                <c:pt idx="11">
                  <c:v>2.2000000000000002</c:v>
                </c:pt>
                <c:pt idx="12">
                  <c:v>2.8</c:v>
                </c:pt>
                <c:pt idx="13">
                  <c:v>3.4</c:v>
                </c:pt>
                <c:pt idx="14">
                  <c:v>4</c:v>
                </c:pt>
                <c:pt idx="15">
                  <c:v>4.5999999999999996</c:v>
                </c:pt>
                <c:pt idx="16">
                  <c:v>5</c:v>
                </c:pt>
                <c:pt idx="17">
                  <c:v>5.4</c:v>
                </c:pt>
                <c:pt idx="18">
                  <c:v>5.7</c:v>
                </c:pt>
                <c:pt idx="19">
                  <c:v>5.9</c:v>
                </c:pt>
                <c:pt idx="20">
                  <c:v>5.9</c:v>
                </c:pt>
                <c:pt idx="21">
                  <c:v>5.8</c:v>
                </c:pt>
                <c:pt idx="22">
                  <c:v>5.6</c:v>
                </c:pt>
                <c:pt idx="23">
                  <c:v>5.4</c:v>
                </c:pt>
                <c:pt idx="24">
                  <c:v>5</c:v>
                </c:pt>
                <c:pt idx="25">
                  <c:v>4.5</c:v>
                </c:pt>
                <c:pt idx="26">
                  <c:v>4</c:v>
                </c:pt>
                <c:pt idx="27">
                  <c:v>3.4</c:v>
                </c:pt>
                <c:pt idx="28">
                  <c:v>2.9</c:v>
                </c:pt>
                <c:pt idx="29">
                  <c:v>2.2999999999999998</c:v>
                </c:pt>
                <c:pt idx="30">
                  <c:v>1.8</c:v>
                </c:pt>
                <c:pt idx="31">
                  <c:v>1.3</c:v>
                </c:pt>
                <c:pt idx="32">
                  <c:v>0.9</c:v>
                </c:pt>
                <c:pt idx="33">
                  <c:v>0.6</c:v>
                </c:pt>
                <c:pt idx="34">
                  <c:v>0.3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0.4</c:v>
                </c:pt>
                <c:pt idx="44">
                  <c:v>0.7</c:v>
                </c:pt>
                <c:pt idx="45">
                  <c:v>1.1000000000000001</c:v>
                </c:pt>
                <c:pt idx="46">
                  <c:v>1.6</c:v>
                </c:pt>
                <c:pt idx="47">
                  <c:v>2.1</c:v>
                </c:pt>
                <c:pt idx="48">
                  <c:v>2.7</c:v>
                </c:pt>
                <c:pt idx="49">
                  <c:v>3.2</c:v>
                </c:pt>
                <c:pt idx="50">
                  <c:v>3.8</c:v>
                </c:pt>
                <c:pt idx="51">
                  <c:v>4.3</c:v>
                </c:pt>
                <c:pt idx="52">
                  <c:v>4.8</c:v>
                </c:pt>
                <c:pt idx="53">
                  <c:v>5.2</c:v>
                </c:pt>
                <c:pt idx="54">
                  <c:v>5.4</c:v>
                </c:pt>
                <c:pt idx="55">
                  <c:v>5.7</c:v>
                </c:pt>
                <c:pt idx="56">
                  <c:v>5.7</c:v>
                </c:pt>
                <c:pt idx="57">
                  <c:v>5.7</c:v>
                </c:pt>
                <c:pt idx="58">
                  <c:v>5.5</c:v>
                </c:pt>
                <c:pt idx="59">
                  <c:v>5.2</c:v>
                </c:pt>
                <c:pt idx="60">
                  <c:v>4.8</c:v>
                </c:pt>
                <c:pt idx="61">
                  <c:v>4.4000000000000004</c:v>
                </c:pt>
                <c:pt idx="62">
                  <c:v>3.9</c:v>
                </c:pt>
                <c:pt idx="63">
                  <c:v>3.3</c:v>
                </c:pt>
                <c:pt idx="64">
                  <c:v>2.7</c:v>
                </c:pt>
                <c:pt idx="65">
                  <c:v>2.2000000000000002</c:v>
                </c:pt>
                <c:pt idx="66">
                  <c:v>1.7</c:v>
                </c:pt>
                <c:pt idx="67">
                  <c:v>1.3</c:v>
                </c:pt>
                <c:pt idx="68">
                  <c:v>0.8</c:v>
                </c:pt>
                <c:pt idx="69">
                  <c:v>0.5</c:v>
                </c:pt>
                <c:pt idx="70">
                  <c:v>0.3</c:v>
                </c:pt>
                <c:pt idx="71">
                  <c:v>0.1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7-406A-BA56-F6701541A7E9}"/>
            </c:ext>
          </c:extLst>
        </c:ser>
        <c:ser>
          <c:idx val="1"/>
          <c:order val="1"/>
          <c:tx>
            <c:strRef>
              <c:f>'Prawo Malusa'!$D$1</c:f>
              <c:strCache>
                <c:ptCount val="1"/>
                <c:pt idx="0">
                  <c:v>i = f(φT 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'Prawo Malusa'!$A$2:$A$74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'Prawo Malusa'!$D$2:$D$74</c:f>
              <c:numCache>
                <c:formatCode>General</c:formatCode>
                <c:ptCount val="73"/>
                <c:pt idx="0">
                  <c:v>0.1779067687</c:v>
                </c:pt>
                <c:pt idx="1">
                  <c:v>4.481712861E-2</c:v>
                </c:pt>
                <c:pt idx="2">
                  <c:v>0</c:v>
                </c:pt>
                <c:pt idx="3">
                  <c:v>4.481712861E-2</c:v>
                </c:pt>
                <c:pt idx="4">
                  <c:v>0.1779067687</c:v>
                </c:pt>
                <c:pt idx="5">
                  <c:v>0.39522505879999997</c:v>
                </c:pt>
                <c:pt idx="6">
                  <c:v>0.69016889280000004</c:v>
                </c:pt>
                <c:pt idx="7">
                  <c:v>1.0537765509999999</c:v>
                </c:pt>
                <c:pt idx="8">
                  <c:v>1.4750000000000001</c:v>
                </c:pt>
                <c:pt idx="9">
                  <c:v>1.9410405770000001</c:v>
                </c:pt>
                <c:pt idx="10">
                  <c:v>2.4377378759999999</c:v>
                </c:pt>
                <c:pt idx="11">
                  <c:v>2.95</c:v>
                </c:pt>
                <c:pt idx="12">
                  <c:v>3.462262124</c:v>
                </c:pt>
                <c:pt idx="13">
                  <c:v>3.958959423</c:v>
                </c:pt>
                <c:pt idx="14">
                  <c:v>4.4249999999999998</c:v>
                </c:pt>
                <c:pt idx="15">
                  <c:v>4.846223449</c:v>
                </c:pt>
                <c:pt idx="16">
                  <c:v>5.2098311070000003</c:v>
                </c:pt>
                <c:pt idx="17">
                  <c:v>5.504774941</c:v>
                </c:pt>
                <c:pt idx="18">
                  <c:v>5.7220932309999997</c:v>
                </c:pt>
                <c:pt idx="19">
                  <c:v>5.8551828710000002</c:v>
                </c:pt>
                <c:pt idx="20">
                  <c:v>5.9</c:v>
                </c:pt>
                <c:pt idx="21">
                  <c:v>5.8551828710000002</c:v>
                </c:pt>
                <c:pt idx="22">
                  <c:v>5.7220932309999997</c:v>
                </c:pt>
                <c:pt idx="23">
                  <c:v>5.504774941</c:v>
                </c:pt>
                <c:pt idx="24">
                  <c:v>5.2098311070000003</c:v>
                </c:pt>
                <c:pt idx="25">
                  <c:v>4.846223449</c:v>
                </c:pt>
                <c:pt idx="26">
                  <c:v>4.4249999999999998</c:v>
                </c:pt>
                <c:pt idx="27">
                  <c:v>3.958959423</c:v>
                </c:pt>
                <c:pt idx="28">
                  <c:v>3.462262124</c:v>
                </c:pt>
                <c:pt idx="29">
                  <c:v>2.95</c:v>
                </c:pt>
                <c:pt idx="30">
                  <c:v>2.4377378759999999</c:v>
                </c:pt>
                <c:pt idx="31">
                  <c:v>1.9410405770000001</c:v>
                </c:pt>
                <c:pt idx="32">
                  <c:v>1.4750000000000001</c:v>
                </c:pt>
                <c:pt idx="33">
                  <c:v>1.0537765509999999</c:v>
                </c:pt>
                <c:pt idx="34">
                  <c:v>0.69016889280000004</c:v>
                </c:pt>
                <c:pt idx="35">
                  <c:v>0.39522505879999997</c:v>
                </c:pt>
                <c:pt idx="36">
                  <c:v>0.1779067687</c:v>
                </c:pt>
                <c:pt idx="37">
                  <c:v>4.481712861E-2</c:v>
                </c:pt>
                <c:pt idx="38">
                  <c:v>0</c:v>
                </c:pt>
                <c:pt idx="39">
                  <c:v>4.481712861E-2</c:v>
                </c:pt>
                <c:pt idx="40">
                  <c:v>0.1779067687</c:v>
                </c:pt>
                <c:pt idx="41">
                  <c:v>0.39522505879999997</c:v>
                </c:pt>
                <c:pt idx="42">
                  <c:v>0.69016889280000004</c:v>
                </c:pt>
                <c:pt idx="43">
                  <c:v>1.0537765509999999</c:v>
                </c:pt>
                <c:pt idx="44">
                  <c:v>1.4750000000000001</c:v>
                </c:pt>
                <c:pt idx="45">
                  <c:v>1.9410405770000001</c:v>
                </c:pt>
                <c:pt idx="46">
                  <c:v>2.4377378759999999</c:v>
                </c:pt>
                <c:pt idx="47">
                  <c:v>2.95</c:v>
                </c:pt>
                <c:pt idx="48">
                  <c:v>3.462262124</c:v>
                </c:pt>
                <c:pt idx="49">
                  <c:v>3.958959423</c:v>
                </c:pt>
                <c:pt idx="50">
                  <c:v>4.4249999999999998</c:v>
                </c:pt>
                <c:pt idx="51">
                  <c:v>4.846223449</c:v>
                </c:pt>
                <c:pt idx="52">
                  <c:v>5.2098311070000003</c:v>
                </c:pt>
                <c:pt idx="53">
                  <c:v>5.504774941</c:v>
                </c:pt>
                <c:pt idx="54">
                  <c:v>5.7220932309999997</c:v>
                </c:pt>
                <c:pt idx="55">
                  <c:v>5.8551828710000002</c:v>
                </c:pt>
                <c:pt idx="56">
                  <c:v>5.9</c:v>
                </c:pt>
                <c:pt idx="57">
                  <c:v>5.8551828710000002</c:v>
                </c:pt>
                <c:pt idx="58">
                  <c:v>5.7220932309999997</c:v>
                </c:pt>
                <c:pt idx="59">
                  <c:v>5.504774941</c:v>
                </c:pt>
                <c:pt idx="60">
                  <c:v>5.2098311070000003</c:v>
                </c:pt>
                <c:pt idx="61">
                  <c:v>4.846223449</c:v>
                </c:pt>
                <c:pt idx="62">
                  <c:v>4.4249999999999998</c:v>
                </c:pt>
                <c:pt idx="63">
                  <c:v>3.958959423</c:v>
                </c:pt>
                <c:pt idx="64">
                  <c:v>3.462262124</c:v>
                </c:pt>
                <c:pt idx="65">
                  <c:v>2.95</c:v>
                </c:pt>
                <c:pt idx="66">
                  <c:v>2.4377378759999999</c:v>
                </c:pt>
                <c:pt idx="67">
                  <c:v>1.9410405770000001</c:v>
                </c:pt>
                <c:pt idx="68">
                  <c:v>1.4750000000000001</c:v>
                </c:pt>
                <c:pt idx="69">
                  <c:v>1.0537765509999999</c:v>
                </c:pt>
                <c:pt idx="70">
                  <c:v>0.69016889280000004</c:v>
                </c:pt>
                <c:pt idx="71">
                  <c:v>0.39522505879999997</c:v>
                </c:pt>
                <c:pt idx="72">
                  <c:v>0.1779067687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27-406A-BA56-F6701541A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303408"/>
        <c:axId val="2128303888"/>
      </c:scatterChart>
      <c:valAx>
        <c:axId val="212830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03888"/>
        <c:crosses val="autoZero"/>
        <c:crossBetween val="midCat"/>
      </c:valAx>
      <c:valAx>
        <c:axId val="21283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0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2512312365449E-2"/>
          <c:y val="5.0644567219152857E-2"/>
          <c:w val="0.85968695626529845"/>
          <c:h val="0.7817527298038022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'Przyśpieszenie ziemskie'!$R$3:$R$10</c:f>
                <c:numCache>
                  <c:formatCode>0.00000</c:formatCode>
                  <c:ptCount val="8"/>
                  <c:pt idx="0">
                    <c:v>2.3539025751575005E-4</c:v>
                  </c:pt>
                  <c:pt idx="1">
                    <c:v>6.6781200448431997E-4</c:v>
                  </c:pt>
                  <c:pt idx="2" formatCode="0.0000">
                    <c:v>1.1077461231407597E-3</c:v>
                  </c:pt>
                  <c:pt idx="3">
                    <c:v>4.3080932363787761E-4</c:v>
                  </c:pt>
                  <c:pt idx="4">
                    <c:v>4.3080932363787761E-4</c:v>
                  </c:pt>
                  <c:pt idx="5">
                    <c:v>2.8538779464674029E-4</c:v>
                  </c:pt>
                  <c:pt idx="6">
                    <c:v>5.6194730476561664E-4</c:v>
                  </c:pt>
                  <c:pt idx="7">
                    <c:v>6.6781200448428192E-4</c:v>
                  </c:pt>
                </c:numCache>
              </c:numRef>
            </c:plus>
            <c:minus>
              <c:numRef>
                <c:f>'Przyśpieszenie ziemskie'!$R$3:$R$10</c:f>
                <c:numCache>
                  <c:formatCode>0.00000</c:formatCode>
                  <c:ptCount val="8"/>
                  <c:pt idx="0">
                    <c:v>2.3539025751575005E-4</c:v>
                  </c:pt>
                  <c:pt idx="1">
                    <c:v>6.6781200448431997E-4</c:v>
                  </c:pt>
                  <c:pt idx="2" formatCode="0.0000">
                    <c:v>1.1077461231407597E-3</c:v>
                  </c:pt>
                  <c:pt idx="3">
                    <c:v>4.3080932363787761E-4</c:v>
                  </c:pt>
                  <c:pt idx="4">
                    <c:v>4.3080932363787761E-4</c:v>
                  </c:pt>
                  <c:pt idx="5">
                    <c:v>2.8538779464674029E-4</c:v>
                  </c:pt>
                  <c:pt idx="6">
                    <c:v>5.6194730476561664E-4</c:v>
                  </c:pt>
                  <c:pt idx="7">
                    <c:v>6.6781200448428192E-4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'Przyśpieszenie ziemskie'!$H$3:$H$10</c:f>
              <c:numCache>
                <c:formatCode>0.00</c:formatCode>
                <c:ptCount val="8"/>
                <c:pt idx="0">
                  <c:v>0.6</c:v>
                </c:pt>
                <c:pt idx="1">
                  <c:v>0.55000000000000004</c:v>
                </c:pt>
                <c:pt idx="2">
                  <c:v>0.5</c:v>
                </c:pt>
                <c:pt idx="3">
                  <c:v>0.45</c:v>
                </c:pt>
                <c:pt idx="4">
                  <c:v>0.35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xVal>
          <c:yVal>
            <c:numRef>
              <c:f>'Przyśpieszenie ziemskie'!$Q$3:$Q$10</c:f>
              <c:numCache>
                <c:formatCode>0.00</c:formatCode>
                <c:ptCount val="8"/>
                <c:pt idx="0">
                  <c:v>1.5518000000000001</c:v>
                </c:pt>
                <c:pt idx="1">
                  <c:v>1.4868000000000001</c:v>
                </c:pt>
                <c:pt idx="2">
                  <c:v>1.4132</c:v>
                </c:pt>
                <c:pt idx="3">
                  <c:v>1.3431999999999999</c:v>
                </c:pt>
                <c:pt idx="4">
                  <c:v>1.1827999999999999</c:v>
                </c:pt>
                <c:pt idx="5">
                  <c:v>1.0016</c:v>
                </c:pt>
                <c:pt idx="6">
                  <c:v>0.76979999999999982</c:v>
                </c:pt>
                <c:pt idx="7">
                  <c:v>0.64180000000000015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C0-4F3A-B7C6-B781A8B23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607031"/>
        <c:axId val="1949512696"/>
      </c:scatterChart>
      <c:valAx>
        <c:axId val="1137607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512696"/>
        <c:crosses val="autoZero"/>
        <c:crossBetween val="midCat"/>
      </c:valAx>
      <c:valAx>
        <c:axId val="194951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07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'Przyśpieszenie ziemskie'!$I$3:$I$10</c:f>
              <c:numCache>
                <c:formatCode>0.00</c:formatCode>
                <c:ptCount val="8"/>
                <c:pt idx="0">
                  <c:v>0.7745966692414834</c:v>
                </c:pt>
                <c:pt idx="1">
                  <c:v>0.74161984870956632</c:v>
                </c:pt>
                <c:pt idx="2">
                  <c:v>0.70710678118654757</c:v>
                </c:pt>
                <c:pt idx="3">
                  <c:v>0.67082039324993692</c:v>
                </c:pt>
                <c:pt idx="4">
                  <c:v>0.59160797830996159</c:v>
                </c:pt>
                <c:pt idx="5">
                  <c:v>0.5</c:v>
                </c:pt>
                <c:pt idx="6">
                  <c:v>0.3872983346207417</c:v>
                </c:pt>
                <c:pt idx="7">
                  <c:v>0.31622776601683794</c:v>
                </c:pt>
              </c:numCache>
            </c:numRef>
          </c:cat>
          <c:val>
            <c:numRef>
              <c:f>'Przyśpieszenie ziemskie'!$Q$3:$Q$10</c:f>
              <c:numCache>
                <c:formatCode>0.00</c:formatCode>
                <c:ptCount val="8"/>
                <c:pt idx="0">
                  <c:v>1.5518000000000001</c:v>
                </c:pt>
                <c:pt idx="1">
                  <c:v>1.4868000000000001</c:v>
                </c:pt>
                <c:pt idx="2">
                  <c:v>1.4132</c:v>
                </c:pt>
                <c:pt idx="3">
                  <c:v>1.3431999999999999</c:v>
                </c:pt>
                <c:pt idx="4">
                  <c:v>1.1827999999999999</c:v>
                </c:pt>
                <c:pt idx="5">
                  <c:v>1.0016</c:v>
                </c:pt>
                <c:pt idx="6">
                  <c:v>0.76979999999999982</c:v>
                </c:pt>
                <c:pt idx="7">
                  <c:v>0.64180000000000015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00-4B7D-9A73-A48F60438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550695"/>
        <c:axId val="809325911"/>
      </c:lineChart>
      <c:catAx>
        <c:axId val="853550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>
                    <a:solidFill>
                      <a:sysClr val="windowText" lastClr="000000"/>
                    </a:solidFill>
                  </a:rPr>
                  <a:t> 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25911"/>
        <c:crosses val="autoZero"/>
        <c:auto val="1"/>
        <c:lblAlgn val="ctr"/>
        <c:lblOffset val="100"/>
        <c:noMultiLvlLbl val="0"/>
      </c:catAx>
      <c:valAx>
        <c:axId val="8093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50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2BF-466C-AADF-47BE3DF62CA8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BF-466C-AADF-47BE3DF62CA8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'Przyśpieszenie ziemskie'!$I$3:$I$10</c:f>
              <c:numCache>
                <c:formatCode>0.00</c:formatCode>
                <c:ptCount val="8"/>
                <c:pt idx="0">
                  <c:v>0.7745966692414834</c:v>
                </c:pt>
                <c:pt idx="1">
                  <c:v>0.74161984870956632</c:v>
                </c:pt>
                <c:pt idx="2">
                  <c:v>0.70710678118654757</c:v>
                </c:pt>
                <c:pt idx="3">
                  <c:v>0.67082039324993692</c:v>
                </c:pt>
                <c:pt idx="4">
                  <c:v>0.59160797830996159</c:v>
                </c:pt>
                <c:pt idx="5">
                  <c:v>0.5</c:v>
                </c:pt>
                <c:pt idx="6">
                  <c:v>0.3872983346207417</c:v>
                </c:pt>
                <c:pt idx="7">
                  <c:v>0.31622776601683794</c:v>
                </c:pt>
              </c:numCache>
            </c:numRef>
          </c:cat>
          <c:val>
            <c:numRef>
              <c:f>'Przyśpieszenie ziemskie'!$Q$3:$Q$10</c:f>
              <c:numCache>
                <c:formatCode>0.00</c:formatCode>
                <c:ptCount val="8"/>
                <c:pt idx="0">
                  <c:v>1.5518000000000001</c:v>
                </c:pt>
                <c:pt idx="1">
                  <c:v>1.4868000000000001</c:v>
                </c:pt>
                <c:pt idx="2">
                  <c:v>1.4132</c:v>
                </c:pt>
                <c:pt idx="3">
                  <c:v>1.3431999999999999</c:v>
                </c:pt>
                <c:pt idx="4">
                  <c:v>1.1827999999999999</c:v>
                </c:pt>
                <c:pt idx="5">
                  <c:v>1.0016</c:v>
                </c:pt>
                <c:pt idx="6">
                  <c:v>0.76979999999999982</c:v>
                </c:pt>
                <c:pt idx="7">
                  <c:v>0.64180000000000015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4-4CC8-A047-4F66E9E84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550695"/>
        <c:axId val="809325911"/>
      </c:lineChart>
      <c:catAx>
        <c:axId val="853550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25911"/>
        <c:crosses val="autoZero"/>
        <c:auto val="1"/>
        <c:lblAlgn val="ctr"/>
        <c:lblOffset val="100"/>
        <c:noMultiLvlLbl val="0"/>
      </c:catAx>
      <c:valAx>
        <c:axId val="8093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50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U(r^2 * B^2) dla r = 2cm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'Wyznaczanie ładunku właściwego '!$R$17:$R$18</c:f>
              <c:strCache>
                <c:ptCount val="2"/>
                <c:pt idx="0">
                  <c:v>U,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'Wyznaczanie ładunku właściwego '!$AE$6:$AE$14</c:f>
                <c:numCache>
                  <c:formatCode>General</c:formatCode>
                  <c:ptCount val="9"/>
                  <c:pt idx="0">
                    <c:v>3.5629698458550491E-11</c:v>
                  </c:pt>
                  <c:pt idx="1">
                    <c:v>3.4639984612479642E-11</c:v>
                  </c:pt>
                  <c:pt idx="2">
                    <c:v>3.266055692033795E-11</c:v>
                  </c:pt>
                  <c:pt idx="3">
                    <c:v>3.0681129228196251E-11</c:v>
                  </c:pt>
                  <c:pt idx="4">
                    <c:v>2.8206844613019141E-11</c:v>
                  </c:pt>
                  <c:pt idx="5">
                    <c:v>2.672227384391287E-11</c:v>
                  </c:pt>
                  <c:pt idx="6">
                    <c:v>2.2763418459629476E-11</c:v>
                  </c:pt>
                  <c:pt idx="7">
                    <c:v>1.830970615231067E-11</c:v>
                  </c:pt>
                  <c:pt idx="8">
                    <c:v>1.3361136921956435E-11</c:v>
                  </c:pt>
                </c:numCache>
              </c:numRef>
            </c:plus>
            <c:minus>
              <c:numRef>
                <c:f>'Wyznaczanie ładunku właściwego '!$AE$6:$AE$14</c:f>
                <c:numCache>
                  <c:formatCode>General</c:formatCode>
                  <c:ptCount val="9"/>
                  <c:pt idx="0">
                    <c:v>3.5629698458550491E-11</c:v>
                  </c:pt>
                  <c:pt idx="1">
                    <c:v>3.4639984612479642E-11</c:v>
                  </c:pt>
                  <c:pt idx="2">
                    <c:v>3.266055692033795E-11</c:v>
                  </c:pt>
                  <c:pt idx="3">
                    <c:v>3.0681129228196251E-11</c:v>
                  </c:pt>
                  <c:pt idx="4">
                    <c:v>2.8206844613019141E-11</c:v>
                  </c:pt>
                  <c:pt idx="5">
                    <c:v>2.672227384391287E-11</c:v>
                  </c:pt>
                  <c:pt idx="6">
                    <c:v>2.2763418459629476E-11</c:v>
                  </c:pt>
                  <c:pt idx="7">
                    <c:v>1.830970615231067E-11</c:v>
                  </c:pt>
                  <c:pt idx="8">
                    <c:v>1.3361136921956435E-11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'Wyznaczanie ładunku właściwego '!$AA$6:$AA$14</c:f>
                <c:numCache>
                  <c:formatCode>General</c:formatCode>
                  <c:ptCount val="9"/>
                  <c:pt idx="0">
                    <c:v>0.9237604307034013</c:v>
                  </c:pt>
                  <c:pt idx="1">
                    <c:v>0.85159164705469814</c:v>
                  </c:pt>
                  <c:pt idx="2">
                    <c:v>0.77942286340599487</c:v>
                  </c:pt>
                  <c:pt idx="3">
                    <c:v>0.70725407975729171</c:v>
                  </c:pt>
                  <c:pt idx="4">
                    <c:v>0.63508529610858844</c:v>
                  </c:pt>
                  <c:pt idx="5">
                    <c:v>0.56291651245988517</c:v>
                  </c:pt>
                  <c:pt idx="6">
                    <c:v>0.49074772881118189</c:v>
                  </c:pt>
                  <c:pt idx="7">
                    <c:v>0.41857894516247868</c:v>
                  </c:pt>
                  <c:pt idx="8">
                    <c:v>0.34641016151377546</c:v>
                  </c:pt>
                </c:numCache>
              </c:numRef>
            </c:plus>
            <c:minus>
              <c:numRef>
                <c:f>'Wyznaczanie ładunku właściwego '!$AA$6:$AA$14</c:f>
                <c:numCache>
                  <c:formatCode>General</c:formatCode>
                  <c:ptCount val="9"/>
                  <c:pt idx="0">
                    <c:v>0.9237604307034013</c:v>
                  </c:pt>
                  <c:pt idx="1">
                    <c:v>0.85159164705469814</c:v>
                  </c:pt>
                  <c:pt idx="2">
                    <c:v>0.77942286340599487</c:v>
                  </c:pt>
                  <c:pt idx="3">
                    <c:v>0.70725407975729171</c:v>
                  </c:pt>
                  <c:pt idx="4">
                    <c:v>0.63508529610858844</c:v>
                  </c:pt>
                  <c:pt idx="5">
                    <c:v>0.56291651245988517</c:v>
                  </c:pt>
                  <c:pt idx="6">
                    <c:v>0.49074772881118189</c:v>
                  </c:pt>
                  <c:pt idx="7">
                    <c:v>0.41857894516247868</c:v>
                  </c:pt>
                  <c:pt idx="8">
                    <c:v>0.34641016151377546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'Wyznaczanie ładunku właściwego '!$S$19:$S$27</c:f>
              <c:numCache>
                <c:formatCode>General</c:formatCode>
                <c:ptCount val="9"/>
                <c:pt idx="0">
                  <c:v>2.9621975034512622E-9</c:v>
                </c:pt>
                <c:pt idx="1">
                  <c:v>2.799916621703546E-9</c:v>
                </c:pt>
                <c:pt idx="2">
                  <c:v>2.4890687355389076E-9</c:v>
                </c:pt>
                <c:pt idx="3">
                  <c:v>2.1965060191486595E-9</c:v>
                </c:pt>
                <c:pt idx="4">
                  <c:v>1.8565161436560859E-9</c:v>
                </c:pt>
                <c:pt idx="5">
                  <c:v>1.6662360956913351E-9</c:v>
                </c:pt>
                <c:pt idx="6">
                  <c:v>1.2091068513315722E-9</c:v>
                </c:pt>
                <c:pt idx="7">
                  <c:v>7.8226241941064412E-10</c:v>
                </c:pt>
                <c:pt idx="8">
                  <c:v>4.1655902392283378E-10</c:v>
                </c:pt>
              </c:numCache>
            </c:numRef>
          </c:xVal>
          <c:yVal>
            <c:numRef>
              <c:f>'Wyznaczanie ładunku właściwego '!$R$19:$R$27</c:f>
              <c:numCache>
                <c:formatCode>General</c:formatCode>
                <c:ptCount val="9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175</c:v>
                </c:pt>
                <c:pt idx="6">
                  <c:v>150</c:v>
                </c:pt>
                <c:pt idx="7">
                  <c:v>125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D9-4C5C-BA2E-1DF0894B4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026480"/>
        <c:axId val="1780025040"/>
      </c:scatterChart>
      <c:valAx>
        <c:axId val="178002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r^2 * B^2, </a:t>
                </a:r>
                <a:r>
                  <a:rPr lang="pl-PL"/>
                  <a:t>m^2</a:t>
                </a:r>
                <a:r>
                  <a:rPr lang="pl-PL" baseline="0"/>
                  <a:t> * 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5040"/>
        <c:crosses val="autoZero"/>
        <c:crossBetween val="midCat"/>
      </c:valAx>
      <c:valAx>
        <c:axId val="1780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U(r^2 * B^2) dla r = 3cm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'Wyznaczanie ładunku właściwego '!$R$17:$R$18</c:f>
              <c:strCache>
                <c:ptCount val="2"/>
                <c:pt idx="0">
                  <c:v>U,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'Wyznaczanie ładunku właściwego '!$AH$6:$AH$11</c:f>
                <c:numCache>
                  <c:formatCode>General</c:formatCode>
                  <c:ptCount val="6"/>
                  <c:pt idx="0">
                    <c:v>2.3753132305700328E-11</c:v>
                  </c:pt>
                  <c:pt idx="1">
                    <c:v>2.2763418459629476E-11</c:v>
                  </c:pt>
                  <c:pt idx="2">
                    <c:v>2.1773704613558633E-11</c:v>
                  </c:pt>
                  <c:pt idx="3">
                    <c:v>2.0783990767487784E-11</c:v>
                  </c:pt>
                  <c:pt idx="4">
                    <c:v>1.9299419998381513E-11</c:v>
                  </c:pt>
                  <c:pt idx="5">
                    <c:v>1.583542153713355E-11</c:v>
                  </c:pt>
                </c:numCache>
              </c:numRef>
            </c:plus>
            <c:minus>
              <c:numRef>
                <c:f>'Wyznaczanie ładunku właściwego '!$AH$6:$AH$11</c:f>
                <c:numCache>
                  <c:formatCode>General</c:formatCode>
                  <c:ptCount val="6"/>
                  <c:pt idx="0">
                    <c:v>2.3753132305700328E-11</c:v>
                  </c:pt>
                  <c:pt idx="1">
                    <c:v>2.2763418459629476E-11</c:v>
                  </c:pt>
                  <c:pt idx="2">
                    <c:v>2.1773704613558633E-11</c:v>
                  </c:pt>
                  <c:pt idx="3">
                    <c:v>2.0783990767487784E-11</c:v>
                  </c:pt>
                  <c:pt idx="4">
                    <c:v>1.9299419998381513E-11</c:v>
                  </c:pt>
                  <c:pt idx="5">
                    <c:v>1.583542153713355E-11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'Wyznaczanie ładunku właściwego '!$T$19:$T$24</c:f>
              <c:numCache>
                <c:formatCode>General</c:formatCode>
                <c:ptCount val="6"/>
                <c:pt idx="0">
                  <c:v>2.9621975034512614E-9</c:v>
                </c:pt>
                <c:pt idx="1">
                  <c:v>2.7204904154960373E-9</c:v>
                </c:pt>
                <c:pt idx="2">
                  <c:v>2.489068735538908E-9</c:v>
                </c:pt>
                <c:pt idx="3">
                  <c:v>2.2679324635798721E-9</c:v>
                </c:pt>
                <c:pt idx="4">
                  <c:v>1.955513195637747E-9</c:v>
                </c:pt>
                <c:pt idx="5">
                  <c:v>1.3165322237561165E-9</c:v>
                </c:pt>
              </c:numCache>
            </c:numRef>
          </c:xVal>
          <c:yVal>
            <c:numRef>
              <c:f>'Wyznaczanie ładunku właściwego '!$R$19:$R$27</c:f>
              <c:numCache>
                <c:formatCode>General</c:formatCode>
                <c:ptCount val="9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175</c:v>
                </c:pt>
                <c:pt idx="6">
                  <c:v>150</c:v>
                </c:pt>
                <c:pt idx="7">
                  <c:v>125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7BB-A3BF-513A6A7C0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026480"/>
        <c:axId val="1780025040"/>
      </c:scatterChart>
      <c:valAx>
        <c:axId val="1780026480"/>
        <c:scaling>
          <c:orientation val="minMax"/>
          <c:min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r^2 * B^2, </a:t>
                </a:r>
                <a:r>
                  <a:rPr lang="pl-PL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m^2 * 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5040"/>
        <c:crosses val="autoZero"/>
        <c:crossBetween val="midCat"/>
      </c:valAx>
      <c:valAx>
        <c:axId val="1780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U(r^2 * B^2) dla r = 4cm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'Wyznaczanie ładunku właściwego '!$AK$6:$AK$9</c:f>
                <c:numCache>
                  <c:formatCode>General</c:formatCode>
                  <c:ptCount val="4"/>
                  <c:pt idx="0">
                    <c:v>1.7319992306239821E-11</c:v>
                  </c:pt>
                  <c:pt idx="1">
                    <c:v>1.6825135383204396E-11</c:v>
                  </c:pt>
                  <c:pt idx="2">
                    <c:v>1.583542153713355E-11</c:v>
                  </c:pt>
                  <c:pt idx="3">
                    <c:v>1.3855993844991855E-11</c:v>
                  </c:pt>
                </c:numCache>
              </c:numRef>
            </c:plus>
            <c:minus>
              <c:numRef>
                <c:f>'Wyznaczanie ładunku właściwego '!$AK$6:$AK$9</c:f>
                <c:numCache>
                  <c:formatCode>General</c:formatCode>
                  <c:ptCount val="4"/>
                  <c:pt idx="0">
                    <c:v>1.7319992306239821E-11</c:v>
                  </c:pt>
                  <c:pt idx="1">
                    <c:v>1.6825135383204396E-11</c:v>
                  </c:pt>
                  <c:pt idx="2">
                    <c:v>1.583542153713355E-11</c:v>
                  </c:pt>
                  <c:pt idx="3">
                    <c:v>1.3855993844991855E-11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'Wyznaczanie ładunku właściwego '!$U$19:$U$22</c:f>
              <c:numCache>
                <c:formatCode>General</c:formatCode>
                <c:ptCount val="4"/>
                <c:pt idx="0">
                  <c:v>2.799916621703546E-9</c:v>
                </c:pt>
                <c:pt idx="1">
                  <c:v>2.6422070323994284E-9</c:v>
                </c:pt>
                <c:pt idx="2">
                  <c:v>2.3405017311219853E-9</c:v>
                </c:pt>
                <c:pt idx="3">
                  <c:v>1.7919466378902694E-9</c:v>
                </c:pt>
              </c:numCache>
            </c:numRef>
          </c:xVal>
          <c:yVal>
            <c:numRef>
              <c:f>'Wyznaczanie ładunku właściwego '!$R$19:$R$22</c:f>
              <c:numCache>
                <c:formatCode>General</c:formatCode>
                <c:ptCount val="4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C-45D2-A2FD-A0714B968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026480"/>
        <c:axId val="1780025040"/>
      </c:scatterChart>
      <c:valAx>
        <c:axId val="1780026480"/>
        <c:scaling>
          <c:orientation val="minMax"/>
          <c:min val="1.5000000000000006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r^2 * B^2, </a:t>
                </a:r>
                <a:r>
                  <a:rPr lang="pl-PL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m^2 * 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5040"/>
        <c:crosses val="autoZero"/>
        <c:crossBetween val="midCat"/>
      </c:valAx>
      <c:valAx>
        <c:axId val="1780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U(r^2 * B^2) dla r = 5cm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'Wyznaczanie ładunku właściwego '!$AN$6:$AN$9</c:f>
                <c:numCache>
                  <c:formatCode>General</c:formatCode>
                  <c:ptCount val="4"/>
                  <c:pt idx="0">
                    <c:v>1.3361136921956435E-11</c:v>
                  </c:pt>
                  <c:pt idx="1">
                    <c:v>1.2866279998921012E-11</c:v>
                  </c:pt>
                  <c:pt idx="2">
                    <c:v>1.2371423075885586E-11</c:v>
                  </c:pt>
                  <c:pt idx="3">
                    <c:v>1.1381709229814738E-11</c:v>
                  </c:pt>
                </c:numCache>
              </c:numRef>
            </c:plus>
            <c:minus>
              <c:numRef>
                <c:f>'Wyznaczanie ładunku właściwego '!$AN$6:$AN$9</c:f>
                <c:numCache>
                  <c:formatCode>General</c:formatCode>
                  <c:ptCount val="4"/>
                  <c:pt idx="0">
                    <c:v>1.3361136921956435E-11</c:v>
                  </c:pt>
                  <c:pt idx="1">
                    <c:v>1.2866279998921012E-11</c:v>
                  </c:pt>
                  <c:pt idx="2">
                    <c:v>1.2371423075885586E-11</c:v>
                  </c:pt>
                  <c:pt idx="3">
                    <c:v>1.1381709229814738E-11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'Wyznaczanie ładunku właściwego '!$V$19:$V$22</c:f>
              <c:numCache>
                <c:formatCode>General</c:formatCode>
                <c:ptCount val="4"/>
                <c:pt idx="0">
                  <c:v>2.6034938995177116E-9</c:v>
                </c:pt>
                <c:pt idx="1">
                  <c:v>2.4142138217749966E-9</c:v>
                </c:pt>
                <c:pt idx="2">
                  <c:v>2.2320763884754042E-9</c:v>
                </c:pt>
                <c:pt idx="3">
                  <c:v>1.8892294552055819E-9</c:v>
                </c:pt>
              </c:numCache>
            </c:numRef>
          </c:xVal>
          <c:yVal>
            <c:numRef>
              <c:f>'Wyznaczanie ładunku właściwego '!$R$19:$R$22</c:f>
              <c:numCache>
                <c:formatCode>General</c:formatCode>
                <c:ptCount val="4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B0-49CF-9BC0-9975741C9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026480"/>
        <c:axId val="1780025040"/>
      </c:scatterChart>
      <c:valAx>
        <c:axId val="1780026480"/>
        <c:scaling>
          <c:orientation val="minMax"/>
          <c:min val="1.6000000000000009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r^2 * B^2, </a:t>
                </a:r>
                <a:r>
                  <a:rPr lang="pl-PL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m^2 * 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5040"/>
        <c:crosses val="autoZero"/>
        <c:crossBetween val="midCat"/>
      </c:valAx>
      <c:valAx>
        <c:axId val="1780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2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 = </a:t>
            </a:r>
            <a:r>
              <a:rPr lang="en-US"/>
              <a:t>1</a:t>
            </a:r>
            <a:r>
              <a:rPr lang="pl-PL"/>
              <a:t>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plus>
            <c:min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'Badanie zjawiska Halla'!$N$5:$N$17</c:f>
              <c:numCache>
                <c:formatCode>General</c:formatCode>
                <c:ptCount val="13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-5</c:v>
                </c:pt>
                <c:pt idx="12">
                  <c:v>-6</c:v>
                </c:pt>
              </c:numCache>
            </c:numRef>
          </c:xVal>
          <c:yVal>
            <c:numRef>
              <c:f>'Badanie zjawiska Halla'!$O$5:$O$17</c:f>
              <c:numCache>
                <c:formatCode>0.0</c:formatCode>
                <c:ptCount val="13"/>
                <c:pt idx="0">
                  <c:v>-1.4</c:v>
                </c:pt>
                <c:pt idx="1">
                  <c:v>-1.2</c:v>
                </c:pt>
                <c:pt idx="2">
                  <c:v>-0.99999999999999978</c:v>
                </c:pt>
                <c:pt idx="3">
                  <c:v>-0.70000000000000007</c:v>
                </c:pt>
                <c:pt idx="4">
                  <c:v>-0.4</c:v>
                </c:pt>
                <c:pt idx="5">
                  <c:v>-0.1</c:v>
                </c:pt>
                <c:pt idx="6">
                  <c:v>-9.9999999999999978E-2</c:v>
                </c:pt>
                <c:pt idx="7">
                  <c:v>0.30000000000000004</c:v>
                </c:pt>
                <c:pt idx="8">
                  <c:v>0.5</c:v>
                </c:pt>
                <c:pt idx="9">
                  <c:v>0.7</c:v>
                </c:pt>
                <c:pt idx="10">
                  <c:v>1</c:v>
                </c:pt>
                <c:pt idx="11">
                  <c:v>1.2999999999999998</c:v>
                </c:pt>
                <c:pt idx="12">
                  <c:v>1.4999999999999996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DB9-BB99-DF60527B1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82384"/>
        <c:axId val="807778784"/>
      </c:scatterChart>
      <c:valAx>
        <c:axId val="80778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Is, mA</a:t>
                </a:r>
              </a:p>
            </c:rich>
          </c:tx>
          <c:layout>
            <c:manualLayout>
              <c:xMode val="edge"/>
              <c:yMode val="edge"/>
              <c:x val="0.4694374453193350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78784"/>
        <c:crosses val="autoZero"/>
        <c:crossBetween val="midCat"/>
      </c:valAx>
      <c:valAx>
        <c:axId val="8077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Uh, mV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5352981918926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8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 = 2A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plus>
            <c:min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'Badanie zjawiska Halla'!$N$5:$N$17</c:f>
              <c:numCache>
                <c:formatCode>General</c:formatCode>
                <c:ptCount val="13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-5</c:v>
                </c:pt>
                <c:pt idx="12">
                  <c:v>-6</c:v>
                </c:pt>
              </c:numCache>
            </c:numRef>
          </c:xVal>
          <c:yVal>
            <c:numRef>
              <c:f>'Badanie zjawiska Halla'!$P$5:$P$17</c:f>
              <c:numCache>
                <c:formatCode>0.0</c:formatCode>
                <c:ptCount val="13"/>
                <c:pt idx="0">
                  <c:v>-2.8</c:v>
                </c:pt>
                <c:pt idx="1">
                  <c:v>-2.4</c:v>
                </c:pt>
                <c:pt idx="2">
                  <c:v>-1.9</c:v>
                </c:pt>
                <c:pt idx="3">
                  <c:v>-1.5</c:v>
                </c:pt>
                <c:pt idx="4">
                  <c:v>-0.8</c:v>
                </c:pt>
                <c:pt idx="5">
                  <c:v>-0.2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2.8999999999999995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7-4D33-ACDC-A3502D9B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792904"/>
        <c:axId val="566797944"/>
      </c:scatterChart>
      <c:valAx>
        <c:axId val="56679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Is, mA</a:t>
                </a:r>
              </a:p>
            </c:rich>
          </c:tx>
          <c:layout>
            <c:manualLayout>
              <c:xMode val="edge"/>
              <c:yMode val="edge"/>
              <c:x val="0.47217366579177605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97944"/>
        <c:crosses val="autoZero"/>
        <c:crossBetween val="midCat"/>
      </c:valAx>
      <c:valAx>
        <c:axId val="56679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Uh, mV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43971055701370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9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 = 2,5A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plus>
            <c:min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'Badanie zjawiska Halla'!$N$5:$N$17</c:f>
              <c:numCache>
                <c:formatCode>General</c:formatCode>
                <c:ptCount val="13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-5</c:v>
                </c:pt>
                <c:pt idx="12">
                  <c:v>-6</c:v>
                </c:pt>
              </c:numCache>
            </c:numRef>
          </c:xVal>
          <c:yVal>
            <c:numRef>
              <c:f>'Badanie zjawiska Halla'!$Q$5:$Q$17</c:f>
              <c:numCache>
                <c:formatCode>0.0</c:formatCode>
                <c:ptCount val="13"/>
                <c:pt idx="0">
                  <c:v>-3.6</c:v>
                </c:pt>
                <c:pt idx="1">
                  <c:v>-3</c:v>
                </c:pt>
                <c:pt idx="2">
                  <c:v>-2.2999999999999998</c:v>
                </c:pt>
                <c:pt idx="3">
                  <c:v>-1.6</c:v>
                </c:pt>
                <c:pt idx="4">
                  <c:v>-0.9</c:v>
                </c:pt>
                <c:pt idx="5">
                  <c:v>-0.30000000000000004</c:v>
                </c:pt>
                <c:pt idx="6">
                  <c:v>-9.9999999999999978E-2</c:v>
                </c:pt>
                <c:pt idx="7">
                  <c:v>0.6</c:v>
                </c:pt>
                <c:pt idx="8">
                  <c:v>1.2</c:v>
                </c:pt>
                <c:pt idx="9">
                  <c:v>1.7999999999999998</c:v>
                </c:pt>
                <c:pt idx="10">
                  <c:v>2.5</c:v>
                </c:pt>
                <c:pt idx="11">
                  <c:v>3.0999999999999996</c:v>
                </c:pt>
                <c:pt idx="12">
                  <c:v>3.6999999999999997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3-4594-B2A0-63E10BA6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799024"/>
        <c:axId val="566796864"/>
      </c:scatterChart>
      <c:valAx>
        <c:axId val="56679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Is, mA</a:t>
                </a:r>
              </a:p>
            </c:rich>
          </c:tx>
          <c:layout>
            <c:manualLayout>
              <c:xMode val="edge"/>
              <c:yMode val="edge"/>
              <c:x val="0.47217366579177605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96864"/>
        <c:crosses val="autoZero"/>
        <c:crossBetween val="midCat"/>
      </c:valAx>
      <c:valAx>
        <c:axId val="5667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Uh, mV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43209463400408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9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 = 3A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plus>
            <c:minus>
              <c:numRef>
                <c:f>'Badanie zjawiska Halla'!$W$5:$W$17</c:f>
                <c:numCache>
                  <c:formatCode>General</c:formatCode>
                  <c:ptCount val="13"/>
                  <c:pt idx="0">
                    <c:v>0.19052558883257656</c:v>
                  </c:pt>
                  <c:pt idx="1">
                    <c:v>0.18763883748662843</c:v>
                  </c:pt>
                  <c:pt idx="2">
                    <c:v>0.18475208614068028</c:v>
                  </c:pt>
                  <c:pt idx="3">
                    <c:v>0.18186533479473216</c:v>
                  </c:pt>
                  <c:pt idx="4">
                    <c:v>0.17897858344878403</c:v>
                  </c:pt>
                  <c:pt idx="5">
                    <c:v>0.17609183210283591</c:v>
                  </c:pt>
                  <c:pt idx="6">
                    <c:v>0.17320508075688776</c:v>
                  </c:pt>
                  <c:pt idx="7">
                    <c:v>0.17031832941093963</c:v>
                  </c:pt>
                  <c:pt idx="8">
                    <c:v>0.16743157806499151</c:v>
                  </c:pt>
                  <c:pt idx="9">
                    <c:v>0.16454482671904336</c:v>
                  </c:pt>
                  <c:pt idx="10">
                    <c:v>0.16165807537309523</c:v>
                  </c:pt>
                  <c:pt idx="11">
                    <c:v>0.15877132402714711</c:v>
                  </c:pt>
                  <c:pt idx="12">
                    <c:v>0.15588457268119899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'Badanie zjawiska Halla'!$N$5:$N$17</c:f>
              <c:numCache>
                <c:formatCode>General</c:formatCode>
                <c:ptCount val="13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-5</c:v>
                </c:pt>
                <c:pt idx="12">
                  <c:v>-6</c:v>
                </c:pt>
              </c:numCache>
            </c:numRef>
          </c:xVal>
          <c:yVal>
            <c:numRef>
              <c:f>'Badanie zjawiska Halla'!$R$5:$R$17</c:f>
              <c:numCache>
                <c:formatCode>0.0</c:formatCode>
                <c:ptCount val="13"/>
                <c:pt idx="0">
                  <c:v>-4</c:v>
                </c:pt>
                <c:pt idx="1">
                  <c:v>-3.4</c:v>
                </c:pt>
                <c:pt idx="2">
                  <c:v>-2.5999999999999996</c:v>
                </c:pt>
                <c:pt idx="3">
                  <c:v>-1.9000000000000001</c:v>
                </c:pt>
                <c:pt idx="4">
                  <c:v>-1.1000000000000001</c:v>
                </c:pt>
                <c:pt idx="5">
                  <c:v>-0.4</c:v>
                </c:pt>
                <c:pt idx="6">
                  <c:v>0</c:v>
                </c:pt>
                <c:pt idx="7">
                  <c:v>0.8</c:v>
                </c:pt>
                <c:pt idx="8">
                  <c:v>1.5</c:v>
                </c:pt>
                <c:pt idx="9">
                  <c:v>2.2999999999999998</c:v>
                </c:pt>
                <c:pt idx="10">
                  <c:v>3.1</c:v>
                </c:pt>
                <c:pt idx="11">
                  <c:v>3.8</c:v>
                </c:pt>
                <c:pt idx="12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6-42CB-97F9-E34E2CC8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651928"/>
        <c:axId val="754655888"/>
      </c:scatterChart>
      <c:valAx>
        <c:axId val="75465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Is, mA</a:t>
                </a:r>
              </a:p>
            </c:rich>
          </c:tx>
          <c:layout>
            <c:manualLayout>
              <c:xMode val="edge"/>
              <c:yMode val="edge"/>
              <c:x val="0.46939588801399823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655888"/>
        <c:crosses val="autoZero"/>
        <c:crossBetween val="midCat"/>
      </c:valAx>
      <c:valAx>
        <c:axId val="75465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Uh, mV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42746500437445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65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5.png"/><Relationship Id="rId21" Type="http://schemas.openxmlformats.org/officeDocument/2006/relationships/customXml" Target="../ink/ink10.xml"/><Relationship Id="rId42" Type="http://schemas.openxmlformats.org/officeDocument/2006/relationships/image" Target="../media/image23.png"/><Relationship Id="rId47" Type="http://schemas.openxmlformats.org/officeDocument/2006/relationships/image" Target="../media/image26.png"/><Relationship Id="rId63" Type="http://schemas.openxmlformats.org/officeDocument/2006/relationships/image" Target="../media/image34.png"/><Relationship Id="rId68" Type="http://schemas.openxmlformats.org/officeDocument/2006/relationships/customXml" Target="../ink/ink33.xml"/><Relationship Id="rId16" Type="http://schemas.openxmlformats.org/officeDocument/2006/relationships/image" Target="../media/image10.png"/><Relationship Id="rId11" Type="http://schemas.openxmlformats.org/officeDocument/2006/relationships/customXml" Target="../ink/ink5.xml"/><Relationship Id="rId32" Type="http://schemas.openxmlformats.org/officeDocument/2006/relationships/image" Target="../media/image18.png"/><Relationship Id="rId37" Type="http://schemas.openxmlformats.org/officeDocument/2006/relationships/customXml" Target="../ink/ink18.xml"/><Relationship Id="rId53" Type="http://schemas.openxmlformats.org/officeDocument/2006/relationships/image" Target="../media/image29.png"/><Relationship Id="rId58" Type="http://schemas.openxmlformats.org/officeDocument/2006/relationships/customXml" Target="../ink/ink28.xml"/><Relationship Id="rId74" Type="http://schemas.openxmlformats.org/officeDocument/2006/relationships/customXml" Target="../ink/ink36.xml"/><Relationship Id="rId79" Type="http://schemas.openxmlformats.org/officeDocument/2006/relationships/image" Target="../media/image42.png"/><Relationship Id="rId5" Type="http://schemas.openxmlformats.org/officeDocument/2006/relationships/customXml" Target="../ink/ink2.xml"/><Relationship Id="rId61" Type="http://schemas.openxmlformats.org/officeDocument/2006/relationships/image" Target="../media/image33.png"/><Relationship Id="rId19" Type="http://schemas.openxmlformats.org/officeDocument/2006/relationships/customXml" Target="../ink/ink9.xml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customXml" Target="../ink/ink13.xml"/><Relationship Id="rId30" Type="http://schemas.openxmlformats.org/officeDocument/2006/relationships/image" Target="../media/image17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customXml" Target="../ink/ink23.xml"/><Relationship Id="rId56" Type="http://schemas.openxmlformats.org/officeDocument/2006/relationships/customXml" Target="../ink/ink27.xml"/><Relationship Id="rId64" Type="http://schemas.openxmlformats.org/officeDocument/2006/relationships/customXml" Target="../ink/ink31.xml"/><Relationship Id="rId69" Type="http://schemas.openxmlformats.org/officeDocument/2006/relationships/image" Target="../media/image37.png"/><Relationship Id="rId77" Type="http://schemas.openxmlformats.org/officeDocument/2006/relationships/image" Target="../media/image41.png"/><Relationship Id="rId8" Type="http://schemas.openxmlformats.org/officeDocument/2006/relationships/image" Target="../media/image6.png"/><Relationship Id="rId51" Type="http://schemas.openxmlformats.org/officeDocument/2006/relationships/image" Target="../media/image28.png"/><Relationship Id="rId72" Type="http://schemas.openxmlformats.org/officeDocument/2006/relationships/customXml" Target="../ink/ink35.xml"/><Relationship Id="rId80" Type="http://schemas.openxmlformats.org/officeDocument/2006/relationships/customXml" Target="../ink/ink39.xml"/><Relationship Id="rId3" Type="http://schemas.openxmlformats.org/officeDocument/2006/relationships/customXml" Target="../ink/ink1.xml"/><Relationship Id="rId12" Type="http://schemas.openxmlformats.org/officeDocument/2006/relationships/image" Target="../media/image8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59" Type="http://schemas.openxmlformats.org/officeDocument/2006/relationships/image" Target="../media/image32.png"/><Relationship Id="rId67" Type="http://schemas.openxmlformats.org/officeDocument/2006/relationships/image" Target="../media/image36.png"/><Relationship Id="rId20" Type="http://schemas.openxmlformats.org/officeDocument/2006/relationships/image" Target="../media/image12.png"/><Relationship Id="rId41" Type="http://schemas.openxmlformats.org/officeDocument/2006/relationships/customXml" Target="../ink/ink20.xml"/><Relationship Id="rId54" Type="http://schemas.openxmlformats.org/officeDocument/2006/relationships/customXml" Target="../ink/ink26.xml"/><Relationship Id="rId62" Type="http://schemas.openxmlformats.org/officeDocument/2006/relationships/customXml" Target="../ink/ink30.xml"/><Relationship Id="rId70" Type="http://schemas.openxmlformats.org/officeDocument/2006/relationships/customXml" Target="../ink/ink34.xml"/><Relationship Id="rId75" Type="http://schemas.openxmlformats.org/officeDocument/2006/relationships/image" Target="../media/image40.png"/><Relationship Id="rId1" Type="http://schemas.openxmlformats.org/officeDocument/2006/relationships/image" Target="../media/image2.png"/><Relationship Id="rId6" Type="http://schemas.openxmlformats.org/officeDocument/2006/relationships/image" Target="../media/image5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49" Type="http://schemas.openxmlformats.org/officeDocument/2006/relationships/image" Target="../media/image27.png"/><Relationship Id="rId57" Type="http://schemas.openxmlformats.org/officeDocument/2006/relationships/image" Target="../media/image31.png"/><Relationship Id="rId10" Type="http://schemas.openxmlformats.org/officeDocument/2006/relationships/image" Target="../media/image7.png"/><Relationship Id="rId31" Type="http://schemas.openxmlformats.org/officeDocument/2006/relationships/customXml" Target="../ink/ink15.xml"/><Relationship Id="rId44" Type="http://schemas.openxmlformats.org/officeDocument/2006/relationships/image" Target="../media/image24.png"/><Relationship Id="rId52" Type="http://schemas.openxmlformats.org/officeDocument/2006/relationships/customXml" Target="../ink/ink25.xml"/><Relationship Id="rId60" Type="http://schemas.openxmlformats.org/officeDocument/2006/relationships/customXml" Target="../ink/ink29.xml"/><Relationship Id="rId65" Type="http://schemas.openxmlformats.org/officeDocument/2006/relationships/image" Target="../media/image35.png"/><Relationship Id="rId73" Type="http://schemas.openxmlformats.org/officeDocument/2006/relationships/image" Target="../media/image39.png"/><Relationship Id="rId78" Type="http://schemas.openxmlformats.org/officeDocument/2006/relationships/customXml" Target="../ink/ink38.xml"/><Relationship Id="rId81" Type="http://schemas.openxmlformats.org/officeDocument/2006/relationships/image" Target="../media/image43.png"/><Relationship Id="rId4" Type="http://schemas.openxmlformats.org/officeDocument/2006/relationships/image" Target="../media/image4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1.png"/><Relationship Id="rId39" Type="http://schemas.openxmlformats.org/officeDocument/2006/relationships/customXml" Target="../ink/ink19.xml"/><Relationship Id="rId34" Type="http://schemas.openxmlformats.org/officeDocument/2006/relationships/image" Target="../media/image19.png"/><Relationship Id="rId50" Type="http://schemas.openxmlformats.org/officeDocument/2006/relationships/customXml" Target="../ink/ink24.xml"/><Relationship Id="rId55" Type="http://schemas.openxmlformats.org/officeDocument/2006/relationships/image" Target="../media/image30.png"/><Relationship Id="rId76" Type="http://schemas.openxmlformats.org/officeDocument/2006/relationships/customXml" Target="../ink/ink37.xml"/><Relationship Id="rId7" Type="http://schemas.openxmlformats.org/officeDocument/2006/relationships/customXml" Target="../ink/ink3.xml"/><Relationship Id="rId71" Type="http://schemas.openxmlformats.org/officeDocument/2006/relationships/image" Target="../media/image38.png"/><Relationship Id="rId2" Type="http://schemas.openxmlformats.org/officeDocument/2006/relationships/image" Target="../media/image3.png"/><Relationship Id="rId29" Type="http://schemas.openxmlformats.org/officeDocument/2006/relationships/customXml" Target="../ink/ink14.xml"/><Relationship Id="rId24" Type="http://schemas.openxmlformats.org/officeDocument/2006/relationships/image" Target="../media/image14.png"/><Relationship Id="rId40" Type="http://schemas.openxmlformats.org/officeDocument/2006/relationships/image" Target="../media/image22.png"/><Relationship Id="rId45" Type="http://schemas.openxmlformats.org/officeDocument/2006/relationships/customXml" Target="../ink/ink22.xml"/><Relationship Id="rId66" Type="http://schemas.openxmlformats.org/officeDocument/2006/relationships/customXml" Target="../ink/ink3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image" Target="../media/image44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13" Type="http://schemas.openxmlformats.org/officeDocument/2006/relationships/customXml" Target="../ink/ink46.xml"/><Relationship Id="rId18" Type="http://schemas.openxmlformats.org/officeDocument/2006/relationships/image" Target="../media/image53.png"/><Relationship Id="rId3" Type="http://schemas.openxmlformats.org/officeDocument/2006/relationships/customXml" Target="../ink/ink41.xml"/><Relationship Id="rId7" Type="http://schemas.openxmlformats.org/officeDocument/2006/relationships/customXml" Target="../ink/ink43.xml"/><Relationship Id="rId12" Type="http://schemas.openxmlformats.org/officeDocument/2006/relationships/image" Target="../media/image50.png"/><Relationship Id="rId17" Type="http://schemas.openxmlformats.org/officeDocument/2006/relationships/customXml" Target="../ink/ink48.xml"/><Relationship Id="rId2" Type="http://schemas.openxmlformats.org/officeDocument/2006/relationships/image" Target="../media/image45.png"/><Relationship Id="rId16" Type="http://schemas.openxmlformats.org/officeDocument/2006/relationships/image" Target="../media/image52.png"/><Relationship Id="rId20" Type="http://schemas.openxmlformats.org/officeDocument/2006/relationships/image" Target="../media/image54.png"/><Relationship Id="rId1" Type="http://schemas.openxmlformats.org/officeDocument/2006/relationships/customXml" Target="../ink/ink40.xml"/><Relationship Id="rId6" Type="http://schemas.openxmlformats.org/officeDocument/2006/relationships/image" Target="../media/image47.png"/><Relationship Id="rId11" Type="http://schemas.openxmlformats.org/officeDocument/2006/relationships/customXml" Target="../ink/ink45.xml"/><Relationship Id="rId5" Type="http://schemas.openxmlformats.org/officeDocument/2006/relationships/customXml" Target="../ink/ink42.xml"/><Relationship Id="rId15" Type="http://schemas.openxmlformats.org/officeDocument/2006/relationships/customXml" Target="../ink/ink47.xml"/><Relationship Id="rId10" Type="http://schemas.openxmlformats.org/officeDocument/2006/relationships/image" Target="../media/image49.png"/><Relationship Id="rId19" Type="http://schemas.openxmlformats.org/officeDocument/2006/relationships/customXml" Target="../ink/ink49.xml"/><Relationship Id="rId4" Type="http://schemas.openxmlformats.org/officeDocument/2006/relationships/image" Target="../media/image46.png"/><Relationship Id="rId9" Type="http://schemas.openxmlformats.org/officeDocument/2006/relationships/customXml" Target="../ink/ink44.xml"/><Relationship Id="rId14" Type="http://schemas.openxmlformats.org/officeDocument/2006/relationships/image" Target="../media/image5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4</xdr:row>
      <xdr:rowOff>15240</xdr:rowOff>
    </xdr:from>
    <xdr:ext cx="411480" cy="160020"/>
    <xdr:pic>
      <xdr:nvPicPr>
        <xdr:cNvPr id="3" name="Obraz 2">
          <a:extLst>
            <a:ext uri="{FF2B5EF4-FFF2-40B4-BE49-F238E27FC236}">
              <a16:creationId xmlns:a16="http://schemas.microsoft.com/office/drawing/2014/main" id="{8F15F85D-9CC0-413A-8C4B-81800B868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5240"/>
          <a:ext cx="4114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121920</xdr:colOff>
      <xdr:row>4</xdr:row>
      <xdr:rowOff>15240</xdr:rowOff>
    </xdr:from>
    <xdr:ext cx="411480" cy="160020"/>
    <xdr:pic>
      <xdr:nvPicPr>
        <xdr:cNvPr id="4" name="Obraz 3">
          <a:extLst>
            <a:ext uri="{FF2B5EF4-FFF2-40B4-BE49-F238E27FC236}">
              <a16:creationId xmlns:a16="http://schemas.microsoft.com/office/drawing/2014/main" id="{BA66C4C8-197C-444A-B90C-D24F49DE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777240"/>
          <a:ext cx="4114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121920</xdr:colOff>
      <xdr:row>4</xdr:row>
      <xdr:rowOff>15240</xdr:rowOff>
    </xdr:from>
    <xdr:ext cx="411480" cy="160020"/>
    <xdr:pic>
      <xdr:nvPicPr>
        <xdr:cNvPr id="5" name="Obraz 4">
          <a:extLst>
            <a:ext uri="{FF2B5EF4-FFF2-40B4-BE49-F238E27FC236}">
              <a16:creationId xmlns:a16="http://schemas.microsoft.com/office/drawing/2014/main" id="{01C83C86-2C64-44B3-BB83-7C3430FF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777240"/>
          <a:ext cx="4114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121920</xdr:colOff>
      <xdr:row>4</xdr:row>
      <xdr:rowOff>15240</xdr:rowOff>
    </xdr:from>
    <xdr:ext cx="411480" cy="160020"/>
    <xdr:pic>
      <xdr:nvPicPr>
        <xdr:cNvPr id="6" name="Obraz 5">
          <a:extLst>
            <a:ext uri="{FF2B5EF4-FFF2-40B4-BE49-F238E27FC236}">
              <a16:creationId xmlns:a16="http://schemas.microsoft.com/office/drawing/2014/main" id="{2947142E-4D13-4F18-9B84-0180B454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" y="777240"/>
          <a:ext cx="4114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463826</xdr:colOff>
      <xdr:row>21</xdr:row>
      <xdr:rowOff>158965</xdr:rowOff>
    </xdr:from>
    <xdr:to>
      <xdr:col>21</xdr:col>
      <xdr:colOff>352095</xdr:colOff>
      <xdr:row>46</xdr:row>
      <xdr:rowOff>26504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6325C02D-97BB-45E3-9F55-A6816FAEC702}"/>
            </a:ext>
            <a:ext uri="{147F2762-F138-4A5C-976F-8EAC2B608ADB}">
              <a16:predDERef xmlns:a16="http://schemas.microsoft.com/office/drawing/2014/main" pred="{2947142E-4D13-4F18-9B84-0180B454C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601980</xdr:colOff>
      <xdr:row>1</xdr:row>
      <xdr:rowOff>0</xdr:rowOff>
    </xdr:from>
    <xdr:to>
      <xdr:col>37</xdr:col>
      <xdr:colOff>289639</xdr:colOff>
      <xdr:row>3</xdr:row>
      <xdr:rowOff>182929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35AC6B9-A15E-B93A-7624-5D6BEC84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5280" y="190500"/>
          <a:ext cx="906859" cy="56392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182880</xdr:rowOff>
    </xdr:from>
    <xdr:to>
      <xdr:col>33</xdr:col>
      <xdr:colOff>213359</xdr:colOff>
      <xdr:row>5</xdr:row>
      <xdr:rowOff>173701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6B33689E-BFEC-2495-0945-D88D8C55E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28180" y="373380"/>
          <a:ext cx="3680460" cy="752821"/>
        </a:xfrm>
        <a:prstGeom prst="rect">
          <a:avLst/>
        </a:prstGeom>
      </xdr:spPr>
    </xdr:pic>
    <xdr:clientData/>
  </xdr:twoCellAnchor>
  <xdr:twoCellAnchor editAs="oneCell">
    <xdr:from>
      <xdr:col>35</xdr:col>
      <xdr:colOff>543720</xdr:colOff>
      <xdr:row>11</xdr:row>
      <xdr:rowOff>114060</xdr:rowOff>
    </xdr:from>
    <xdr:to>
      <xdr:col>37</xdr:col>
      <xdr:colOff>74400</xdr:colOff>
      <xdr:row>16</xdr:row>
      <xdr:rowOff>15000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8" name="Pismo odręczne 37">
              <a:extLst>
                <a:ext uri="{FF2B5EF4-FFF2-40B4-BE49-F238E27FC236}">
                  <a16:creationId xmlns:a16="http://schemas.microsoft.com/office/drawing/2014/main" id="{DB3F4534-22CE-AAC6-85D8-13B90CB0BB8D}"/>
                </a:ext>
              </a:extLst>
            </xdr14:cNvPr>
            <xdr14:cNvContentPartPr/>
          </xdr14:nvContentPartPr>
          <xdr14:nvPr macro=""/>
          <xdr14:xfrm>
            <a:off x="25514460" y="2179080"/>
            <a:ext cx="749880" cy="822960"/>
          </xdr14:xfrm>
        </xdr:contentPart>
      </mc:Choice>
      <mc:Fallback xmlns="">
        <xdr:pic>
          <xdr:nvPicPr>
            <xdr:cNvPr id="38" name="Pismo odręczne 37">
              <a:extLst>
                <a:ext uri="{FF2B5EF4-FFF2-40B4-BE49-F238E27FC236}">
                  <a16:creationId xmlns:a16="http://schemas.microsoft.com/office/drawing/2014/main" id="{DB3F4534-22CE-AAC6-85D8-13B90CB0BB8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505460" y="2170076"/>
              <a:ext cx="767520" cy="8406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36120</xdr:colOff>
      <xdr:row>14</xdr:row>
      <xdr:rowOff>2820</xdr:rowOff>
    </xdr:from>
    <xdr:to>
      <xdr:col>40</xdr:col>
      <xdr:colOff>33960</xdr:colOff>
      <xdr:row>14</xdr:row>
      <xdr:rowOff>35220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2" name="Pismo odręczne 41">
              <a:extLst>
                <a:ext uri="{FF2B5EF4-FFF2-40B4-BE49-F238E27FC236}">
                  <a16:creationId xmlns:a16="http://schemas.microsoft.com/office/drawing/2014/main" id="{96C50790-A267-3422-B537-394B0C7DF821}"/>
                </a:ext>
              </a:extLst>
            </xdr14:cNvPr>
            <xdr14:cNvContentPartPr/>
          </xdr14:nvContentPartPr>
          <xdr14:nvPr macro=""/>
          <xdr14:xfrm>
            <a:off x="26835660" y="2616480"/>
            <a:ext cx="1826640" cy="32400"/>
          </xdr14:xfrm>
        </xdr:contentPart>
      </mc:Choice>
      <mc:Fallback xmlns="">
        <xdr:pic>
          <xdr:nvPicPr>
            <xdr:cNvPr id="42" name="Pismo odręczne 41">
              <a:extLst>
                <a:ext uri="{FF2B5EF4-FFF2-40B4-BE49-F238E27FC236}">
                  <a16:creationId xmlns:a16="http://schemas.microsoft.com/office/drawing/2014/main" id="{96C50790-A267-3422-B537-394B0C7DF82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826660" y="2607480"/>
              <a:ext cx="184428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90840</xdr:colOff>
      <xdr:row>14</xdr:row>
      <xdr:rowOff>54300</xdr:rowOff>
    </xdr:from>
    <xdr:to>
      <xdr:col>38</xdr:col>
      <xdr:colOff>802200</xdr:colOff>
      <xdr:row>16</xdr:row>
      <xdr:rowOff>91020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8" name="Pismo odręczne 77">
              <a:extLst>
                <a:ext uri="{FF2B5EF4-FFF2-40B4-BE49-F238E27FC236}">
                  <a16:creationId xmlns:a16="http://schemas.microsoft.com/office/drawing/2014/main" id="{73E6B227-8AE2-CFAA-B275-E7803826B740}"/>
                </a:ext>
              </a:extLst>
            </xdr14:cNvPr>
            <xdr14:cNvContentPartPr/>
          </xdr14:nvContentPartPr>
          <xdr14:nvPr macro=""/>
          <xdr14:xfrm>
            <a:off x="26890380" y="2667960"/>
            <a:ext cx="711360" cy="402480"/>
          </xdr14:xfrm>
        </xdr:contentPart>
      </mc:Choice>
      <mc:Fallback xmlns="">
        <xdr:pic>
          <xdr:nvPicPr>
            <xdr:cNvPr id="78" name="Pismo odręczne 77">
              <a:extLst>
                <a:ext uri="{FF2B5EF4-FFF2-40B4-BE49-F238E27FC236}">
                  <a16:creationId xmlns:a16="http://schemas.microsoft.com/office/drawing/2014/main" id="{73E6B227-8AE2-CFAA-B275-E7803826B74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6881380" y="2658968"/>
              <a:ext cx="729000" cy="42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127680</xdr:colOff>
      <xdr:row>11</xdr:row>
      <xdr:rowOff>100380</xdr:rowOff>
    </xdr:from>
    <xdr:to>
      <xdr:col>39</xdr:col>
      <xdr:colOff>198960</xdr:colOff>
      <xdr:row>17</xdr:row>
      <xdr:rowOff>20400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0" name="Pismo odręczne 89">
              <a:extLst>
                <a:ext uri="{FF2B5EF4-FFF2-40B4-BE49-F238E27FC236}">
                  <a16:creationId xmlns:a16="http://schemas.microsoft.com/office/drawing/2014/main" id="{E73A31E6-6985-E891-EFB9-BD9E35E03ED4}"/>
                </a:ext>
              </a:extLst>
            </xdr14:cNvPr>
            <xdr14:cNvContentPartPr/>
          </xdr14:nvContentPartPr>
          <xdr14:nvPr macro=""/>
          <xdr14:xfrm>
            <a:off x="26317620" y="2180640"/>
            <a:ext cx="1900080" cy="1024920"/>
          </xdr14:xfrm>
        </xdr:contentPart>
      </mc:Choice>
      <mc:Fallback xmlns="">
        <xdr:pic>
          <xdr:nvPicPr>
            <xdr:cNvPr id="90" name="Pismo odręczne 89">
              <a:extLst>
                <a:ext uri="{FF2B5EF4-FFF2-40B4-BE49-F238E27FC236}">
                  <a16:creationId xmlns:a16="http://schemas.microsoft.com/office/drawing/2014/main" id="{E73A31E6-6985-E891-EFB9-BD9E35E03ED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308978" y="2171997"/>
              <a:ext cx="1917723" cy="1042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5940</xdr:colOff>
      <xdr:row>2</xdr:row>
      <xdr:rowOff>30480</xdr:rowOff>
    </xdr:from>
    <xdr:to>
      <xdr:col>44</xdr:col>
      <xdr:colOff>557820</xdr:colOff>
      <xdr:row>5</xdr:row>
      <xdr:rowOff>85380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3" name="Pismo odręczne 122">
              <a:extLst>
                <a:ext uri="{FF2B5EF4-FFF2-40B4-BE49-F238E27FC236}">
                  <a16:creationId xmlns:a16="http://schemas.microsoft.com/office/drawing/2014/main" id="{5633BAEC-730C-6AC0-F62C-00C01C4E69A8}"/>
                </a:ext>
              </a:extLst>
            </xdr14:cNvPr>
            <xdr14:cNvContentPartPr/>
          </xdr14:nvContentPartPr>
          <xdr14:nvPr macro=""/>
          <xdr14:xfrm>
            <a:off x="31072680" y="411480"/>
            <a:ext cx="551880" cy="626400"/>
          </xdr14:xfrm>
        </xdr:contentPart>
      </mc:Choice>
      <mc:Fallback xmlns="">
        <xdr:pic>
          <xdr:nvPicPr>
            <xdr:cNvPr id="123" name="Pismo odręczne 122">
              <a:extLst>
                <a:ext uri="{FF2B5EF4-FFF2-40B4-BE49-F238E27FC236}">
                  <a16:creationId xmlns:a16="http://schemas.microsoft.com/office/drawing/2014/main" id="{5633BAEC-730C-6AC0-F62C-00C01C4E69A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1064040" y="402840"/>
              <a:ext cx="569520" cy="64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513540</xdr:colOff>
      <xdr:row>2</xdr:row>
      <xdr:rowOff>33000</xdr:rowOff>
    </xdr:from>
    <xdr:to>
      <xdr:col>45</xdr:col>
      <xdr:colOff>818700</xdr:colOff>
      <xdr:row>5</xdr:row>
      <xdr:rowOff>123900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2" name="Pismo odręczne 131">
              <a:extLst>
                <a:ext uri="{FF2B5EF4-FFF2-40B4-BE49-F238E27FC236}">
                  <a16:creationId xmlns:a16="http://schemas.microsoft.com/office/drawing/2014/main" id="{84496E72-5A30-0D04-4604-8FB4DE4D2B82}"/>
                </a:ext>
              </a:extLst>
            </xdr14:cNvPr>
            <xdr14:cNvContentPartPr/>
          </xdr14:nvContentPartPr>
          <xdr14:nvPr macro=""/>
          <xdr14:xfrm>
            <a:off x="31580280" y="414000"/>
            <a:ext cx="914760" cy="662400"/>
          </xdr14:xfrm>
        </xdr:contentPart>
      </mc:Choice>
      <mc:Fallback xmlns="">
        <xdr:pic>
          <xdr:nvPicPr>
            <xdr:cNvPr id="132" name="Pismo odręczne 131">
              <a:extLst>
                <a:ext uri="{FF2B5EF4-FFF2-40B4-BE49-F238E27FC236}">
                  <a16:creationId xmlns:a16="http://schemas.microsoft.com/office/drawing/2014/main" id="{84496E72-5A30-0D04-4604-8FB4DE4D2B8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571640" y="405000"/>
              <a:ext cx="932400" cy="68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976740</xdr:colOff>
      <xdr:row>2</xdr:row>
      <xdr:rowOff>29520</xdr:rowOff>
    </xdr:from>
    <xdr:to>
      <xdr:col>46</xdr:col>
      <xdr:colOff>43561</xdr:colOff>
      <xdr:row>5</xdr:row>
      <xdr:rowOff>97020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3" name="Pismo odręczne 132">
              <a:extLst>
                <a:ext uri="{FF2B5EF4-FFF2-40B4-BE49-F238E27FC236}">
                  <a16:creationId xmlns:a16="http://schemas.microsoft.com/office/drawing/2014/main" id="{79701148-D46E-B58F-3D89-4C9C2DA1A112}"/>
                </a:ext>
              </a:extLst>
            </xdr14:cNvPr>
            <xdr14:cNvContentPartPr/>
          </xdr14:nvContentPartPr>
          <xdr14:nvPr macro=""/>
          <xdr14:xfrm>
            <a:off x="32653080" y="410520"/>
            <a:ext cx="80280" cy="639000"/>
          </xdr14:xfrm>
        </xdr:contentPart>
      </mc:Choice>
      <mc:Fallback xmlns="">
        <xdr:pic>
          <xdr:nvPicPr>
            <xdr:cNvPr id="133" name="Pismo odręczne 132">
              <a:extLst>
                <a:ext uri="{FF2B5EF4-FFF2-40B4-BE49-F238E27FC236}">
                  <a16:creationId xmlns:a16="http://schemas.microsoft.com/office/drawing/2014/main" id="{79701148-D46E-B58F-3D89-4C9C2DA1A1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2644080" y="401880"/>
              <a:ext cx="97920" cy="65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386280</xdr:colOff>
      <xdr:row>2</xdr:row>
      <xdr:rowOff>45720</xdr:rowOff>
    </xdr:from>
    <xdr:to>
      <xdr:col>46</xdr:col>
      <xdr:colOff>559080</xdr:colOff>
      <xdr:row>3</xdr:row>
      <xdr:rowOff>105420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1" name="Pismo odręczne 140">
              <a:extLst>
                <a:ext uri="{FF2B5EF4-FFF2-40B4-BE49-F238E27FC236}">
                  <a16:creationId xmlns:a16="http://schemas.microsoft.com/office/drawing/2014/main" id="{AEAADA89-68C7-D1A5-4CDD-F162500FDD02}"/>
                </a:ext>
              </a:extLst>
            </xdr14:cNvPr>
            <xdr14:cNvContentPartPr/>
          </xdr14:nvContentPartPr>
          <xdr14:nvPr macro=""/>
          <xdr14:xfrm>
            <a:off x="33076080" y="426720"/>
            <a:ext cx="172800" cy="250200"/>
          </xdr14:xfrm>
        </xdr:contentPart>
      </mc:Choice>
      <mc:Fallback xmlns="">
        <xdr:pic>
          <xdr:nvPicPr>
            <xdr:cNvPr id="141" name="Pismo odręczne 140">
              <a:extLst>
                <a:ext uri="{FF2B5EF4-FFF2-40B4-BE49-F238E27FC236}">
                  <a16:creationId xmlns:a16="http://schemas.microsoft.com/office/drawing/2014/main" id="{AEAADA89-68C7-D1A5-4CDD-F162500FDD0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3067080" y="417720"/>
              <a:ext cx="19044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90360</xdr:colOff>
      <xdr:row>2</xdr:row>
      <xdr:rowOff>59760</xdr:rowOff>
    </xdr:from>
    <xdr:to>
      <xdr:col>46</xdr:col>
      <xdr:colOff>273240</xdr:colOff>
      <xdr:row>5</xdr:row>
      <xdr:rowOff>95580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4" name="Pismo odręczne 143">
              <a:extLst>
                <a:ext uri="{FF2B5EF4-FFF2-40B4-BE49-F238E27FC236}">
                  <a16:creationId xmlns:a16="http://schemas.microsoft.com/office/drawing/2014/main" id="{F02FAA36-AAE8-2922-0183-6EE47ABD669A}"/>
                </a:ext>
              </a:extLst>
            </xdr14:cNvPr>
            <xdr14:cNvContentPartPr/>
          </xdr14:nvContentPartPr>
          <xdr14:nvPr macro=""/>
          <xdr14:xfrm>
            <a:off x="32780160" y="440760"/>
            <a:ext cx="182880" cy="607320"/>
          </xdr14:xfrm>
        </xdr:contentPart>
      </mc:Choice>
      <mc:Fallback xmlns="">
        <xdr:pic>
          <xdr:nvPicPr>
            <xdr:cNvPr id="144" name="Pismo odręczne 143">
              <a:extLst>
                <a:ext uri="{FF2B5EF4-FFF2-40B4-BE49-F238E27FC236}">
                  <a16:creationId xmlns:a16="http://schemas.microsoft.com/office/drawing/2014/main" id="{F02FAA36-AAE8-2922-0183-6EE47ABD669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2771520" y="432120"/>
              <a:ext cx="200520" cy="62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49680</xdr:colOff>
      <xdr:row>3</xdr:row>
      <xdr:rowOff>167700</xdr:rowOff>
    </xdr:from>
    <xdr:to>
      <xdr:col>47</xdr:col>
      <xdr:colOff>37680</xdr:colOff>
      <xdr:row>5</xdr:row>
      <xdr:rowOff>46260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7" name="Pismo odręczne 146">
              <a:extLst>
                <a:ext uri="{FF2B5EF4-FFF2-40B4-BE49-F238E27FC236}">
                  <a16:creationId xmlns:a16="http://schemas.microsoft.com/office/drawing/2014/main" id="{F653564E-116A-5BD1-8CAC-09FA92A3B908}"/>
                </a:ext>
              </a:extLst>
            </xdr14:cNvPr>
            <xdr14:cNvContentPartPr/>
          </xdr14:nvContentPartPr>
          <xdr14:nvPr macro=""/>
          <xdr14:xfrm>
            <a:off x="32739480" y="739200"/>
            <a:ext cx="597600" cy="259560"/>
          </xdr14:xfrm>
        </xdr:contentPart>
      </mc:Choice>
      <mc:Fallback xmlns="">
        <xdr:pic>
          <xdr:nvPicPr>
            <xdr:cNvPr id="147" name="Pismo odręczne 146">
              <a:extLst>
                <a:ext uri="{FF2B5EF4-FFF2-40B4-BE49-F238E27FC236}">
                  <a16:creationId xmlns:a16="http://schemas.microsoft.com/office/drawing/2014/main" id="{F653564E-116A-5BD1-8CAC-09FA92A3B90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2730480" y="730560"/>
              <a:ext cx="61524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157200</xdr:colOff>
      <xdr:row>3</xdr:row>
      <xdr:rowOff>117660</xdr:rowOff>
    </xdr:from>
    <xdr:to>
      <xdr:col>47</xdr:col>
      <xdr:colOff>202920</xdr:colOff>
      <xdr:row>3</xdr:row>
      <xdr:rowOff>162660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8" name="Pismo odręczne 147">
              <a:extLst>
                <a:ext uri="{FF2B5EF4-FFF2-40B4-BE49-F238E27FC236}">
                  <a16:creationId xmlns:a16="http://schemas.microsoft.com/office/drawing/2014/main" id="{FE0D82B8-4CDA-C70C-A2C1-6D0E1BC23D96}"/>
                </a:ext>
              </a:extLst>
            </xdr14:cNvPr>
            <xdr14:cNvContentPartPr/>
          </xdr14:nvContentPartPr>
          <xdr14:nvPr macro=""/>
          <xdr14:xfrm>
            <a:off x="33456600" y="689160"/>
            <a:ext cx="45720" cy="45000"/>
          </xdr14:xfrm>
        </xdr:contentPart>
      </mc:Choice>
      <mc:Fallback xmlns="">
        <xdr:pic>
          <xdr:nvPicPr>
            <xdr:cNvPr id="148" name="Pismo odręczne 147">
              <a:extLst>
                <a:ext uri="{FF2B5EF4-FFF2-40B4-BE49-F238E27FC236}">
                  <a16:creationId xmlns:a16="http://schemas.microsoft.com/office/drawing/2014/main" id="{FE0D82B8-4CDA-C70C-A2C1-6D0E1BC23D9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447960" y="680520"/>
              <a:ext cx="63360" cy="6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248280</xdr:colOff>
      <xdr:row>2</xdr:row>
      <xdr:rowOff>32400</xdr:rowOff>
    </xdr:from>
    <xdr:to>
      <xdr:col>48</xdr:col>
      <xdr:colOff>399360</xdr:colOff>
      <xdr:row>5</xdr:row>
      <xdr:rowOff>117900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58" name="Pismo odręczne 157">
              <a:extLst>
                <a:ext uri="{FF2B5EF4-FFF2-40B4-BE49-F238E27FC236}">
                  <a16:creationId xmlns:a16="http://schemas.microsoft.com/office/drawing/2014/main" id="{2D441B82-44BC-AC83-9160-F73FD6D4997E}"/>
                </a:ext>
              </a:extLst>
            </xdr14:cNvPr>
            <xdr14:cNvContentPartPr/>
          </xdr14:nvContentPartPr>
          <xdr14:nvPr macro=""/>
          <xdr14:xfrm>
            <a:off x="33547680" y="413400"/>
            <a:ext cx="760680" cy="657000"/>
          </xdr14:xfrm>
        </xdr:contentPart>
      </mc:Choice>
      <mc:Fallback xmlns="">
        <xdr:pic>
          <xdr:nvPicPr>
            <xdr:cNvPr id="158" name="Pismo odręczne 157">
              <a:extLst>
                <a:ext uri="{FF2B5EF4-FFF2-40B4-BE49-F238E27FC236}">
                  <a16:creationId xmlns:a16="http://schemas.microsoft.com/office/drawing/2014/main" id="{2D441B82-44BC-AC83-9160-F73FD6D4997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3538684" y="404400"/>
              <a:ext cx="778312" cy="67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452280</xdr:colOff>
      <xdr:row>1</xdr:row>
      <xdr:rowOff>172860</xdr:rowOff>
    </xdr:from>
    <xdr:to>
      <xdr:col>49</xdr:col>
      <xdr:colOff>52200</xdr:colOff>
      <xdr:row>5</xdr:row>
      <xdr:rowOff>58860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61" name="Pismo odręczne 160">
              <a:extLst>
                <a:ext uri="{FF2B5EF4-FFF2-40B4-BE49-F238E27FC236}">
                  <a16:creationId xmlns:a16="http://schemas.microsoft.com/office/drawing/2014/main" id="{39D1EBF1-C0F2-60B6-D8FA-1C5460BA1382}"/>
                </a:ext>
              </a:extLst>
            </xdr14:cNvPr>
            <xdr14:cNvContentPartPr/>
          </xdr14:nvContentPartPr>
          <xdr14:nvPr macro=""/>
          <xdr14:xfrm>
            <a:off x="34361280" y="363360"/>
            <a:ext cx="209520" cy="648000"/>
          </xdr14:xfrm>
        </xdr:contentPart>
      </mc:Choice>
      <mc:Fallback xmlns="">
        <xdr:pic>
          <xdr:nvPicPr>
            <xdr:cNvPr id="161" name="Pismo odręczne 160">
              <a:extLst>
                <a:ext uri="{FF2B5EF4-FFF2-40B4-BE49-F238E27FC236}">
                  <a16:creationId xmlns:a16="http://schemas.microsoft.com/office/drawing/2014/main" id="{39D1EBF1-C0F2-60B6-D8FA-1C5460BA138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4352640" y="354720"/>
              <a:ext cx="22716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821940</xdr:colOff>
      <xdr:row>1</xdr:row>
      <xdr:rowOff>97260</xdr:rowOff>
    </xdr:from>
    <xdr:to>
      <xdr:col>49</xdr:col>
      <xdr:colOff>127081</xdr:colOff>
      <xdr:row>5</xdr:row>
      <xdr:rowOff>90180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2" name="Pismo odręczne 161">
              <a:extLst>
                <a:ext uri="{FF2B5EF4-FFF2-40B4-BE49-F238E27FC236}">
                  <a16:creationId xmlns:a16="http://schemas.microsoft.com/office/drawing/2014/main" id="{E86AC2C7-DCB0-CCC7-5C29-64FA70799626}"/>
                </a:ext>
              </a:extLst>
            </xdr14:cNvPr>
            <xdr14:cNvContentPartPr/>
          </xdr14:nvContentPartPr>
          <xdr14:nvPr macro=""/>
          <xdr14:xfrm>
            <a:off x="32498280" y="287760"/>
            <a:ext cx="2147400" cy="754920"/>
          </xdr14:xfrm>
        </xdr:contentPart>
      </mc:Choice>
      <mc:Fallback xmlns="">
        <xdr:pic>
          <xdr:nvPicPr>
            <xdr:cNvPr id="162" name="Pismo odręczne 161">
              <a:extLst>
                <a:ext uri="{FF2B5EF4-FFF2-40B4-BE49-F238E27FC236}">
                  <a16:creationId xmlns:a16="http://schemas.microsoft.com/office/drawing/2014/main" id="{E86AC2C7-DCB0-CCC7-5C29-64FA7079962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2489280" y="278760"/>
              <a:ext cx="2165040" cy="77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175500</xdr:colOff>
      <xdr:row>6</xdr:row>
      <xdr:rowOff>35340</xdr:rowOff>
    </xdr:from>
    <xdr:to>
      <xdr:col>45</xdr:col>
      <xdr:colOff>715380</xdr:colOff>
      <xdr:row>9</xdr:row>
      <xdr:rowOff>71940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9" name="Pismo odręczne 178">
              <a:extLst>
                <a:ext uri="{FF2B5EF4-FFF2-40B4-BE49-F238E27FC236}">
                  <a16:creationId xmlns:a16="http://schemas.microsoft.com/office/drawing/2014/main" id="{EB8C3BB8-3697-E1B6-6330-FF18016EB602}"/>
                </a:ext>
              </a:extLst>
            </xdr14:cNvPr>
            <xdr14:cNvContentPartPr/>
          </xdr14:nvContentPartPr>
          <xdr14:nvPr macro=""/>
          <xdr14:xfrm>
            <a:off x="31242240" y="1170720"/>
            <a:ext cx="1149480" cy="600480"/>
          </xdr14:xfrm>
        </xdr:contentPart>
      </mc:Choice>
      <mc:Fallback xmlns="">
        <xdr:pic>
          <xdr:nvPicPr>
            <xdr:cNvPr id="179" name="Pismo odręczne 178">
              <a:extLst>
                <a:ext uri="{FF2B5EF4-FFF2-40B4-BE49-F238E27FC236}">
                  <a16:creationId xmlns:a16="http://schemas.microsoft.com/office/drawing/2014/main" id="{EB8C3BB8-3697-E1B6-6330-FF18016EB60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233240" y="1161720"/>
              <a:ext cx="1167120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802500</xdr:colOff>
      <xdr:row>6</xdr:row>
      <xdr:rowOff>135180</xdr:rowOff>
    </xdr:from>
    <xdr:to>
      <xdr:col>46</xdr:col>
      <xdr:colOff>234361</xdr:colOff>
      <xdr:row>9</xdr:row>
      <xdr:rowOff>24900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83" name="Pismo odręczne 182">
              <a:extLst>
                <a:ext uri="{FF2B5EF4-FFF2-40B4-BE49-F238E27FC236}">
                  <a16:creationId xmlns:a16="http://schemas.microsoft.com/office/drawing/2014/main" id="{5692F93C-FFE7-DD5C-559F-5EF2915DF36E}"/>
                </a:ext>
              </a:extLst>
            </xdr14:cNvPr>
            <xdr14:cNvContentPartPr/>
          </xdr14:nvContentPartPr>
          <xdr14:nvPr macro=""/>
          <xdr14:xfrm>
            <a:off x="32478840" y="1270560"/>
            <a:ext cx="445320" cy="453600"/>
          </xdr14:xfrm>
        </xdr:contentPart>
      </mc:Choice>
      <mc:Fallback xmlns="">
        <xdr:pic>
          <xdr:nvPicPr>
            <xdr:cNvPr id="183" name="Pismo odręczne 182">
              <a:extLst>
                <a:ext uri="{FF2B5EF4-FFF2-40B4-BE49-F238E27FC236}">
                  <a16:creationId xmlns:a16="http://schemas.microsoft.com/office/drawing/2014/main" id="{5692F93C-FFE7-DD5C-559F-5EF2915DF36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2470193" y="1261920"/>
              <a:ext cx="462974" cy="47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348120</xdr:colOff>
      <xdr:row>5</xdr:row>
      <xdr:rowOff>170820</xdr:rowOff>
    </xdr:from>
    <xdr:to>
      <xdr:col>48</xdr:col>
      <xdr:colOff>215040</xdr:colOff>
      <xdr:row>9</xdr:row>
      <xdr:rowOff>129660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94" name="Pismo odręczne 193">
              <a:extLst>
                <a:ext uri="{FF2B5EF4-FFF2-40B4-BE49-F238E27FC236}">
                  <a16:creationId xmlns:a16="http://schemas.microsoft.com/office/drawing/2014/main" id="{096CBA11-8FF4-5A13-92FD-901F1B148D72}"/>
                </a:ext>
              </a:extLst>
            </xdr14:cNvPr>
            <xdr14:cNvContentPartPr/>
          </xdr14:nvContentPartPr>
          <xdr14:nvPr macro=""/>
          <xdr14:xfrm>
            <a:off x="33037920" y="1123320"/>
            <a:ext cx="1086120" cy="705600"/>
          </xdr14:xfrm>
        </xdr:contentPart>
      </mc:Choice>
      <mc:Fallback xmlns="">
        <xdr:pic>
          <xdr:nvPicPr>
            <xdr:cNvPr id="194" name="Pismo odręczne 193">
              <a:extLst>
                <a:ext uri="{FF2B5EF4-FFF2-40B4-BE49-F238E27FC236}">
                  <a16:creationId xmlns:a16="http://schemas.microsoft.com/office/drawing/2014/main" id="{096CBA11-8FF4-5A13-92FD-901F1B148D7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3029280" y="1114320"/>
              <a:ext cx="1103760" cy="72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126420</xdr:colOff>
      <xdr:row>6</xdr:row>
      <xdr:rowOff>10140</xdr:rowOff>
    </xdr:from>
    <xdr:to>
      <xdr:col>45</xdr:col>
      <xdr:colOff>144060</xdr:colOff>
      <xdr:row>9</xdr:row>
      <xdr:rowOff>128820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95" name="Pismo odręczne 194">
              <a:extLst>
                <a:ext uri="{FF2B5EF4-FFF2-40B4-BE49-F238E27FC236}">
                  <a16:creationId xmlns:a16="http://schemas.microsoft.com/office/drawing/2014/main" id="{D8F5D21E-937A-E028-C9A0-8F91291A0F98}"/>
                </a:ext>
              </a:extLst>
            </xdr14:cNvPr>
            <xdr14:cNvContentPartPr/>
          </xdr14:nvContentPartPr>
          <xdr14:nvPr macro=""/>
          <xdr14:xfrm>
            <a:off x="31802760" y="1145520"/>
            <a:ext cx="17640" cy="682560"/>
          </xdr14:xfrm>
        </xdr:contentPart>
      </mc:Choice>
      <mc:Fallback xmlns="">
        <xdr:pic>
          <xdr:nvPicPr>
            <xdr:cNvPr id="195" name="Pismo odręczne 194">
              <a:extLst>
                <a:ext uri="{FF2B5EF4-FFF2-40B4-BE49-F238E27FC236}">
                  <a16:creationId xmlns:a16="http://schemas.microsoft.com/office/drawing/2014/main" id="{D8F5D21E-937A-E028-C9A0-8F91291A0F9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1793760" y="1136520"/>
              <a:ext cx="35280" cy="70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547920</xdr:colOff>
      <xdr:row>16</xdr:row>
      <xdr:rowOff>78600</xdr:rowOff>
    </xdr:from>
    <xdr:to>
      <xdr:col>39</xdr:col>
      <xdr:colOff>548280</xdr:colOff>
      <xdr:row>16</xdr:row>
      <xdr:rowOff>78960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96" name="Pismo odręczne 195">
              <a:extLst>
                <a:ext uri="{FF2B5EF4-FFF2-40B4-BE49-F238E27FC236}">
                  <a16:creationId xmlns:a16="http://schemas.microsoft.com/office/drawing/2014/main" id="{1735736C-ECEC-032C-E6CB-1BBD390BBE9A}"/>
                </a:ext>
              </a:extLst>
            </xdr14:cNvPr>
            <xdr14:cNvContentPartPr/>
          </xdr14:nvContentPartPr>
          <xdr14:nvPr macro=""/>
          <xdr14:xfrm>
            <a:off x="28566660" y="3080880"/>
            <a:ext cx="360" cy="360"/>
          </xdr14:xfrm>
        </xdr:contentPart>
      </mc:Choice>
      <mc:Fallback xmlns="">
        <xdr:pic>
          <xdr:nvPicPr>
            <xdr:cNvPr id="196" name="Pismo odręczne 195">
              <a:extLst>
                <a:ext uri="{FF2B5EF4-FFF2-40B4-BE49-F238E27FC236}">
                  <a16:creationId xmlns:a16="http://schemas.microsoft.com/office/drawing/2014/main" id="{1735736C-ECEC-032C-E6CB-1BBD390BBE9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8558020" y="3072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155640</xdr:colOff>
      <xdr:row>11</xdr:row>
      <xdr:rowOff>176280</xdr:rowOff>
    </xdr:from>
    <xdr:to>
      <xdr:col>42</xdr:col>
      <xdr:colOff>460320</xdr:colOff>
      <xdr:row>15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02" name="Pismo odręczne 201">
              <a:extLst>
                <a:ext uri="{FF2B5EF4-FFF2-40B4-BE49-F238E27FC236}">
                  <a16:creationId xmlns:a16="http://schemas.microsoft.com/office/drawing/2014/main" id="{5E624B80-C72D-38BF-B193-C3B8D3500D78}"/>
                </a:ext>
              </a:extLst>
            </xdr14:cNvPr>
            <xdr14:cNvContentPartPr/>
          </xdr14:nvContentPartPr>
          <xdr14:nvPr macro=""/>
          <xdr14:xfrm>
            <a:off x="28783980" y="2256540"/>
            <a:ext cx="1523880" cy="718200"/>
          </xdr14:xfrm>
        </xdr:contentPart>
      </mc:Choice>
      <mc:Fallback xmlns="">
        <xdr:pic>
          <xdr:nvPicPr>
            <xdr:cNvPr id="202" name="Pismo odręczne 201">
              <a:extLst>
                <a:ext uri="{FF2B5EF4-FFF2-40B4-BE49-F238E27FC236}">
                  <a16:creationId xmlns:a16="http://schemas.microsoft.com/office/drawing/2014/main" id="{5E624B80-C72D-38BF-B193-C3B8D3500D7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8775340" y="2247540"/>
              <a:ext cx="1541520" cy="73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770340</xdr:colOff>
      <xdr:row>11</xdr:row>
      <xdr:rowOff>59820</xdr:rowOff>
    </xdr:from>
    <xdr:to>
      <xdr:col>39</xdr:col>
      <xdr:colOff>367260</xdr:colOff>
      <xdr:row>13</xdr:row>
      <xdr:rowOff>152700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04" name="Pismo odręczne 203">
              <a:extLst>
                <a:ext uri="{FF2B5EF4-FFF2-40B4-BE49-F238E27FC236}">
                  <a16:creationId xmlns:a16="http://schemas.microsoft.com/office/drawing/2014/main" id="{DBC40FA9-DB16-DA14-D424-136BF4B39436}"/>
                </a:ext>
              </a:extLst>
            </xdr14:cNvPr>
            <xdr14:cNvContentPartPr/>
          </xdr14:nvContentPartPr>
          <xdr14:nvPr macro=""/>
          <xdr14:xfrm>
            <a:off x="27569880" y="2140080"/>
            <a:ext cx="816120" cy="458640"/>
          </xdr14:xfrm>
        </xdr:contentPart>
      </mc:Choice>
      <mc:Fallback xmlns="">
        <xdr:pic>
          <xdr:nvPicPr>
            <xdr:cNvPr id="204" name="Pismo odręczne 203">
              <a:extLst>
                <a:ext uri="{FF2B5EF4-FFF2-40B4-BE49-F238E27FC236}">
                  <a16:creationId xmlns:a16="http://schemas.microsoft.com/office/drawing/2014/main" id="{DBC40FA9-DB16-DA14-D424-136BF4B3943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7560880" y="2131080"/>
              <a:ext cx="83376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928440</xdr:colOff>
      <xdr:row>14</xdr:row>
      <xdr:rowOff>170520</xdr:rowOff>
    </xdr:from>
    <xdr:to>
      <xdr:col>38</xdr:col>
      <xdr:colOff>955080</xdr:colOff>
      <xdr:row>15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19" name="Pismo odręczne 218">
              <a:extLst>
                <a:ext uri="{FF2B5EF4-FFF2-40B4-BE49-F238E27FC236}">
                  <a16:creationId xmlns:a16="http://schemas.microsoft.com/office/drawing/2014/main" id="{3667EAC8-C26E-95CA-CCD2-92E61BAA998D}"/>
                </a:ext>
              </a:extLst>
            </xdr14:cNvPr>
            <xdr14:cNvContentPartPr/>
          </xdr14:nvContentPartPr>
          <xdr14:nvPr macro=""/>
          <xdr14:xfrm>
            <a:off x="27727980" y="2791800"/>
            <a:ext cx="26640" cy="41040"/>
          </xdr14:xfrm>
        </xdr:contentPart>
      </mc:Choice>
      <mc:Fallback xmlns="">
        <xdr:pic>
          <xdr:nvPicPr>
            <xdr:cNvPr id="219" name="Pismo odręczne 218">
              <a:extLst>
                <a:ext uri="{FF2B5EF4-FFF2-40B4-BE49-F238E27FC236}">
                  <a16:creationId xmlns:a16="http://schemas.microsoft.com/office/drawing/2014/main" id="{3667EAC8-C26E-95CA-CCD2-92E61BAA998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7718980" y="2783160"/>
              <a:ext cx="4428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266829</xdr:colOff>
      <xdr:row>15</xdr:row>
      <xdr:rowOff>7653</xdr:rowOff>
    </xdr:to>
    <xdr:pic>
      <xdr:nvPicPr>
        <xdr:cNvPr id="220" name="Obraz 219">
          <a:extLst>
            <a:ext uri="{FF2B5EF4-FFF2-40B4-BE49-F238E27FC236}">
              <a16:creationId xmlns:a16="http://schemas.microsoft.com/office/drawing/2014/main" id="{A7E125DC-8F03-1307-EF26-282FAE8FC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447520" y="2446020"/>
          <a:ext cx="1486029" cy="381033"/>
        </a:xfrm>
        <a:prstGeom prst="rect">
          <a:avLst/>
        </a:prstGeom>
      </xdr:spPr>
    </xdr:pic>
    <xdr:clientData/>
  </xdr:twoCellAnchor>
  <xdr:twoCellAnchor editAs="oneCell">
    <xdr:from>
      <xdr:col>22</xdr:col>
      <xdr:colOff>39480</xdr:colOff>
      <xdr:row>16</xdr:row>
      <xdr:rowOff>20280</xdr:rowOff>
    </xdr:from>
    <xdr:to>
      <xdr:col>23</xdr:col>
      <xdr:colOff>591960</xdr:colOff>
      <xdr:row>19</xdr:row>
      <xdr:rowOff>130800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9" name="Pismo odręczne 228">
              <a:extLst>
                <a:ext uri="{FF2B5EF4-FFF2-40B4-BE49-F238E27FC236}">
                  <a16:creationId xmlns:a16="http://schemas.microsoft.com/office/drawing/2014/main" id="{425CE08A-6A7F-A274-A5E4-DB23E2AB0F14}"/>
                </a:ext>
              </a:extLst>
            </xdr14:cNvPr>
            <xdr14:cNvContentPartPr/>
          </xdr14:nvContentPartPr>
          <xdr14:nvPr macro=""/>
          <xdr14:xfrm>
            <a:off x="14487000" y="3022560"/>
            <a:ext cx="1162080" cy="659160"/>
          </xdr14:xfrm>
        </xdr:contentPart>
      </mc:Choice>
      <mc:Fallback xmlns="">
        <xdr:pic>
          <xdr:nvPicPr>
            <xdr:cNvPr id="229" name="Pismo odręczne 228">
              <a:extLst>
                <a:ext uri="{FF2B5EF4-FFF2-40B4-BE49-F238E27FC236}">
                  <a16:creationId xmlns:a16="http://schemas.microsoft.com/office/drawing/2014/main" id="{425CE08A-6A7F-A274-A5E4-DB23E2AB0F1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4478357" y="3013560"/>
              <a:ext cx="1179725" cy="67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50760</xdr:colOff>
      <xdr:row>16</xdr:row>
      <xdr:rowOff>26400</xdr:rowOff>
    </xdr:from>
    <xdr:to>
      <xdr:col>24</xdr:col>
      <xdr:colOff>310320</xdr:colOff>
      <xdr:row>19</xdr:row>
      <xdr:rowOff>69240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30" name="Pismo odręczne 229">
              <a:extLst>
                <a:ext uri="{FF2B5EF4-FFF2-40B4-BE49-F238E27FC236}">
                  <a16:creationId xmlns:a16="http://schemas.microsoft.com/office/drawing/2014/main" id="{75275E24-4495-0B3F-2A21-02844EAFB9BE}"/>
                </a:ext>
              </a:extLst>
            </xdr14:cNvPr>
            <xdr14:cNvContentPartPr/>
          </xdr14:nvContentPartPr>
          <xdr14:nvPr macro=""/>
          <xdr14:xfrm>
            <a:off x="15717480" y="3028680"/>
            <a:ext cx="259560" cy="591480"/>
          </xdr14:xfrm>
        </xdr:contentPart>
      </mc:Choice>
      <mc:Fallback xmlns="">
        <xdr:pic>
          <xdr:nvPicPr>
            <xdr:cNvPr id="230" name="Pismo odręczne 229">
              <a:extLst>
                <a:ext uri="{FF2B5EF4-FFF2-40B4-BE49-F238E27FC236}">
                  <a16:creationId xmlns:a16="http://schemas.microsoft.com/office/drawing/2014/main" id="{75275E24-4495-0B3F-2A21-02844EAFB9BE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5708840" y="3020040"/>
              <a:ext cx="277200" cy="60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369000</xdr:colOff>
      <xdr:row>16</xdr:row>
      <xdr:rowOff>65280</xdr:rowOff>
    </xdr:from>
    <xdr:to>
      <xdr:col>24</xdr:col>
      <xdr:colOff>416160</xdr:colOff>
      <xdr:row>19</xdr:row>
      <xdr:rowOff>24960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31" name="Pismo odręczne 230">
              <a:extLst>
                <a:ext uri="{FF2B5EF4-FFF2-40B4-BE49-F238E27FC236}">
                  <a16:creationId xmlns:a16="http://schemas.microsoft.com/office/drawing/2014/main" id="{7F637A91-8B8D-CFBE-E087-7FD29093FA91}"/>
                </a:ext>
              </a:extLst>
            </xdr14:cNvPr>
            <xdr14:cNvContentPartPr/>
          </xdr14:nvContentPartPr>
          <xdr14:nvPr macro=""/>
          <xdr14:xfrm>
            <a:off x="16035720" y="3067560"/>
            <a:ext cx="47160" cy="508320"/>
          </xdr14:xfrm>
        </xdr:contentPart>
      </mc:Choice>
      <mc:Fallback xmlns="">
        <xdr:pic>
          <xdr:nvPicPr>
            <xdr:cNvPr id="231" name="Pismo odręczne 230">
              <a:extLst>
                <a:ext uri="{FF2B5EF4-FFF2-40B4-BE49-F238E27FC236}">
                  <a16:creationId xmlns:a16="http://schemas.microsoft.com/office/drawing/2014/main" id="{7F637A91-8B8D-CFBE-E087-7FD29093FA91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6026720" y="3058920"/>
              <a:ext cx="64800" cy="5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450000</xdr:colOff>
      <xdr:row>16</xdr:row>
      <xdr:rowOff>53040</xdr:rowOff>
    </xdr:from>
    <xdr:to>
      <xdr:col>25</xdr:col>
      <xdr:colOff>1251960</xdr:colOff>
      <xdr:row>19</xdr:row>
      <xdr:rowOff>55560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254" name="Pismo odręczne 253">
              <a:extLst>
                <a:ext uri="{FF2B5EF4-FFF2-40B4-BE49-F238E27FC236}">
                  <a16:creationId xmlns:a16="http://schemas.microsoft.com/office/drawing/2014/main" id="{0F47EBBA-7CC9-310A-FEF2-8AF68BB6AD3E}"/>
                </a:ext>
              </a:extLst>
            </xdr14:cNvPr>
            <xdr14:cNvContentPartPr/>
          </xdr14:nvContentPartPr>
          <xdr14:nvPr macro=""/>
          <xdr14:xfrm>
            <a:off x="16116720" y="3055320"/>
            <a:ext cx="1411560" cy="551160"/>
          </xdr14:xfrm>
        </xdr:contentPart>
      </mc:Choice>
      <mc:Fallback xmlns="">
        <xdr:pic>
          <xdr:nvPicPr>
            <xdr:cNvPr id="254" name="Pismo odręczne 253">
              <a:extLst>
                <a:ext uri="{FF2B5EF4-FFF2-40B4-BE49-F238E27FC236}">
                  <a16:creationId xmlns:a16="http://schemas.microsoft.com/office/drawing/2014/main" id="{0F47EBBA-7CC9-310A-FEF2-8AF68BB6AD3E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6107722" y="3046326"/>
              <a:ext cx="1429196" cy="568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1310640</xdr:colOff>
      <xdr:row>16</xdr:row>
      <xdr:rowOff>109920</xdr:rowOff>
    </xdr:from>
    <xdr:to>
      <xdr:col>29</xdr:col>
      <xdr:colOff>93721</xdr:colOff>
      <xdr:row>19</xdr:row>
      <xdr:rowOff>158160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95" name="Pismo odręczne 294">
              <a:extLst>
                <a:ext uri="{FF2B5EF4-FFF2-40B4-BE49-F238E27FC236}">
                  <a16:creationId xmlns:a16="http://schemas.microsoft.com/office/drawing/2014/main" id="{03E1B930-189F-2549-4016-6B162FD0F5BD}"/>
                </a:ext>
              </a:extLst>
            </xdr14:cNvPr>
            <xdr14:cNvContentPartPr/>
          </xdr14:nvContentPartPr>
          <xdr14:nvPr macro=""/>
          <xdr14:xfrm>
            <a:off x="17586960" y="3112200"/>
            <a:ext cx="2181600" cy="596880"/>
          </xdr14:xfrm>
        </xdr:contentPart>
      </mc:Choice>
      <mc:Fallback xmlns="">
        <xdr:pic>
          <xdr:nvPicPr>
            <xdr:cNvPr id="295" name="Pismo odręczne 294">
              <a:extLst>
                <a:ext uri="{FF2B5EF4-FFF2-40B4-BE49-F238E27FC236}">
                  <a16:creationId xmlns:a16="http://schemas.microsoft.com/office/drawing/2014/main" id="{03E1B930-189F-2549-4016-6B162FD0F5BD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7578320" y="3103200"/>
              <a:ext cx="2199240" cy="61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325440</xdr:colOff>
      <xdr:row>15</xdr:row>
      <xdr:rowOff>169680</xdr:rowOff>
    </xdr:from>
    <xdr:to>
      <xdr:col>29</xdr:col>
      <xdr:colOff>155641</xdr:colOff>
      <xdr:row>16</xdr:row>
      <xdr:rowOff>44760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96" name="Pismo odręczne 295">
              <a:extLst>
                <a:ext uri="{FF2B5EF4-FFF2-40B4-BE49-F238E27FC236}">
                  <a16:creationId xmlns:a16="http://schemas.microsoft.com/office/drawing/2014/main" id="{02614975-3E9B-EE44-1B70-2387F21C2F97}"/>
                </a:ext>
              </a:extLst>
            </xdr14:cNvPr>
            <xdr14:cNvContentPartPr/>
          </xdr14:nvContentPartPr>
          <xdr14:nvPr macro=""/>
          <xdr14:xfrm>
            <a:off x="15992160" y="2989080"/>
            <a:ext cx="3838320" cy="57960"/>
          </xdr14:xfrm>
        </xdr:contentPart>
      </mc:Choice>
      <mc:Fallback xmlns="">
        <xdr:pic>
          <xdr:nvPicPr>
            <xdr:cNvPr id="296" name="Pismo odręczne 295">
              <a:extLst>
                <a:ext uri="{FF2B5EF4-FFF2-40B4-BE49-F238E27FC236}">
                  <a16:creationId xmlns:a16="http://schemas.microsoft.com/office/drawing/2014/main" id="{02614975-3E9B-EE44-1B70-2387F21C2F97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5983520" y="2980440"/>
              <a:ext cx="385596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185280</xdr:colOff>
      <xdr:row>20</xdr:row>
      <xdr:rowOff>171840</xdr:rowOff>
    </xdr:from>
    <xdr:to>
      <xdr:col>23</xdr:col>
      <xdr:colOff>315120</xdr:colOff>
      <xdr:row>24</xdr:row>
      <xdr:rowOff>20160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303" name="Pismo odręczne 302">
              <a:extLst>
                <a:ext uri="{FF2B5EF4-FFF2-40B4-BE49-F238E27FC236}">
                  <a16:creationId xmlns:a16="http://schemas.microsoft.com/office/drawing/2014/main" id="{BF5242B4-99EA-22CE-94B4-4B981B5D2744}"/>
                </a:ext>
              </a:extLst>
            </xdr14:cNvPr>
            <xdr14:cNvContentPartPr/>
          </xdr14:nvContentPartPr>
          <xdr14:nvPr macro=""/>
          <xdr14:xfrm>
            <a:off x="14632800" y="3905640"/>
            <a:ext cx="739440" cy="595080"/>
          </xdr14:xfrm>
        </xdr:contentPart>
      </mc:Choice>
      <mc:Fallback xmlns="">
        <xdr:pic>
          <xdr:nvPicPr>
            <xdr:cNvPr id="303" name="Pismo odręczne 302">
              <a:extLst>
                <a:ext uri="{FF2B5EF4-FFF2-40B4-BE49-F238E27FC236}">
                  <a16:creationId xmlns:a16="http://schemas.microsoft.com/office/drawing/2014/main" id="{BF5242B4-99EA-22CE-94B4-4B981B5D274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4623804" y="3897000"/>
              <a:ext cx="757071" cy="61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374520</xdr:colOff>
      <xdr:row>21</xdr:row>
      <xdr:rowOff>84720</xdr:rowOff>
    </xdr:from>
    <xdr:to>
      <xdr:col>25</xdr:col>
      <xdr:colOff>190320</xdr:colOff>
      <xdr:row>24</xdr:row>
      <xdr:rowOff>145440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314" name="Pismo odręczne 313">
              <a:extLst>
                <a:ext uri="{FF2B5EF4-FFF2-40B4-BE49-F238E27FC236}">
                  <a16:creationId xmlns:a16="http://schemas.microsoft.com/office/drawing/2014/main" id="{367D88FB-577D-1425-19D0-1D6634775D6F}"/>
                </a:ext>
              </a:extLst>
            </xdr14:cNvPr>
            <xdr14:cNvContentPartPr/>
          </xdr14:nvContentPartPr>
          <xdr14:nvPr macro=""/>
          <xdr14:xfrm>
            <a:off x="15431640" y="4001400"/>
            <a:ext cx="1035000" cy="624600"/>
          </xdr14:xfrm>
        </xdr:contentPart>
      </mc:Choice>
      <mc:Fallback xmlns="">
        <xdr:pic>
          <xdr:nvPicPr>
            <xdr:cNvPr id="314" name="Pismo odręczne 313">
              <a:extLst>
                <a:ext uri="{FF2B5EF4-FFF2-40B4-BE49-F238E27FC236}">
                  <a16:creationId xmlns:a16="http://schemas.microsoft.com/office/drawing/2014/main" id="{367D88FB-577D-1425-19D0-1D6634775D6F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5423000" y="3992405"/>
              <a:ext cx="1052640" cy="6422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141360</xdr:colOff>
      <xdr:row>22</xdr:row>
      <xdr:rowOff>105240</xdr:rowOff>
    </xdr:from>
    <xdr:to>
      <xdr:col>25</xdr:col>
      <xdr:colOff>173760</xdr:colOff>
      <xdr:row>22</xdr:row>
      <xdr:rowOff>148440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315" name="Pismo odręczne 314">
              <a:extLst>
                <a:ext uri="{FF2B5EF4-FFF2-40B4-BE49-F238E27FC236}">
                  <a16:creationId xmlns:a16="http://schemas.microsoft.com/office/drawing/2014/main" id="{A8F690C9-01BE-BFA8-7FD1-B78B313E3564}"/>
                </a:ext>
              </a:extLst>
            </xdr14:cNvPr>
            <xdr14:cNvContentPartPr/>
          </xdr14:nvContentPartPr>
          <xdr14:nvPr macro=""/>
          <xdr14:xfrm>
            <a:off x="16417680" y="4204800"/>
            <a:ext cx="32400" cy="43200"/>
          </xdr14:xfrm>
        </xdr:contentPart>
      </mc:Choice>
      <mc:Fallback xmlns="">
        <xdr:pic>
          <xdr:nvPicPr>
            <xdr:cNvPr id="315" name="Pismo odręczne 314">
              <a:extLst>
                <a:ext uri="{FF2B5EF4-FFF2-40B4-BE49-F238E27FC236}">
                  <a16:creationId xmlns:a16="http://schemas.microsoft.com/office/drawing/2014/main" id="{A8F690C9-01BE-BFA8-7FD1-B78B313E3564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6408680" y="4196160"/>
              <a:ext cx="5004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250800</xdr:colOff>
      <xdr:row>21</xdr:row>
      <xdr:rowOff>64920</xdr:rowOff>
    </xdr:from>
    <xdr:to>
      <xdr:col>25</xdr:col>
      <xdr:colOff>1227480</xdr:colOff>
      <xdr:row>24</xdr:row>
      <xdr:rowOff>79920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330" name="Pismo odręczne 329">
              <a:extLst>
                <a:ext uri="{FF2B5EF4-FFF2-40B4-BE49-F238E27FC236}">
                  <a16:creationId xmlns:a16="http://schemas.microsoft.com/office/drawing/2014/main" id="{6B10DD9C-2A91-7723-3DF5-D57C2731AA77}"/>
                </a:ext>
              </a:extLst>
            </xdr14:cNvPr>
            <xdr14:cNvContentPartPr/>
          </xdr14:nvContentPartPr>
          <xdr14:nvPr macro=""/>
          <xdr14:xfrm>
            <a:off x="16527120" y="3981600"/>
            <a:ext cx="976680" cy="578880"/>
          </xdr14:xfrm>
        </xdr:contentPart>
      </mc:Choice>
      <mc:Fallback xmlns="">
        <xdr:pic>
          <xdr:nvPicPr>
            <xdr:cNvPr id="330" name="Pismo odręczne 329">
              <a:extLst>
                <a:ext uri="{FF2B5EF4-FFF2-40B4-BE49-F238E27FC236}">
                  <a16:creationId xmlns:a16="http://schemas.microsoft.com/office/drawing/2014/main" id="{6B10DD9C-2A91-7723-3DF5-D57C2731AA77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6518480" y="3972600"/>
              <a:ext cx="994320" cy="5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1328280</xdr:colOff>
      <xdr:row>21</xdr:row>
      <xdr:rowOff>64200</xdr:rowOff>
    </xdr:from>
    <xdr:to>
      <xdr:col>25</xdr:col>
      <xdr:colOff>1398840</xdr:colOff>
      <xdr:row>24</xdr:row>
      <xdr:rowOff>30240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331" name="Pismo odręczne 330">
              <a:extLst>
                <a:ext uri="{FF2B5EF4-FFF2-40B4-BE49-F238E27FC236}">
                  <a16:creationId xmlns:a16="http://schemas.microsoft.com/office/drawing/2014/main" id="{677655DF-CB4A-D06F-C50C-442232E7DD96}"/>
                </a:ext>
              </a:extLst>
            </xdr14:cNvPr>
            <xdr14:cNvContentPartPr/>
          </xdr14:nvContentPartPr>
          <xdr14:nvPr macro=""/>
          <xdr14:xfrm>
            <a:off x="17604600" y="3980880"/>
            <a:ext cx="70560" cy="529920"/>
          </xdr14:xfrm>
        </xdr:contentPart>
      </mc:Choice>
      <mc:Fallback xmlns="">
        <xdr:pic>
          <xdr:nvPicPr>
            <xdr:cNvPr id="331" name="Pismo odręczne 330">
              <a:extLst>
                <a:ext uri="{FF2B5EF4-FFF2-40B4-BE49-F238E27FC236}">
                  <a16:creationId xmlns:a16="http://schemas.microsoft.com/office/drawing/2014/main" id="{677655DF-CB4A-D06F-C50C-442232E7DD96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7595960" y="3971880"/>
              <a:ext cx="88200" cy="54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1445280</xdr:colOff>
      <xdr:row>21</xdr:row>
      <xdr:rowOff>139800</xdr:rowOff>
    </xdr:from>
    <xdr:to>
      <xdr:col>26</xdr:col>
      <xdr:colOff>102721</xdr:colOff>
      <xdr:row>24</xdr:row>
      <xdr:rowOff>31680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334" name="Pismo odręczne 333">
              <a:extLst>
                <a:ext uri="{FF2B5EF4-FFF2-40B4-BE49-F238E27FC236}">
                  <a16:creationId xmlns:a16="http://schemas.microsoft.com/office/drawing/2014/main" id="{31E90CD2-650A-2AB2-74E9-E9092F3B0D1D}"/>
                </a:ext>
              </a:extLst>
            </xdr14:cNvPr>
            <xdr14:cNvContentPartPr/>
          </xdr14:nvContentPartPr>
          <xdr14:nvPr macro=""/>
          <xdr14:xfrm>
            <a:off x="17721600" y="4056480"/>
            <a:ext cx="227160" cy="455760"/>
          </xdr14:xfrm>
        </xdr:contentPart>
      </mc:Choice>
      <mc:Fallback xmlns="">
        <xdr:pic>
          <xdr:nvPicPr>
            <xdr:cNvPr id="334" name="Pismo odręczne 333">
              <a:extLst>
                <a:ext uri="{FF2B5EF4-FFF2-40B4-BE49-F238E27FC236}">
                  <a16:creationId xmlns:a16="http://schemas.microsoft.com/office/drawing/2014/main" id="{31E90CD2-650A-2AB2-74E9-E9092F3B0D1D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7712960" y="4047840"/>
              <a:ext cx="244800" cy="47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173280</xdr:colOff>
      <xdr:row>21</xdr:row>
      <xdr:rowOff>94800</xdr:rowOff>
    </xdr:from>
    <xdr:to>
      <xdr:col>27</xdr:col>
      <xdr:colOff>233280</xdr:colOff>
      <xdr:row>24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343" name="Pismo odręczne 342">
              <a:extLst>
                <a:ext uri="{FF2B5EF4-FFF2-40B4-BE49-F238E27FC236}">
                  <a16:creationId xmlns:a16="http://schemas.microsoft.com/office/drawing/2014/main" id="{A54B247B-78E6-705F-792F-AC2B0D0BD7D2}"/>
                </a:ext>
              </a:extLst>
            </xdr14:cNvPr>
            <xdr14:cNvContentPartPr/>
          </xdr14:nvContentPartPr>
          <xdr14:nvPr macro=""/>
          <xdr14:xfrm>
            <a:off x="18019320" y="4011480"/>
            <a:ext cx="669600" cy="503640"/>
          </xdr14:xfrm>
        </xdr:contentPart>
      </mc:Choice>
      <mc:Fallback xmlns="">
        <xdr:pic>
          <xdr:nvPicPr>
            <xdr:cNvPr id="343" name="Pismo odręczne 342">
              <a:extLst>
                <a:ext uri="{FF2B5EF4-FFF2-40B4-BE49-F238E27FC236}">
                  <a16:creationId xmlns:a16="http://schemas.microsoft.com/office/drawing/2014/main" id="{A54B247B-78E6-705F-792F-AC2B0D0BD7D2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8010315" y="4002486"/>
              <a:ext cx="687249" cy="521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249840</xdr:colOff>
      <xdr:row>22</xdr:row>
      <xdr:rowOff>134040</xdr:rowOff>
    </xdr:from>
    <xdr:to>
      <xdr:col>28</xdr:col>
      <xdr:colOff>150720</xdr:colOff>
      <xdr:row>24</xdr:row>
      <xdr:rowOff>157680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351" name="Pismo odręczne 350">
              <a:extLst>
                <a:ext uri="{FF2B5EF4-FFF2-40B4-BE49-F238E27FC236}">
                  <a16:creationId xmlns:a16="http://schemas.microsoft.com/office/drawing/2014/main" id="{2867934C-8DAE-A2B8-698C-0934178CA0AF}"/>
                </a:ext>
              </a:extLst>
            </xdr14:cNvPr>
            <xdr14:cNvContentPartPr/>
          </xdr14:nvContentPartPr>
          <xdr14:nvPr macro=""/>
          <xdr14:xfrm>
            <a:off x="18705480" y="4233600"/>
            <a:ext cx="510480" cy="404640"/>
          </xdr14:xfrm>
        </xdr:contentPart>
      </mc:Choice>
      <mc:Fallback xmlns="">
        <xdr:pic>
          <xdr:nvPicPr>
            <xdr:cNvPr id="351" name="Pismo odręczne 350">
              <a:extLst>
                <a:ext uri="{FF2B5EF4-FFF2-40B4-BE49-F238E27FC236}">
                  <a16:creationId xmlns:a16="http://schemas.microsoft.com/office/drawing/2014/main" id="{2867934C-8DAE-A2B8-698C-0934178CA0AF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8696480" y="4224960"/>
              <a:ext cx="528120" cy="42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151080</xdr:colOff>
      <xdr:row>21</xdr:row>
      <xdr:rowOff>18120</xdr:rowOff>
    </xdr:from>
    <xdr:to>
      <xdr:col>28</xdr:col>
      <xdr:colOff>445560</xdr:colOff>
      <xdr:row>24</xdr:row>
      <xdr:rowOff>89280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356" name="Pismo odręczne 355">
              <a:extLst>
                <a:ext uri="{FF2B5EF4-FFF2-40B4-BE49-F238E27FC236}">
                  <a16:creationId xmlns:a16="http://schemas.microsoft.com/office/drawing/2014/main" id="{DB597A40-FFA9-7E2E-62C6-4E2B5B603BD1}"/>
                </a:ext>
              </a:extLst>
            </xdr14:cNvPr>
            <xdr14:cNvContentPartPr/>
          </xdr14:nvContentPartPr>
          <xdr14:nvPr macro=""/>
          <xdr14:xfrm>
            <a:off x="19216320" y="3934800"/>
            <a:ext cx="294480" cy="635040"/>
          </xdr14:xfrm>
        </xdr:contentPart>
      </mc:Choice>
      <mc:Fallback xmlns="">
        <xdr:pic>
          <xdr:nvPicPr>
            <xdr:cNvPr id="356" name="Pismo odręczne 355">
              <a:extLst>
                <a:ext uri="{FF2B5EF4-FFF2-40B4-BE49-F238E27FC236}">
                  <a16:creationId xmlns:a16="http://schemas.microsoft.com/office/drawing/2014/main" id="{DB597A40-FFA9-7E2E-62C6-4E2B5B603BD1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9207691" y="3926155"/>
              <a:ext cx="312098" cy="6526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352920</xdr:colOff>
      <xdr:row>20</xdr:row>
      <xdr:rowOff>117480</xdr:rowOff>
    </xdr:from>
    <xdr:to>
      <xdr:col>28</xdr:col>
      <xdr:colOff>543121</xdr:colOff>
      <xdr:row>21</xdr:row>
      <xdr:rowOff>47280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357" name="Pismo odręczne 356">
              <a:extLst>
                <a:ext uri="{FF2B5EF4-FFF2-40B4-BE49-F238E27FC236}">
                  <a16:creationId xmlns:a16="http://schemas.microsoft.com/office/drawing/2014/main" id="{145C4BF6-8F2A-CE69-FF8B-6932FCC2B01B}"/>
                </a:ext>
              </a:extLst>
            </xdr14:cNvPr>
            <xdr14:cNvContentPartPr/>
          </xdr14:nvContentPartPr>
          <xdr14:nvPr macro=""/>
          <xdr14:xfrm>
            <a:off x="15410040" y="3851280"/>
            <a:ext cx="4198320" cy="112680"/>
          </xdr14:xfrm>
        </xdr:contentPart>
      </mc:Choice>
      <mc:Fallback xmlns="">
        <xdr:pic>
          <xdr:nvPicPr>
            <xdr:cNvPr id="357" name="Pismo odręczne 356">
              <a:extLst>
                <a:ext uri="{FF2B5EF4-FFF2-40B4-BE49-F238E27FC236}">
                  <a16:creationId xmlns:a16="http://schemas.microsoft.com/office/drawing/2014/main" id="{145C4BF6-8F2A-CE69-FF8B-6932FCC2B01B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5401040" y="3842280"/>
              <a:ext cx="421596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628449</xdr:colOff>
      <xdr:row>10</xdr:row>
      <xdr:rowOff>109458</xdr:rowOff>
    </xdr:from>
    <xdr:to>
      <xdr:col>6</xdr:col>
      <xdr:colOff>630249</xdr:colOff>
      <xdr:row>10</xdr:row>
      <xdr:rowOff>110538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3" name="Pismo odręczne 2">
              <a:extLst>
                <a:ext uri="{FF2B5EF4-FFF2-40B4-BE49-F238E27FC236}">
                  <a16:creationId xmlns:a16="http://schemas.microsoft.com/office/drawing/2014/main" id="{332743A4-2F96-76CF-E90E-02C2C441F0E8}"/>
                </a:ext>
              </a:extLst>
            </xdr14:cNvPr>
            <xdr14:cNvContentPartPr/>
          </xdr14:nvContentPartPr>
          <xdr14:nvPr macro=""/>
          <xdr14:xfrm>
            <a:off x="4479480" y="2020320"/>
            <a:ext cx="1800" cy="1080"/>
          </xdr14:xfrm>
        </xdr:contentPart>
      </mc:Choice>
      <mc:Fallback xmlns="">
        <xdr:pic>
          <xdr:nvPicPr>
            <xdr:cNvPr id="3" name="Pismo odręczne 2">
              <a:extLst>
                <a:ext uri="{FF2B5EF4-FFF2-40B4-BE49-F238E27FC236}">
                  <a16:creationId xmlns:a16="http://schemas.microsoft.com/office/drawing/2014/main" id="{332743A4-2F96-76CF-E90E-02C2C441F0E8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4470840" y="2011320"/>
              <a:ext cx="1944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91440</xdr:rowOff>
    </xdr:from>
    <xdr:to>
      <xdr:col>29</xdr:col>
      <xdr:colOff>320040</xdr:colOff>
      <xdr:row>17</xdr:row>
      <xdr:rowOff>91440</xdr:rowOff>
    </xdr:to>
    <xdr:graphicFrame macro="">
      <xdr:nvGraphicFramePr>
        <xdr:cNvPr id="25" name="Wykres 3">
          <a:extLst>
            <a:ext uri="{FF2B5EF4-FFF2-40B4-BE49-F238E27FC236}">
              <a16:creationId xmlns:a16="http://schemas.microsoft.com/office/drawing/2014/main" id="{1993ABCD-F86D-3696-6D32-B5349BA99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443895</xdr:colOff>
      <xdr:row>17</xdr:row>
      <xdr:rowOff>115865</xdr:rowOff>
    </xdr:from>
    <xdr:to>
      <xdr:col>39</xdr:col>
      <xdr:colOff>378425</xdr:colOff>
      <xdr:row>32</xdr:row>
      <xdr:rowOff>143990</xdr:rowOff>
    </xdr:to>
    <xdr:graphicFrame macro="">
      <xdr:nvGraphicFramePr>
        <xdr:cNvPr id="36" name="Wykres 1">
          <a:extLst>
            <a:ext uri="{FF2B5EF4-FFF2-40B4-BE49-F238E27FC236}">
              <a16:creationId xmlns:a16="http://schemas.microsoft.com/office/drawing/2014/main" id="{3EAB5F8A-2E2E-352F-863B-B63A363923E1}"/>
            </a:ext>
            <a:ext uri="{147F2762-F138-4A5C-976F-8EAC2B608ADB}">
              <a16:predDERef xmlns:a16="http://schemas.microsoft.com/office/drawing/2014/main" pred="{1993ABCD-F86D-3696-6D32-B5349BA99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445769</xdr:colOff>
      <xdr:row>16</xdr:row>
      <xdr:rowOff>26670</xdr:rowOff>
    </xdr:from>
    <xdr:to>
      <xdr:col>53</xdr:col>
      <xdr:colOff>118109</xdr:colOff>
      <xdr:row>31</xdr:row>
      <xdr:rowOff>45720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C90B584-8FB0-4018-9FAF-972D78C2B432}"/>
            </a:ext>
            <a:ext uri="{147F2762-F138-4A5C-976F-8EAC2B608ADB}">
              <a16:predDERef xmlns:a16="http://schemas.microsoft.com/office/drawing/2014/main" pred="{3EAB5F8A-2E2E-352F-863B-B63A36392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34</xdr:col>
      <xdr:colOff>479913</xdr:colOff>
      <xdr:row>31</xdr:row>
      <xdr:rowOff>38101</xdr:rowOff>
    </xdr:from>
    <xdr:ext cx="468205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2731F1CA-D056-8553-A5F0-AEF2E7FD8327}"/>
                </a:ext>
                <a:ext uri="{147F2762-F138-4A5C-976F-8EAC2B608ADB}">
                  <a16:predDERef xmlns:a16="http://schemas.microsoft.com/office/drawing/2014/main" pred="{7C90B584-8FB0-4018-9FAF-972D78C2B432}"/>
                </a:ext>
              </a:extLst>
            </xdr:cNvPr>
            <xdr:cNvSpPr txBox="1"/>
          </xdr:nvSpPr>
          <xdr:spPr>
            <a:xfrm>
              <a:off x="24159063" y="5686426"/>
              <a:ext cx="46820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</m:rad>
                    <m:r>
                      <a:rPr lang="pl-PL" sz="1100" i="1">
                        <a:latin typeface="Cambria Math" panose="02040503050406030204" pitchFamily="18" charset="0"/>
                      </a:rPr>
                      <m:t>,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rad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2731F1CA-D056-8553-A5F0-AEF2E7FD8327}"/>
                </a:ext>
              </a:extLst>
            </xdr:cNvPr>
            <xdr:cNvSpPr txBox="1"/>
          </xdr:nvSpPr>
          <xdr:spPr>
            <a:xfrm>
              <a:off x="24870507" y="2930770"/>
              <a:ext cx="468205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pl-PL" sz="1100" i="0">
                  <a:latin typeface="Cambria Math" panose="02040503050406030204" pitchFamily="18" charset="0"/>
                </a:rPr>
                <a:t>𝐿,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pl-PL" sz="1100" i="0">
                  <a:latin typeface="Cambria Math" panose="02040503050406030204" pitchFamily="18" charset="0"/>
                </a:rPr>
                <a:t>𝑚</a:t>
              </a:r>
              <a:endParaRPr lang="pl-PL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7620</xdr:colOff>
      <xdr:row>3</xdr:row>
      <xdr:rowOff>106680</xdr:rowOff>
    </xdr:from>
    <xdr:ext cx="3184141" cy="658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pole tekstowe 103">
              <a:extLst>
                <a:ext uri="{FF2B5EF4-FFF2-40B4-BE49-F238E27FC236}">
                  <a16:creationId xmlns:a16="http://schemas.microsoft.com/office/drawing/2014/main" id="{11E870AE-D634-4A3A-D5EF-AA200C1BF394}"/>
                </a:ext>
              </a:extLst>
            </xdr:cNvPr>
            <xdr:cNvSpPr txBox="1"/>
          </xdr:nvSpPr>
          <xdr:spPr>
            <a:xfrm>
              <a:off x="10942320" y="670560"/>
              <a:ext cx="3184141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pl-PL" sz="1100" i="0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rgbClr val="080808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rgbClr val="080808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rgbClr val="080808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sSup>
                                      <m:sSup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  <m:sSup>
                                      <m:sSup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𝐵</m:t>
                                        </m:r>
                                      </m:e>
                                      <m:sup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rgbClr val="080808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pl-PL" sz="1100" i="1">
                                            <a:solidFill>
                                              <a:srgbClr val="080808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rgbClr val="080808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𝐼</m:t>
                                        </m:r>
                                      </m:e>
                                      <m:sub>
                                        <m:r>
                                          <a:rPr lang="pl-PL" sz="1100" i="1">
                                            <a:solidFill>
                                              <a:srgbClr val="080808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rgbClr val="080808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rgbClr val="080808"/>
                                    </a:solidFill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rgbClr val="080808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pl-PL" sz="1100" i="1">
                                            <a:solidFill>
                                              <a:srgbClr val="080808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rgbClr val="080808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𝐼</m:t>
                                        </m:r>
                                      </m:e>
                                      <m:sub>
                                        <m:r>
                                          <a:rPr lang="pl-PL" sz="1100" i="1">
                                            <a:solidFill>
                                              <a:srgbClr val="080808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i="0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</m:t>
                                </m:r>
                              </m:sub>
                            </m:sSub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i="0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  <m:d>
                          <m:dPr>
                            <m:ctrlPr>
                              <a:rPr lang="pl-PL" sz="1100" i="1">
                                <a:solidFill>
                                  <a:srgbClr val="080808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l-PL" sz="1100" i="1">
                                    <a:solidFill>
                                      <a:srgbClr val="080808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rgbClr val="080808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pl-PL" sz="1100" i="1">
                                    <a:solidFill>
                                      <a:srgbClr val="080808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pl-PL" sz="1100">
                <a:solidFill>
                  <a:srgbClr val="080808"/>
                </a:solidFill>
              </a:endParaRPr>
            </a:p>
          </xdr:txBody>
        </xdr:sp>
      </mc:Choice>
      <mc:Fallback xmlns="">
        <xdr:sp macro="" textlink="">
          <xdr:nvSpPr>
            <xdr:cNvPr id="104" name="pole tekstowe 103">
              <a:extLst>
                <a:ext uri="{FF2B5EF4-FFF2-40B4-BE49-F238E27FC236}">
                  <a16:creationId xmlns:a16="http://schemas.microsoft.com/office/drawing/2014/main" id="{11E870AE-D634-4A3A-D5EF-AA200C1BF394}"/>
                </a:ext>
              </a:extLst>
            </xdr:cNvPr>
            <xdr:cNvSpPr txBox="1"/>
          </xdr:nvSpPr>
          <xdr:spPr>
            <a:xfrm>
              <a:off x="10942320" y="670560"/>
              <a:ext cx="3184141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𝑢(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𝐵^2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=√(((𝜕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𝑟^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𝐵^2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𝜕</a:t>
              </a:r>
              <a:r>
                <a:rPr lang="pl-PL" sz="1100" b="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𝐼_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𝐻 )⋅𝑢(</a:t>
              </a:r>
              <a:r>
                <a:rPr lang="pl-PL" sz="1100" b="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𝐼_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𝐻 ))^2 )=|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⋅𝑢(</a:t>
              </a:r>
              <a:r>
                <a:rPr lang="pl-PL" sz="1100" b="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 )|</a:t>
              </a:r>
              <a:endParaRPr lang="pl-PL" sz="1100">
                <a:solidFill>
                  <a:srgbClr val="080808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7620</xdr:colOff>
      <xdr:row>2</xdr:row>
      <xdr:rowOff>7620</xdr:rowOff>
    </xdr:from>
    <xdr:ext cx="5251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pole tekstowe 105">
              <a:extLst>
                <a:ext uri="{FF2B5EF4-FFF2-40B4-BE49-F238E27FC236}">
                  <a16:creationId xmlns:a16="http://schemas.microsoft.com/office/drawing/2014/main" id="{4CFE9C7C-341B-20D9-AA5A-7E21F4D0046F}"/>
                </a:ext>
              </a:extLst>
            </xdr:cNvPr>
            <xdr:cNvSpPr txBox="1"/>
          </xdr:nvSpPr>
          <xdr:spPr>
            <a:xfrm>
              <a:off x="10942320" y="388620"/>
              <a:ext cx="525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l-PL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100" i="1">
                        <a:latin typeface="Cambria Math" panose="02040503050406030204" pitchFamily="18" charset="0"/>
                      </a:rPr>
                      <m:t>𝑘</m:t>
                    </m:r>
                    <m:sSub>
                      <m:sSub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06" name="pole tekstowe 105">
              <a:extLst>
                <a:ext uri="{FF2B5EF4-FFF2-40B4-BE49-F238E27FC236}">
                  <a16:creationId xmlns:a16="http://schemas.microsoft.com/office/drawing/2014/main" id="{4CFE9C7C-341B-20D9-AA5A-7E21F4D0046F}"/>
                </a:ext>
              </a:extLst>
            </xdr:cNvPr>
            <xdr:cNvSpPr txBox="1"/>
          </xdr:nvSpPr>
          <xdr:spPr>
            <a:xfrm>
              <a:off x="10942320" y="388620"/>
              <a:ext cx="525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latin typeface="Cambria Math" panose="02040503050406030204" pitchFamily="18" charset="0"/>
                </a:rPr>
                <a:t>𝐵=𝑘𝐼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100" i="0">
                  <a:latin typeface="Cambria Math" panose="02040503050406030204" pitchFamily="18" charset="0"/>
                </a:rPr>
                <a:t>𝐻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17</xdr:col>
      <xdr:colOff>30480</xdr:colOff>
      <xdr:row>8</xdr:row>
      <xdr:rowOff>91440</xdr:rowOff>
    </xdr:from>
    <xdr:ext cx="2201500" cy="3531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pole tekstowe 107">
              <a:extLst>
                <a:ext uri="{FF2B5EF4-FFF2-40B4-BE49-F238E27FC236}">
                  <a16:creationId xmlns:a16="http://schemas.microsoft.com/office/drawing/2014/main" id="{0A2D63E6-DB61-367A-9D6B-5E4FCAC23B2B}"/>
                </a:ext>
              </a:extLst>
            </xdr:cNvPr>
            <xdr:cNvSpPr txBox="1"/>
          </xdr:nvSpPr>
          <xdr:spPr>
            <a:xfrm>
              <a:off x="10965180" y="1592580"/>
              <a:ext cx="2201500" cy="353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100" i="1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i="1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pl-PL" sz="1100" i="1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</m:e>
                    </m:d>
                    <m:r>
                      <a:rPr lang="pl-PL" sz="1100" i="0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𝑘𝑙𝑎𝑠𝑎</m:t>
                        </m:r>
                        <m:r>
                          <a:rPr lang="pl-PL" sz="1100" i="0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𝑧𝑎𝑘𝑟</m:t>
                        </m:r>
                        <m:r>
                          <a:rPr lang="pl-PL" sz="1100" i="0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>
                          <a:rPr lang="pl-PL" sz="1100" i="0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100</m:t>
                        </m:r>
                        <m:rad>
                          <m:radPr>
                            <m:degHide m:val="on"/>
                            <m:ctrlPr>
                              <a:rPr lang="pl-PL" sz="1100" i="1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l-PL" sz="1100" i="0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pl-PL" sz="1100" b="0" i="1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0,5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7,5</m:t>
                        </m:r>
                      </m:num>
                      <m:den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</m:t>
                        </m:r>
                        <m:rad>
                          <m:radPr>
                            <m:degHide m:val="on"/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</m:oMath>
                </m:oMathPara>
              </a14:m>
              <a:endParaRPr lang="pl-PL" sz="1100">
                <a:solidFill>
                  <a:srgbClr val="080808"/>
                </a:solidFill>
              </a:endParaRPr>
            </a:p>
          </xdr:txBody>
        </xdr:sp>
      </mc:Choice>
      <mc:Fallback xmlns="">
        <xdr:sp macro="" textlink="">
          <xdr:nvSpPr>
            <xdr:cNvPr id="108" name="pole tekstowe 107">
              <a:extLst>
                <a:ext uri="{FF2B5EF4-FFF2-40B4-BE49-F238E27FC236}">
                  <a16:creationId xmlns:a16="http://schemas.microsoft.com/office/drawing/2014/main" id="{0A2D63E6-DB61-367A-9D6B-5E4FCAC23B2B}"/>
                </a:ext>
              </a:extLst>
            </xdr:cNvPr>
            <xdr:cNvSpPr txBox="1"/>
          </xdr:nvSpPr>
          <xdr:spPr>
            <a:xfrm>
              <a:off x="10965180" y="1592580"/>
              <a:ext cx="2201500" cy="353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𝑢(𝐼_𝐻 )=(𝑘𝑙𝑎𝑠𝑎⋅𝑧𝑎𝑘𝑟ⅇ𝑠)/(100√3)</a:t>
              </a:r>
              <a:r>
                <a:rPr lang="pl-PL" sz="1100" b="0" i="0">
                  <a:solidFill>
                    <a:srgbClr val="080808"/>
                  </a:solidFill>
                  <a:latin typeface="Cambria Math" panose="02040503050406030204" pitchFamily="18" charset="0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0,5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7,5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100√3)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𝐴</a:t>
              </a:r>
              <a:endParaRPr lang="pl-PL" sz="1100">
                <a:solidFill>
                  <a:srgbClr val="080808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38100</xdr:colOff>
      <xdr:row>11</xdr:row>
      <xdr:rowOff>91440</xdr:rowOff>
    </xdr:from>
    <xdr:ext cx="3871829" cy="3538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B98D5B0-FA00-2D14-164D-1449DBC9551C}"/>
                </a:ext>
              </a:extLst>
            </xdr:cNvPr>
            <xdr:cNvSpPr txBox="1"/>
          </xdr:nvSpPr>
          <xdr:spPr>
            <a:xfrm>
              <a:off x="10972800" y="2141220"/>
              <a:ext cx="3871829" cy="353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d>
                    <m:r>
                      <a:rPr lang="pl-PL" sz="1100" i="0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%</m:t>
                        </m:r>
                        <m:r>
                          <a:rPr lang="pl-PL" sz="1100" i="0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𝑤𝑦𝑛𝑖𝑘</m:t>
                        </m:r>
                        <m:r>
                          <a:rPr lang="pl-PL" sz="1100" b="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l-PL" sz="1100" i="0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𝑟𝑜𝑧𝑑𝑧𝑖𝑒𝑙𝑐𝑧𝑜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latin typeface="Cambria Math" panose="02040503050406030204" pitchFamily="18" charset="0"/>
                          </a:rPr>
                          <m:t>ść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l-PL" sz="1100" i="1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l-PL" sz="1100" i="0">
                                <a:solidFill>
                                  <a:srgbClr val="080808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pl-PL" sz="1100" b="0" i="1">
                        <a:solidFill>
                          <a:srgbClr val="080808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0,5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%</m:t>
                        </m:r>
                        <m:r>
                          <a:rPr lang="pl-PL" sz="1100" i="0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𝑤𝑦𝑛𝑖𝑘</m:t>
                        </m:r>
                        <m:r>
                          <a:rPr lang="pl-PL" sz="1100" b="0" i="1">
                            <a:solidFill>
                              <a:srgbClr val="080808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+0,1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l-PL" sz="1100" i="1">
                                <a:solidFill>
                                  <a:srgbClr val="080808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l-PL" sz="1100" i="0">
                                <a:solidFill>
                                  <a:srgbClr val="080808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pl-PL" sz="1100" b="0" i="1">
                        <a:solidFill>
                          <a:srgbClr val="080808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</m:t>
                    </m:r>
                  </m:oMath>
                </m:oMathPara>
              </a14:m>
              <a:endParaRPr lang="pl-PL" sz="1100">
                <a:solidFill>
                  <a:srgbClr val="080808"/>
                </a:solidFill>
              </a:endParaRPr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B98D5B0-FA00-2D14-164D-1449DBC9551C}"/>
                </a:ext>
              </a:extLst>
            </xdr:cNvPr>
            <xdr:cNvSpPr txBox="1"/>
          </xdr:nvSpPr>
          <xdr:spPr>
            <a:xfrm>
              <a:off x="10972800" y="2141220"/>
              <a:ext cx="3871829" cy="353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𝑢(𝑈)=(𝑎%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𝑤𝑦𝑛𝑖𝑘</a:t>
              </a:r>
              <a:r>
                <a:rPr lang="pl-PL" sz="1100" b="0" i="0">
                  <a:solidFill>
                    <a:srgbClr val="080808"/>
                  </a:solidFill>
                  <a:latin typeface="Cambria Math" panose="02040503050406030204" pitchFamily="18" charset="0"/>
                </a:rPr>
                <a:t>+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𝑏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i="0">
                  <a:solidFill>
                    <a:srgbClr val="080808"/>
                  </a:solidFill>
                  <a:latin typeface="Cambria Math" panose="02040503050406030204" pitchFamily="18" charset="0"/>
                </a:rPr>
                <a:t>𝑟𝑜𝑧𝑑𝑧𝑖𝑒𝑙𝑐𝑧𝑜ść)/√3</a:t>
              </a:r>
              <a:r>
                <a:rPr lang="pl-PL" sz="1100" b="0" i="0">
                  <a:solidFill>
                    <a:srgbClr val="080808"/>
                  </a:solidFill>
                  <a:latin typeface="Cambria Math" panose="02040503050406030204" pitchFamily="18" charset="0"/>
                </a:rPr>
                <a:t>=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0,5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%⋅𝑤𝑦𝑛𝑖𝑘</a:t>
              </a:r>
              <a:r>
                <a:rPr lang="pl-PL" sz="1100" b="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</a:t>
              </a:r>
              <a:r>
                <a:rPr lang="pl-PL" sz="1100" b="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)/√</a:t>
              </a:r>
              <a:r>
                <a:rPr lang="pl-PL" sz="1100" i="0">
                  <a:solidFill>
                    <a:srgbClr val="080808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pl-PL" sz="1100" b="0" i="0">
                  <a:solidFill>
                    <a:srgbClr val="080808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𝑉</a:t>
              </a:r>
              <a:endParaRPr lang="pl-PL" sz="1100">
                <a:solidFill>
                  <a:srgbClr val="080808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15240</xdr:colOff>
      <xdr:row>23</xdr:row>
      <xdr:rowOff>106680</xdr:rowOff>
    </xdr:from>
    <xdr:ext cx="1204176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7A79AA13-478F-B5D4-0241-DA00734E8EA6}"/>
                </a:ext>
              </a:extLst>
            </xdr:cNvPr>
            <xdr:cNvSpPr txBox="1"/>
          </xdr:nvSpPr>
          <xdr:spPr>
            <a:xfrm>
              <a:off x="7078980" y="4373880"/>
              <a:ext cx="1204176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pl-PL" sz="11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pl-PL" sz="11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pl-PL" sz="11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pl-PL" sz="11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pl-PL" sz="1100">
                <a:solidFill>
                  <a:srgbClr val="000000"/>
                </a:solidFill>
              </a:endParaRPr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7A79AA13-478F-B5D4-0241-DA00734E8EA6}"/>
                </a:ext>
              </a:extLst>
            </xdr:cNvPr>
            <xdr:cNvSpPr txBox="1"/>
          </xdr:nvSpPr>
          <xdr:spPr>
            <a:xfrm>
              <a:off x="7078980" y="4373880"/>
              <a:ext cx="1204176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[𝑘]=(𝑇⋅𝑚)/𝐴⋅1/𝑚=𝑇/𝐴</a:t>
              </a:r>
              <a:endParaRPr lang="pl-PL" sz="1100">
                <a:solidFill>
                  <a:srgbClr val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45720</xdr:colOff>
      <xdr:row>20</xdr:row>
      <xdr:rowOff>15240</xdr:rowOff>
    </xdr:from>
    <xdr:ext cx="1465529" cy="473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AAF04F7D-7F60-B821-58E2-5174EF062F90}"/>
                </a:ext>
              </a:extLst>
            </xdr:cNvPr>
            <xdr:cNvSpPr txBox="1"/>
          </xdr:nvSpPr>
          <xdr:spPr>
            <a:xfrm>
              <a:off x="7109460" y="3733800"/>
              <a:ext cx="1465529" cy="473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𝐵</m:t>
                    </m:r>
                    <m:r>
                      <a:rPr lang="pl-PL" sz="11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sSub>
                      <m:sSub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l-PL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l-PL" sz="1100" i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num>
                              <m:den>
                                <m:r>
                                  <a:rPr lang="pl-PL" sz="1100" i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den>
                            </m:f>
                          </m:e>
                        </m:d>
                      </m:e>
                      <m:sup>
                        <m:f>
                          <m:fPr>
                            <m:ctrlPr>
                              <a:rPr lang="pl-PL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1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pl-PL" sz="11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  <m:sSub>
                      <m:sSub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l-PL" sz="11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f>
                      <m:f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  <m:sSub>
                      <m:sSubPr>
                        <m:ctrlP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lang="pl-PL" sz="1100">
                <a:solidFill>
                  <a:srgbClr val="000000"/>
                </a:solidFill>
              </a:endParaRPr>
            </a:p>
          </xdr:txBody>
        </xdr:sp>
      </mc:Choice>
      <mc:Fallback xmlns="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AAF04F7D-7F60-B821-58E2-5174EF062F90}"/>
                </a:ext>
              </a:extLst>
            </xdr:cNvPr>
            <xdr:cNvSpPr txBox="1"/>
          </xdr:nvSpPr>
          <xdr:spPr>
            <a:xfrm>
              <a:off x="7109460" y="3733800"/>
              <a:ext cx="1465529" cy="473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𝐵=𝑘𝐼_𝐻=(4/5)^(3/2) 𝜇_0  𝑁/𝑅 𝐼_𝐻</a:t>
              </a:r>
              <a:endParaRPr lang="pl-PL" sz="1100">
                <a:solidFill>
                  <a:srgbClr val="000000"/>
                </a:solidFill>
              </a:endParaRPr>
            </a:p>
          </xdr:txBody>
        </xdr:sp>
      </mc:Fallback>
    </mc:AlternateContent>
    <xdr:clientData/>
  </xdr:oneCellAnchor>
  <xdr:twoCellAnchor>
    <xdr:from>
      <xdr:col>25</xdr:col>
      <xdr:colOff>3534</xdr:colOff>
      <xdr:row>15</xdr:row>
      <xdr:rowOff>4569</xdr:rowOff>
    </xdr:from>
    <xdr:to>
      <xdr:col>32</xdr:col>
      <xdr:colOff>66169</xdr:colOff>
      <xdr:row>29</xdr:row>
      <xdr:rowOff>173772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A422FE2-639B-0CB1-8356-56814ED82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609791</xdr:colOff>
      <xdr:row>15</xdr:row>
      <xdr:rowOff>0</xdr:rowOff>
    </xdr:from>
    <xdr:to>
      <xdr:col>40</xdr:col>
      <xdr:colOff>198462</xdr:colOff>
      <xdr:row>29</xdr:row>
      <xdr:rowOff>165821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8534C723-065D-4AD1-BCE6-0E89C12EF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32</xdr:row>
      <xdr:rowOff>0</xdr:rowOff>
    </xdr:from>
    <xdr:to>
      <xdr:col>32</xdr:col>
      <xdr:colOff>62635</xdr:colOff>
      <xdr:row>47</xdr:row>
      <xdr:rowOff>37500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97D17541-1D93-444B-89EB-079F27B21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32</xdr:row>
      <xdr:rowOff>0</xdr:rowOff>
    </xdr:from>
    <xdr:to>
      <xdr:col>40</xdr:col>
      <xdr:colOff>200152</xdr:colOff>
      <xdr:row>47</xdr:row>
      <xdr:rowOff>34118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AC59A076-E240-4C51-956B-09EC127C3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49</xdr:col>
      <xdr:colOff>73631</xdr:colOff>
      <xdr:row>3</xdr:row>
      <xdr:rowOff>137844</xdr:rowOff>
    </xdr:from>
    <xdr:ext cx="104855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pole tekstowe 35">
              <a:extLst>
                <a:ext uri="{FF2B5EF4-FFF2-40B4-BE49-F238E27FC236}">
                  <a16:creationId xmlns:a16="http://schemas.microsoft.com/office/drawing/2014/main" id="{86994085-EF73-F4BA-355A-90EC4F1C5011}"/>
                </a:ext>
              </a:extLst>
            </xdr:cNvPr>
            <xdr:cNvSpPr txBox="1"/>
          </xdr:nvSpPr>
          <xdr:spPr>
            <a:xfrm>
              <a:off x="32060507" y="702923"/>
              <a:ext cx="10485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pl-PL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10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pl-PL" sz="1100" i="0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pl-PL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pl-PL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l-PL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36" name="pole tekstowe 35">
              <a:extLst>
                <a:ext uri="{FF2B5EF4-FFF2-40B4-BE49-F238E27FC236}">
                  <a16:creationId xmlns:a16="http://schemas.microsoft.com/office/drawing/2014/main" id="{86994085-EF73-F4BA-355A-90EC4F1C5011}"/>
                </a:ext>
              </a:extLst>
            </xdr:cNvPr>
            <xdr:cNvSpPr txBox="1"/>
          </xdr:nvSpPr>
          <xdr:spPr>
            <a:xfrm>
              <a:off x="32060507" y="702923"/>
              <a:ext cx="10485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pl-PL" sz="1100" i="0">
                  <a:latin typeface="Cambria Math" panose="02040503050406030204" pitchFamily="18" charset="0"/>
                </a:rPr>
                <a:t>=𝑎⋅𝑟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1100" i="0">
                  <a:latin typeface="Cambria Math" panose="02040503050406030204" pitchFamily="18" charset="0"/>
                </a:rPr>
                <a:t>2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sz="1100" i="0">
                  <a:latin typeface="Cambria Math" panose="02040503050406030204" pitchFamily="18" charset="0"/>
                </a:rPr>
                <a:t>𝐵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1100" i="0">
                  <a:latin typeface="Cambria Math" panose="02040503050406030204" pitchFamily="18" charset="0"/>
                </a:rPr>
                <a:t>2+𝑏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49</xdr:col>
      <xdr:colOff>39384</xdr:colOff>
      <xdr:row>12</xdr:row>
      <xdr:rowOff>26542</xdr:rowOff>
    </xdr:from>
    <xdr:ext cx="1069780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pole tekstowe 36">
              <a:extLst>
                <a:ext uri="{FF2B5EF4-FFF2-40B4-BE49-F238E27FC236}">
                  <a16:creationId xmlns:a16="http://schemas.microsoft.com/office/drawing/2014/main" id="{1C6DA39C-2CE9-96AD-6E43-067FF600D6F5}"/>
                </a:ext>
              </a:extLst>
            </xdr:cNvPr>
            <xdr:cNvSpPr txBox="1"/>
          </xdr:nvSpPr>
          <xdr:spPr>
            <a:xfrm>
              <a:off x="32026260" y="2261171"/>
              <a:ext cx="106978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>
                            <a:latin typeface="Cambria Math" panose="02040503050406030204" pitchFamily="18" charset="0"/>
                          </a:rPr>
                          <m:t>ⅇ</m:t>
                        </m:r>
                      </m:num>
                      <m:den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pl-PL" sz="1100" i="0">
                        <a:latin typeface="Cambria Math" panose="02040503050406030204" pitchFamily="18" charset="0"/>
                      </a:rPr>
                      <m:t>=2</m:t>
                    </m:r>
                    <m:f>
                      <m:f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sSup>
                          <m:sSupPr>
                            <m:ctrlPr>
                              <a:rPr lang="pl-PL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pl-PL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l-PL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pl-PL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pl-PL" sz="1100" b="0" i="0">
                        <a:latin typeface="Cambria Math" panose="02040503050406030204" pitchFamily="18" charset="0"/>
                      </a:rPr>
                      <m:t>=2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a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37" name="pole tekstowe 36">
              <a:extLst>
                <a:ext uri="{FF2B5EF4-FFF2-40B4-BE49-F238E27FC236}">
                  <a16:creationId xmlns:a16="http://schemas.microsoft.com/office/drawing/2014/main" id="{1C6DA39C-2CE9-96AD-6E43-067FF600D6F5}"/>
                </a:ext>
              </a:extLst>
            </xdr:cNvPr>
            <xdr:cNvSpPr txBox="1"/>
          </xdr:nvSpPr>
          <xdr:spPr>
            <a:xfrm>
              <a:off x="32026260" y="2261171"/>
              <a:ext cx="106978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latin typeface="Cambria Math" panose="02040503050406030204" pitchFamily="18" charset="0"/>
                </a:rPr>
                <a:t>ⅇ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sz="1100" i="0">
                  <a:latin typeface="Cambria Math" panose="02040503050406030204" pitchFamily="18" charset="0"/>
                </a:rPr>
                <a:t>𝑚=2</a:t>
              </a:r>
              <a:r>
                <a:rPr lang="pl-PL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𝑈/(</a:t>
              </a:r>
              <a:r>
                <a:rPr lang="pl-PL" sz="1100" i="0">
                  <a:latin typeface="Cambria Math" panose="02040503050406030204" pitchFamily="18" charset="0"/>
                </a:rPr>
                <a:t>𝐵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1100" i="0">
                  <a:latin typeface="Cambria Math" panose="02040503050406030204" pitchFamily="18" charset="0"/>
                </a:rPr>
                <a:t>2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sz="1100" i="0">
                  <a:latin typeface="Cambria Math" panose="02040503050406030204" pitchFamily="18" charset="0"/>
                </a:rPr>
                <a:t>𝑟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1100" i="0">
                  <a:latin typeface="Cambria Math" panose="02040503050406030204" pitchFamily="18" charset="0"/>
                </a:rPr>
                <a:t>2 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l-PL" sz="1100" b="0" i="0">
                  <a:latin typeface="Cambria Math" panose="02040503050406030204" pitchFamily="18" charset="0"/>
                </a:rPr>
                <a:t>=2a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49</xdr:col>
      <xdr:colOff>0</xdr:colOff>
      <xdr:row>8</xdr:row>
      <xdr:rowOff>0</xdr:rowOff>
    </xdr:from>
    <xdr:ext cx="80131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4A168F88-4CCF-4F4E-8C46-FB1400B561D9}"/>
                </a:ext>
              </a:extLst>
            </xdr:cNvPr>
            <xdr:cNvSpPr txBox="1"/>
          </xdr:nvSpPr>
          <xdr:spPr>
            <a:xfrm>
              <a:off x="31986876" y="1498315"/>
              <a:ext cx="80131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pl-PL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10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pl-PL" sz="1100" i="0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pl-PL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pl-PL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4A168F88-4CCF-4F4E-8C46-FB1400B561D9}"/>
                </a:ext>
              </a:extLst>
            </xdr:cNvPr>
            <xdr:cNvSpPr txBox="1"/>
          </xdr:nvSpPr>
          <xdr:spPr>
            <a:xfrm>
              <a:off x="31986876" y="1498315"/>
              <a:ext cx="80131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pl-PL" sz="1100" i="0">
                  <a:latin typeface="Cambria Math" panose="02040503050406030204" pitchFamily="18" charset="0"/>
                </a:rPr>
                <a:t>=𝑎⋅𝑟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1100" i="0">
                  <a:latin typeface="Cambria Math" panose="02040503050406030204" pitchFamily="18" charset="0"/>
                </a:rPr>
                <a:t>2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sz="1100" i="0">
                  <a:latin typeface="Cambria Math" panose="02040503050406030204" pitchFamily="18" charset="0"/>
                </a:rPr>
                <a:t>𝐵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1100" i="0">
                  <a:latin typeface="Cambria Math" panose="02040503050406030204" pitchFamily="18" charset="0"/>
                </a:rPr>
                <a:t>2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61</xdr:col>
      <xdr:colOff>86474</xdr:colOff>
      <xdr:row>3</xdr:row>
      <xdr:rowOff>69350</xdr:rowOff>
    </xdr:from>
    <xdr:ext cx="2274020" cy="658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2F2CD796-834C-D0B5-E1D2-DA4E66215B21}"/>
                </a:ext>
              </a:extLst>
            </xdr:cNvPr>
            <xdr:cNvSpPr txBox="1"/>
          </xdr:nvSpPr>
          <xdr:spPr>
            <a:xfrm>
              <a:off x="39582047" y="634429"/>
              <a:ext cx="227402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ⅇ</m:t>
                            </m:r>
                          </m:num>
                          <m:den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d>
                    <m:r>
                      <a:rPr lang="pl-PL" sz="110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f>
                                      <m:f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m:rPr>
                                            <m:sty m:val="p"/>
                                          </m:rPr>
                                          <a:rPr lang="pl-PL" sz="1100" b="0" i="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e</m:t>
                                        </m:r>
                                      </m:num>
                                      <m:den>
                                        <m: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den>
                                    </m:f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  <m:d>
                          <m:d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</m:d>
                  </m:oMath>
                </m:oMathPara>
              </a14:m>
              <a:endParaRPr lang="pl-PL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2F2CD796-834C-D0B5-E1D2-DA4E66215B21}"/>
                </a:ext>
              </a:extLst>
            </xdr:cNvPr>
            <xdr:cNvSpPr txBox="1"/>
          </xdr:nvSpPr>
          <xdr:spPr>
            <a:xfrm>
              <a:off x="39582047" y="634429"/>
              <a:ext cx="227402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𝑢(ⅇ/𝑚)=√(((∂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e/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𝑚)/∂𝑎⋅𝑢(𝑎))^2 )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|2⋅𝑢(𝑎)|</a:t>
              </a:r>
              <a:endParaRPr lang="pl-PL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48</xdr:col>
      <xdr:colOff>599327</xdr:colOff>
      <xdr:row>22</xdr:row>
      <xdr:rowOff>17122</xdr:rowOff>
    </xdr:from>
    <xdr:to>
      <xdr:col>59</xdr:col>
      <xdr:colOff>591500</xdr:colOff>
      <xdr:row>37</xdr:row>
      <xdr:rowOff>112247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1806127-3363-5F74-5FAF-A1C728929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978316" y="4118223"/>
          <a:ext cx="6892982" cy="28263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91440</xdr:colOff>
      <xdr:row>7</xdr:row>
      <xdr:rowOff>110490</xdr:rowOff>
    </xdr:from>
    <xdr:ext cx="4617610" cy="658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A16B1CC2-2E48-76A9-1E88-5AC7A7E9FBA2}"/>
                </a:ext>
              </a:extLst>
            </xdr:cNvPr>
            <xdr:cNvSpPr txBox="1"/>
          </xdr:nvSpPr>
          <xdr:spPr>
            <a:xfrm>
              <a:off x="15613380" y="1436370"/>
              <a:ext cx="461761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d>
                      <m:d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pl-PL" sz="110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𝜙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𝛾</m:t>
                                        </m:r>
                                      </m:e>
                                      <m:sub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𝛾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𝜙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𝛾</m:t>
                                        </m:r>
                                      </m:e>
                                      <m:sub>
                                        <m:r>
                                          <a:rPr lang="pl-PL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2⋅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l-PL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A16B1CC2-2E48-76A9-1E88-5AC7A7E9FBA2}"/>
                </a:ext>
              </a:extLst>
            </xdr:cNvPr>
            <xdr:cNvSpPr txBox="1"/>
          </xdr:nvSpPr>
          <xdr:spPr>
            <a:xfrm>
              <a:off x="15613380" y="1436370"/>
              <a:ext cx="461761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𝑢_𝑏 (𝜙)=√((∂𝜙/(∂𝛾_1 )⋅𝑢(𝛾))^2+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(𝜕𝜙/(𝜕𝛾_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⋅𝑢(𝛾))^2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√(2⋅(1/2⋅𝑢(𝛾))^2 )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√(1/2⋅(𝑢(𝛾))^2 )</a:t>
              </a:r>
              <a:endParaRPr lang="pl-PL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39</xdr:col>
      <xdr:colOff>91440</xdr:colOff>
      <xdr:row>7</xdr:row>
      <xdr:rowOff>110490</xdr:rowOff>
    </xdr:from>
    <xdr:ext cx="4617610" cy="658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BC1BDCD-A1DD-42DF-8AB4-BFB10ADF6EC4}"/>
                </a:ext>
              </a:extLst>
            </xdr:cNvPr>
            <xdr:cNvSpPr txBox="1"/>
          </xdr:nvSpPr>
          <xdr:spPr>
            <a:xfrm>
              <a:off x="15613380" y="1443990"/>
              <a:ext cx="461761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d>
                      <m:d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l-GR"/>
                          <m:t>δ</m:t>
                        </m:r>
                      </m:e>
                    </m:d>
                    <m:r>
                      <a:rPr lang="pl-PL" sz="110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l-GR"/>
                                      <m:t>δ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el-GR"/>
                                          <m:t>ε</m:t>
                                        </m:r>
                                      </m:e>
                                      <m:sub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/>
                                      <m:t>ε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l-GR"/>
                                      <m:t>δ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el-GR"/>
                                          <m:t>ε</m:t>
                                        </m:r>
                                      </m:e>
                                      <m:sub>
                                        <m:r>
                                          <a:rPr lang="pl-PL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/>
                                      <m:t>ε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2⋅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/>
                                      <m:t>ε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/>
                                      <m:t>ε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l-PL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BC1BDCD-A1DD-42DF-8AB4-BFB10ADF6EC4}"/>
                </a:ext>
              </a:extLst>
            </xdr:cNvPr>
            <xdr:cNvSpPr txBox="1"/>
          </xdr:nvSpPr>
          <xdr:spPr>
            <a:xfrm>
              <a:off x="15613380" y="1443990"/>
              <a:ext cx="461761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𝑢_𝑏 (</a:t>
              </a:r>
              <a:r>
                <a:rPr lang="el-GR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</a:t>
              </a:r>
              <a:r>
                <a:rPr lang="el-GR" i="0"/>
                <a:t>δ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)=√((∂</a:t>
              </a:r>
              <a:r>
                <a:rPr lang="el-GR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</a:t>
              </a:r>
              <a:r>
                <a:rPr lang="el-GR" i="0"/>
                <a:t>δ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/(∂</a:t>
              </a:r>
              <a:r>
                <a:rPr lang="el-GR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</a:t>
              </a:r>
              <a:r>
                <a:rPr lang="el-GR" i="0"/>
                <a:t>ε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_1 )⋅𝑢(</a:t>
              </a:r>
              <a:r>
                <a:rPr lang="el-GR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</a:t>
              </a:r>
              <a:r>
                <a:rPr lang="el-GR" i="0"/>
                <a:t>ε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))^2+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i="0"/>
                <a:t>δ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/(𝜕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i="0"/>
                <a:t>ε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⋅𝑢(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i="0"/>
                <a:t>ε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))^2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√(2⋅(1/2⋅𝑢(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i="0"/>
                <a:t>ε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))^2 )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√(1/2⋅(𝑢(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i="0"/>
                <a:t>ε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))^2 )</a:t>
              </a:r>
              <a:endParaRPr lang="pl-PL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52</xdr:col>
      <xdr:colOff>0</xdr:colOff>
      <xdr:row>3</xdr:row>
      <xdr:rowOff>0</xdr:rowOff>
    </xdr:from>
    <xdr:ext cx="8162171" cy="8835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86DBCE66-B615-4D61-812A-D9A0F1AF1560}"/>
                </a:ext>
              </a:extLst>
            </xdr:cNvPr>
            <xdr:cNvSpPr txBox="1"/>
          </xdr:nvSpPr>
          <xdr:spPr>
            <a:xfrm>
              <a:off x="40489188" y="571500"/>
              <a:ext cx="8162171" cy="8835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l-PL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n</m:t>
                        </m:r>
                      </m:e>
                    </m:d>
                    <m:r>
                      <a:rPr lang="pl-PL" sz="110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𝜙</m:t>
                                    </m:r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𝜙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l-PL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n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l-G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>
                                      <m:f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pl-PL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  <m:func>
                                      <m:func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  <m:r>
                                                  <a:rPr lang="pl-PL" sz="1100" i="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+</m:t>
                                                </m:r>
                                                <m: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𝛿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pl-PL" sz="1100" i="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2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  <m:func>
                                          <m:func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pl-PL" sz="110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sin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f>
                                                  <m:fPr>
                                                    <m:ctrlPr>
                                                      <a:rPr lang="pl-PL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fPr>
                                                  <m:num>
                                                    <m:r>
                                                      <a:rPr lang="pl-PL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𝜑</m:t>
                                                    </m:r>
                                                  </m:num>
                                                  <m:den>
                                                    <m:r>
                                                      <a:rPr lang="pl-PL" sz="1100" i="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2</m:t>
                                                    </m:r>
                                                  </m:den>
                                                </m:f>
                                              </m:e>
                                            </m:d>
                                          </m:e>
                                        </m:func>
                                      </m:e>
                                    </m:func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  <m:func>
                                      <m:func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  <m:r>
                                                  <a:rPr lang="pl-PL" sz="1100" i="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+</m:t>
                                                </m:r>
                                                <m: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𝛿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pl-PL" sz="1100" i="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2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  <m:func>
                                          <m:func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pl-PL" sz="110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cos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f>
                                                  <m:fPr>
                                                    <m:ctrlPr>
                                                      <a:rPr lang="pl-PL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fPr>
                                                  <m:num>
                                                    <m:r>
                                                      <a:rPr lang="pl-PL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𝜑</m:t>
                                                    </m:r>
                                                  </m:num>
                                                  <m:den>
                                                    <m:r>
                                                      <a:rPr lang="pl-PL" sz="1100" i="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2</m:t>
                                                    </m:r>
                                                  </m:den>
                                                </m:f>
                                              </m:e>
                                            </m:d>
                                          </m:e>
                                        </m:func>
                                      </m:e>
                                    </m:func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unc>
                                              <m:funcPr>
                                                <m:ctrlP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uncPr>
                                              <m:fName>
                                                <m:r>
                                                  <m:rPr>
                                                    <m:sty m:val="p"/>
                                                  </m:rPr>
                                                  <a:rPr lang="pl-PL" sz="1100" i="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sin</m:t>
                                                </m:r>
                                              </m:fName>
                                              <m:e>
                                                <m:d>
                                                  <m:dPr>
                                                    <m:ctrlPr>
                                                      <a:rPr lang="pl-PL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dPr>
                                                  <m:e>
                                                    <m:f>
                                                      <m:fPr>
                                                        <m:ctrlPr>
                                                          <a:rPr lang="pl-PL" sz="1100" i="1">
                                                            <a:solidFill>
                                                              <a:schemeClr val="tx1"/>
                                                            </a:solidFill>
                                                            <a:effectLst/>
                                                            <a:latin typeface="Cambria Math" panose="02040503050406030204" pitchFamily="18" charset="0"/>
                                                            <a:ea typeface="+mn-ea"/>
                                                            <a:cs typeface="+mn-cs"/>
                                                          </a:rPr>
                                                        </m:ctrlPr>
                                                      </m:fPr>
                                                      <m:num>
                                                        <m:r>
                                                          <a:rPr lang="pl-PL" sz="1100" i="1">
                                                            <a:solidFill>
                                                              <a:schemeClr val="tx1"/>
                                                            </a:solidFill>
                                                            <a:effectLst/>
                                                            <a:latin typeface="Cambria Math" panose="02040503050406030204" pitchFamily="18" charset="0"/>
                                                            <a:ea typeface="+mn-ea"/>
                                                            <a:cs typeface="+mn-cs"/>
                                                          </a:rPr>
                                                          <m:t>𝜑</m:t>
                                                        </m:r>
                                                      </m:num>
                                                      <m:den>
                                                        <m:r>
                                                          <a:rPr lang="pl-PL" sz="1100" i="0">
                                                            <a:solidFill>
                                                              <a:schemeClr val="tx1"/>
                                                            </a:solidFill>
                                                            <a:effectLst/>
                                                            <a:latin typeface="Cambria Math" panose="02040503050406030204" pitchFamily="18" charset="0"/>
                                                            <a:ea typeface="+mn-ea"/>
                                                            <a:cs typeface="+mn-cs"/>
                                                          </a:rPr>
                                                          <m:t>2</m:t>
                                                        </m:r>
                                                      </m:den>
                                                    </m:f>
                                                  </m:e>
                                                </m:d>
                                              </m:e>
                                            </m:func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𝜙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func>
                                      <m:func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pl-PL" sz="110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f>
                                              <m:fPr>
                                                <m:ctrlP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pl-PL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pl-PL" sz="1100" i="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2</m:t>
                                                </m:r>
                                              </m:den>
                                            </m:f>
                                          </m:e>
                                        </m:d>
                                      </m:e>
                                    </m:func>
                                  </m:den>
                                </m:f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f>
                                  <m:f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func>
                                  <m:func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pl-PL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pl-PL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𝜑</m:t>
                                            </m:r>
                                            <m:r>
                                              <a:rPr lang="pl-PL" sz="110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+</m:t>
                                            </m:r>
                                            <m:r>
                                              <a:rPr lang="pl-PL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𝛿</m:t>
                                            </m:r>
                                          </m:num>
                                          <m:den>
                                            <m:r>
                                              <a:rPr lang="pl-PL" sz="110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den>
                                        </m:f>
                                      </m:e>
                                    </m:d>
                                  </m:e>
                                </m:func>
                                <m:r>
                                  <a:rPr lang="pl-PL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pl-P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l-PL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86DBCE66-B615-4D61-812A-D9A0F1AF1560}"/>
                </a:ext>
              </a:extLst>
            </xdr:cNvPr>
            <xdr:cNvSpPr txBox="1"/>
          </xdr:nvSpPr>
          <xdr:spPr>
            <a:xfrm>
              <a:off x="40489188" y="571500"/>
              <a:ext cx="8162171" cy="8835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"n" )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=√((𝜕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𝑛/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𝜕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𝜙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⋅𝑢(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𝜙))^</a:t>
              </a:r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2+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/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⋅𝑢(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r>
                <a:rPr lang="pl-PL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√(((1/2  cos⁡〖((𝜑+𝛿)/2)  sin⁡(𝜑/2) 〗−1/2  sin⁡〖((𝜑+𝛿)/2)  cos⁡(𝜑/2) 〗)/(sin⁡(𝜑/2) )^2 ⋅𝑢(𝜙))^2+(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sin⁡(𝜑/2) ⋅1/2  cos⁡((𝜑+𝛿)/2)⋅𝑢(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endParaRPr lang="pl-PL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49</xdr:col>
      <xdr:colOff>76200</xdr:colOff>
      <xdr:row>5</xdr:row>
      <xdr:rowOff>95250</xdr:rowOff>
    </xdr:from>
    <xdr:ext cx="1067793" cy="5629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D063582E-4077-C403-AB98-E58259533E58}"/>
                </a:ext>
              </a:extLst>
            </xdr:cNvPr>
            <xdr:cNvSpPr txBox="1"/>
          </xdr:nvSpPr>
          <xdr:spPr>
            <a:xfrm>
              <a:off x="38671500" y="1047750"/>
              <a:ext cx="1067793" cy="5629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pl-PL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pl-PL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f>
                              <m:fPr>
                                <m:ctrlPr>
                                  <a:rPr lang="pl-PL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l-PL" sz="1100" i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l-PL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l-PL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l-PL" sz="1100" i="1">
                                    <a:latin typeface="Cambria Math" panose="02040503050406030204" pitchFamily="18" charset="0"/>
                                  </a:rPr>
                                  <m:t>𝜑</m:t>
                                </m:r>
                                <m:r>
                                  <a:rPr lang="pl-PL" sz="1100" i="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pl-PL" sz="1100" i="1">
                                    <a:latin typeface="Cambria Math" panose="02040503050406030204" pitchFamily="18" charset="0"/>
                                  </a:rPr>
                                  <m:t>𝛿</m:t>
                                </m:r>
                              </m:e>
                            </m:d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pl-PL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f>
                              <m:fPr>
                                <m:ctrlPr>
                                  <a:rPr lang="pl-PL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l-PL" sz="1100" i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l-PL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l-PL" sz="1100" i="1">
                                <a:latin typeface="Cambria Math" panose="02040503050406030204" pitchFamily="18" charset="0"/>
                              </a:rPr>
                              <m:t>𝜑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D063582E-4077-C403-AB98-E58259533E58}"/>
                </a:ext>
              </a:extLst>
            </xdr:cNvPr>
            <xdr:cNvSpPr txBox="1"/>
          </xdr:nvSpPr>
          <xdr:spPr>
            <a:xfrm>
              <a:off x="38671500" y="1047750"/>
              <a:ext cx="1067793" cy="5629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𝑛=sin⁡〖1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sz="1100" i="0">
                  <a:latin typeface="Cambria Math" panose="02040503050406030204" pitchFamily="18" charset="0"/>
                </a:rPr>
                <a:t>2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pl-PL" sz="1100" i="0">
                  <a:latin typeface="Cambria Math" panose="02040503050406030204" pitchFamily="18" charset="0"/>
                </a:rPr>
                <a:t>𝜑+𝛿)〗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sz="1100" i="0">
                  <a:latin typeface="Cambria Math" panose="02040503050406030204" pitchFamily="18" charset="0"/>
                </a:rPr>
                <a:t>sin⁡〖1</a:t>
              </a:r>
              <a:r>
                <a:rPr lang="pl-PL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sz="1100" i="0">
                  <a:latin typeface="Cambria Math" panose="02040503050406030204" pitchFamily="18" charset="0"/>
                </a:rPr>
                <a:t>2 𝜑〗 </a:t>
              </a:r>
              <a:endParaRPr lang="pl-PL" sz="1100"/>
            </a:p>
          </xdr:txBody>
        </xdr:sp>
      </mc:Fallback>
    </mc:AlternateContent>
    <xdr:clientData/>
  </xdr:oneCellAnchor>
  <xdr:twoCellAnchor editAs="oneCell">
    <xdr:from>
      <xdr:col>52</xdr:col>
      <xdr:colOff>189982</xdr:colOff>
      <xdr:row>8</xdr:row>
      <xdr:rowOff>166015</xdr:rowOff>
    </xdr:from>
    <xdr:to>
      <xdr:col>52</xdr:col>
      <xdr:colOff>933742</xdr:colOff>
      <xdr:row>11</xdr:row>
      <xdr:rowOff>145350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Pismo odręczne 12">
              <a:extLst>
                <a:ext uri="{FF2B5EF4-FFF2-40B4-BE49-F238E27FC236}">
                  <a16:creationId xmlns:a16="http://schemas.microsoft.com/office/drawing/2014/main" id="{FDB1FEF4-08C9-C915-7857-A312723D7AE0}"/>
                </a:ext>
              </a:extLst>
            </xdr14:cNvPr>
            <xdr14:cNvContentPartPr/>
          </xdr14:nvContentPartPr>
          <xdr14:nvPr macro=""/>
          <xdr14:xfrm>
            <a:off x="40679170" y="1682078"/>
            <a:ext cx="743760" cy="534960"/>
          </xdr14:xfrm>
        </xdr:contentPart>
      </mc:Choice>
      <mc:Fallback xmlns="">
        <xdr:pic>
          <xdr:nvPicPr>
            <xdr:cNvPr id="13" name="Pismo odręczne 12">
              <a:extLst>
                <a:ext uri="{FF2B5EF4-FFF2-40B4-BE49-F238E27FC236}">
                  <a16:creationId xmlns:a16="http://schemas.microsoft.com/office/drawing/2014/main" id="{FDB1FEF4-08C9-C915-7857-A312723D7A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551108" y="1784203"/>
              <a:ext cx="761400" cy="55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52</xdr:col>
      <xdr:colOff>1059889</xdr:colOff>
      <xdr:row>8</xdr:row>
      <xdr:rowOff>163495</xdr:rowOff>
    </xdr:from>
    <xdr:to>
      <xdr:col>52</xdr:col>
      <xdr:colOff>1177084</xdr:colOff>
      <xdr:row>10</xdr:row>
      <xdr:rowOff>54715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Pismo odręczne 13">
              <a:extLst>
                <a:ext uri="{FF2B5EF4-FFF2-40B4-BE49-F238E27FC236}">
                  <a16:creationId xmlns:a16="http://schemas.microsoft.com/office/drawing/2014/main" id="{EB2FA6EF-C74E-25F9-EF05-986F22520D9B}"/>
                </a:ext>
              </a:extLst>
            </xdr14:cNvPr>
            <xdr14:cNvContentPartPr/>
          </xdr14:nvContentPartPr>
          <xdr14:nvPr macro=""/>
          <xdr14:xfrm>
            <a:off x="41549077" y="1679558"/>
            <a:ext cx="126720" cy="264282"/>
          </xdr14:xfrm>
        </xdr:contentPart>
      </mc:Choice>
      <mc:Fallback xmlns="">
        <xdr:pic>
          <xdr:nvPicPr>
            <xdr:cNvPr id="14" name="Pismo odręczne 13">
              <a:extLst>
                <a:ext uri="{FF2B5EF4-FFF2-40B4-BE49-F238E27FC236}">
                  <a16:creationId xmlns:a16="http://schemas.microsoft.com/office/drawing/2014/main" id="{EB2FA6EF-C74E-25F9-EF05-986F22520D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354700" y="1782360"/>
              <a:ext cx="144360" cy="28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52</xdr:col>
      <xdr:colOff>134902</xdr:colOff>
      <xdr:row>7</xdr:row>
      <xdr:rowOff>132218</xdr:rowOff>
    </xdr:from>
    <xdr:to>
      <xdr:col>54</xdr:col>
      <xdr:colOff>319860</xdr:colOff>
      <xdr:row>12</xdr:row>
      <xdr:rowOff>41988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1" name="Pismo odręczne 30">
              <a:extLst>
                <a:ext uri="{FF2B5EF4-FFF2-40B4-BE49-F238E27FC236}">
                  <a16:creationId xmlns:a16="http://schemas.microsoft.com/office/drawing/2014/main" id="{1B1EEE88-2571-57AA-2D27-B77395978D26}"/>
                </a:ext>
              </a:extLst>
            </xdr14:cNvPr>
            <xdr14:cNvContentPartPr/>
          </xdr14:nvContentPartPr>
          <xdr14:nvPr macro=""/>
          <xdr14:xfrm>
            <a:off x="40624090" y="1465718"/>
            <a:ext cx="2018520" cy="830520"/>
          </xdr14:xfrm>
        </xdr:contentPart>
      </mc:Choice>
      <mc:Fallback xmlns="">
        <xdr:pic>
          <xdr:nvPicPr>
            <xdr:cNvPr id="31" name="Pismo odręczne 30">
              <a:extLst>
                <a:ext uri="{FF2B5EF4-FFF2-40B4-BE49-F238E27FC236}">
                  <a16:creationId xmlns:a16="http://schemas.microsoft.com/office/drawing/2014/main" id="{1B1EEE88-2571-57AA-2D27-B77395978D2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0496028" y="1568203"/>
              <a:ext cx="2036160" cy="84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55</xdr:col>
      <xdr:colOff>377543</xdr:colOff>
      <xdr:row>8</xdr:row>
      <xdr:rowOff>137215</xdr:rowOff>
    </xdr:from>
    <xdr:to>
      <xdr:col>55</xdr:col>
      <xdr:colOff>494903</xdr:colOff>
      <xdr:row>10</xdr:row>
      <xdr:rowOff>36355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5" name="Pismo odręczne 44">
              <a:extLst>
                <a:ext uri="{FF2B5EF4-FFF2-40B4-BE49-F238E27FC236}">
                  <a16:creationId xmlns:a16="http://schemas.microsoft.com/office/drawing/2014/main" id="{6C21D73D-ED98-02D2-0A88-F9AB40A8B254}"/>
                </a:ext>
              </a:extLst>
            </xdr14:cNvPr>
            <xdr14:cNvContentPartPr/>
          </xdr14:nvContentPartPr>
          <xdr14:nvPr macro=""/>
          <xdr14:xfrm>
            <a:off x="43311481" y="1653278"/>
            <a:ext cx="117360" cy="272202"/>
          </xdr14:xfrm>
        </xdr:contentPart>
      </mc:Choice>
      <mc:Fallback xmlns="">
        <xdr:pic>
          <xdr:nvPicPr>
            <xdr:cNvPr id="45" name="Pismo odręczne 44">
              <a:extLst>
                <a:ext uri="{FF2B5EF4-FFF2-40B4-BE49-F238E27FC236}">
                  <a16:creationId xmlns:a16="http://schemas.microsoft.com/office/drawing/2014/main" id="{6C21D73D-ED98-02D2-0A88-F9AB40A8B25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3112340" y="1755720"/>
              <a:ext cx="135000" cy="29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56</xdr:col>
      <xdr:colOff>438262</xdr:colOff>
      <xdr:row>8</xdr:row>
      <xdr:rowOff>105535</xdr:rowOff>
    </xdr:from>
    <xdr:to>
      <xdr:col>59</xdr:col>
      <xdr:colOff>415942</xdr:colOff>
      <xdr:row>12</xdr:row>
      <xdr:rowOff>24835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1" name="Pismo odręczne 60">
              <a:extLst>
                <a:ext uri="{FF2B5EF4-FFF2-40B4-BE49-F238E27FC236}">
                  <a16:creationId xmlns:a16="http://schemas.microsoft.com/office/drawing/2014/main" id="{1E250948-D31D-7A79-4C72-47A393497B81}"/>
                </a:ext>
              </a:extLst>
            </xdr14:cNvPr>
            <xdr14:cNvContentPartPr/>
          </xdr14:nvContentPartPr>
          <xdr14:nvPr macro=""/>
          <xdr14:xfrm>
            <a:off x="43983387" y="1621598"/>
            <a:ext cx="1811243" cy="657487"/>
          </xdr14:xfrm>
        </xdr:contentPart>
      </mc:Choice>
      <mc:Fallback xmlns="">
        <xdr:pic>
          <xdr:nvPicPr>
            <xdr:cNvPr id="61" name="Pismo odręczne 60">
              <a:extLst>
                <a:ext uri="{FF2B5EF4-FFF2-40B4-BE49-F238E27FC236}">
                  <a16:creationId xmlns:a16="http://schemas.microsoft.com/office/drawing/2014/main" id="{1E250948-D31D-7A79-4C72-47A393497B8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3782302" y="1724405"/>
              <a:ext cx="1824116" cy="676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52</xdr:col>
      <xdr:colOff>219622</xdr:colOff>
      <xdr:row>9</xdr:row>
      <xdr:rowOff>166357</xdr:rowOff>
    </xdr:from>
    <xdr:to>
      <xdr:col>56</xdr:col>
      <xdr:colOff>262582</xdr:colOff>
      <xdr:row>17</xdr:row>
      <xdr:rowOff>36295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1" name="Pismo odręczne 90">
              <a:extLst>
                <a:ext uri="{FF2B5EF4-FFF2-40B4-BE49-F238E27FC236}">
                  <a16:creationId xmlns:a16="http://schemas.microsoft.com/office/drawing/2014/main" id="{56FC0573-4F1E-229C-6E26-B772810C1852}"/>
                </a:ext>
              </a:extLst>
            </xdr14:cNvPr>
            <xdr14:cNvContentPartPr/>
          </xdr14:nvContentPartPr>
          <xdr14:nvPr macro=""/>
          <xdr14:xfrm>
            <a:off x="40708810" y="1872920"/>
            <a:ext cx="3098897" cy="1338375"/>
          </xdr14:xfrm>
        </xdr:contentPart>
      </mc:Choice>
      <mc:Fallback xmlns="">
        <xdr:pic>
          <xdr:nvPicPr>
            <xdr:cNvPr id="91" name="Pismo odręczne 90">
              <a:extLst>
                <a:ext uri="{FF2B5EF4-FFF2-40B4-BE49-F238E27FC236}">
                  <a16:creationId xmlns:a16="http://schemas.microsoft.com/office/drawing/2014/main" id="{56FC0573-4F1E-229C-6E26-B772810C185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515660" y="1976040"/>
              <a:ext cx="3108600" cy="135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55</xdr:col>
      <xdr:colOff>317858</xdr:colOff>
      <xdr:row>13</xdr:row>
      <xdr:rowOff>184102</xdr:rowOff>
    </xdr:from>
    <xdr:to>
      <xdr:col>55</xdr:col>
      <xdr:colOff>419018</xdr:colOff>
      <xdr:row>14</xdr:row>
      <xdr:rowOff>165322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2" name="Pismo odręczne 91">
              <a:extLst>
                <a:ext uri="{FF2B5EF4-FFF2-40B4-BE49-F238E27FC236}">
                  <a16:creationId xmlns:a16="http://schemas.microsoft.com/office/drawing/2014/main" id="{C2B4754D-76BC-7972-A566-8A13076CB51A}"/>
                </a:ext>
              </a:extLst>
            </xdr14:cNvPr>
            <xdr14:cNvContentPartPr/>
          </xdr14:nvContentPartPr>
          <xdr14:nvPr macro=""/>
          <xdr14:xfrm>
            <a:off x="43251796" y="2620915"/>
            <a:ext cx="101160" cy="171720"/>
          </xdr14:xfrm>
        </xdr:contentPart>
      </mc:Choice>
      <mc:Fallback xmlns="">
        <xdr:pic>
          <xdr:nvPicPr>
            <xdr:cNvPr id="92" name="Pismo odręczne 91">
              <a:extLst>
                <a:ext uri="{FF2B5EF4-FFF2-40B4-BE49-F238E27FC236}">
                  <a16:creationId xmlns:a16="http://schemas.microsoft.com/office/drawing/2014/main" id="{C2B4754D-76BC-7972-A566-8A13076CB51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3123733" y="2723040"/>
              <a:ext cx="11880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55</xdr:col>
      <xdr:colOff>352418</xdr:colOff>
      <xdr:row>15</xdr:row>
      <xdr:rowOff>110200</xdr:rowOff>
    </xdr:from>
    <xdr:to>
      <xdr:col>55</xdr:col>
      <xdr:colOff>494258</xdr:colOff>
      <xdr:row>16</xdr:row>
      <xdr:rowOff>78837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3" name="Pismo odręczne 92">
              <a:extLst>
                <a:ext uri="{FF2B5EF4-FFF2-40B4-BE49-F238E27FC236}">
                  <a16:creationId xmlns:a16="http://schemas.microsoft.com/office/drawing/2014/main" id="{E0604AC5-7315-45A2-CA61-37707FF5A985}"/>
                </a:ext>
              </a:extLst>
            </xdr14:cNvPr>
            <xdr14:cNvContentPartPr/>
          </xdr14:nvContentPartPr>
          <xdr14:nvPr macro=""/>
          <xdr14:xfrm>
            <a:off x="43286356" y="2920075"/>
            <a:ext cx="141840" cy="151200"/>
          </xdr14:xfrm>
        </xdr:contentPart>
      </mc:Choice>
      <mc:Fallback xmlns="">
        <xdr:pic>
          <xdr:nvPicPr>
            <xdr:cNvPr id="93" name="Pismo odręczne 92">
              <a:extLst>
                <a:ext uri="{FF2B5EF4-FFF2-40B4-BE49-F238E27FC236}">
                  <a16:creationId xmlns:a16="http://schemas.microsoft.com/office/drawing/2014/main" id="{E0604AC5-7315-45A2-CA61-37707FF5A98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3158653" y="3022560"/>
              <a:ext cx="15948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52</xdr:col>
      <xdr:colOff>1036047</xdr:colOff>
      <xdr:row>9</xdr:row>
      <xdr:rowOff>175992</xdr:rowOff>
    </xdr:from>
    <xdr:to>
      <xdr:col>53</xdr:col>
      <xdr:colOff>496592</xdr:colOff>
      <xdr:row>11</xdr:row>
      <xdr:rowOff>128027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2" name="Pismo odręczne 101">
              <a:extLst>
                <a:ext uri="{FF2B5EF4-FFF2-40B4-BE49-F238E27FC236}">
                  <a16:creationId xmlns:a16="http://schemas.microsoft.com/office/drawing/2014/main" id="{D4EA1BE0-20B6-9EAE-25CE-323EA9EE6861}"/>
                </a:ext>
              </a:extLst>
            </xdr14:cNvPr>
            <xdr14:cNvContentPartPr/>
          </xdr14:nvContentPartPr>
          <xdr14:nvPr macro=""/>
          <xdr14:xfrm>
            <a:off x="41525235" y="1882555"/>
            <a:ext cx="682920" cy="317160"/>
          </xdr14:xfrm>
        </xdr:contentPart>
      </mc:Choice>
      <mc:Fallback xmlns="">
        <xdr:pic>
          <xdr:nvPicPr>
            <xdr:cNvPr id="102" name="Pismo odręczne 101">
              <a:extLst>
                <a:ext uri="{FF2B5EF4-FFF2-40B4-BE49-F238E27FC236}">
                  <a16:creationId xmlns:a16="http://schemas.microsoft.com/office/drawing/2014/main" id="{D4EA1BE0-20B6-9EAE-25CE-323EA9EE686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1397173" y="1984680"/>
              <a:ext cx="700560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56</xdr:col>
      <xdr:colOff>399310</xdr:colOff>
      <xdr:row>13</xdr:row>
      <xdr:rowOff>78622</xdr:rowOff>
    </xdr:from>
    <xdr:to>
      <xdr:col>60</xdr:col>
      <xdr:colOff>8000</xdr:colOff>
      <xdr:row>17</xdr:row>
      <xdr:rowOff>142155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8" name="Pismo odręczne 117">
              <a:extLst>
                <a:ext uri="{FF2B5EF4-FFF2-40B4-BE49-F238E27FC236}">
                  <a16:creationId xmlns:a16="http://schemas.microsoft.com/office/drawing/2014/main" id="{6DA1FBC6-9CC4-C96E-65B4-02E4D1D6CACC}"/>
                </a:ext>
              </a:extLst>
            </xdr14:cNvPr>
            <xdr14:cNvContentPartPr/>
          </xdr14:nvContentPartPr>
          <xdr14:nvPr macro=""/>
          <xdr14:xfrm>
            <a:off x="43944435" y="2515435"/>
            <a:ext cx="2053440" cy="801720"/>
          </xdr14:xfrm>
        </xdr:contentPart>
      </mc:Choice>
      <mc:Fallback xmlns="">
        <xdr:pic>
          <xdr:nvPicPr>
            <xdr:cNvPr id="118" name="Pismo odręczne 117">
              <a:extLst>
                <a:ext uri="{FF2B5EF4-FFF2-40B4-BE49-F238E27FC236}">
                  <a16:creationId xmlns:a16="http://schemas.microsoft.com/office/drawing/2014/main" id="{6DA1FBC6-9CC4-C96E-65B4-02E4D1D6CAC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3816373" y="2617560"/>
              <a:ext cx="2071080" cy="819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73025</xdr:colOff>
      <xdr:row>18</xdr:row>
      <xdr:rowOff>123825</xdr:rowOff>
    </xdr:from>
    <xdr:to>
      <xdr:col>24</xdr:col>
      <xdr:colOff>200025</xdr:colOff>
      <xdr:row>33</xdr:row>
      <xdr:rowOff>98425</xdr:rowOff>
    </xdr:to>
    <xdr:graphicFrame macro="">
      <xdr:nvGraphicFramePr>
        <xdr:cNvPr id="6" name="Wykres 10">
          <a:extLst>
            <a:ext uri="{FF2B5EF4-FFF2-40B4-BE49-F238E27FC236}">
              <a16:creationId xmlns:a16="http://schemas.microsoft.com/office/drawing/2014/main" id="{857AAABC-D1BB-1A58-C66E-A017F0EAE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307975</xdr:colOff>
      <xdr:row>18</xdr:row>
      <xdr:rowOff>117475</xdr:rowOff>
    </xdr:from>
    <xdr:to>
      <xdr:col>32</xdr:col>
      <xdr:colOff>3175</xdr:colOff>
      <xdr:row>33</xdr:row>
      <xdr:rowOff>92075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D4323052-9C06-2150-861B-464144761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</xdr:colOff>
      <xdr:row>33</xdr:row>
      <xdr:rowOff>136525</xdr:rowOff>
    </xdr:from>
    <xdr:to>
      <xdr:col>24</xdr:col>
      <xdr:colOff>155575</xdr:colOff>
      <xdr:row>48</xdr:row>
      <xdr:rowOff>117475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CA3DCB8-ACB4-B651-DAC5-92E5DDCE0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365125</xdr:colOff>
      <xdr:row>33</xdr:row>
      <xdr:rowOff>136525</xdr:rowOff>
    </xdr:from>
    <xdr:to>
      <xdr:col>32</xdr:col>
      <xdr:colOff>60325</xdr:colOff>
      <xdr:row>48</xdr:row>
      <xdr:rowOff>117475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10E76A1E-C040-7AC6-51F4-EB03419A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41</xdr:col>
      <xdr:colOff>73025</xdr:colOff>
      <xdr:row>13</xdr:row>
      <xdr:rowOff>106045</xdr:rowOff>
    </xdr:from>
    <xdr:ext cx="917815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pole tekstowe 16">
              <a:extLst>
                <a:ext uri="{FF2B5EF4-FFF2-40B4-BE49-F238E27FC236}">
                  <a16:creationId xmlns:a16="http://schemas.microsoft.com/office/drawing/2014/main" id="{F2C72D66-547D-8A70-5DCB-F617D5341E2C}"/>
                </a:ext>
              </a:extLst>
            </xdr:cNvPr>
            <xdr:cNvSpPr txBox="1"/>
          </xdr:nvSpPr>
          <xdr:spPr>
            <a:xfrm>
              <a:off x="25752425" y="2567305"/>
              <a:ext cx="917815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sSub>
                          <m:sSub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7" name="pole tekstowe 16">
              <a:extLst>
                <a:ext uri="{FF2B5EF4-FFF2-40B4-BE49-F238E27FC236}">
                  <a16:creationId xmlns:a16="http://schemas.microsoft.com/office/drawing/2014/main" id="{F2C72D66-547D-8A70-5DCB-F617D5341E2C}"/>
                </a:ext>
              </a:extLst>
            </xdr:cNvPr>
            <xdr:cNvSpPr txBox="1"/>
          </xdr:nvSpPr>
          <xdr:spPr>
            <a:xfrm>
              <a:off x="25752425" y="2567305"/>
              <a:ext cx="917815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𝑈_𝐻=(𝐴𝑅_𝐻 𝐼)/𝑑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𝐼_𝑠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42</xdr:col>
      <xdr:colOff>501015</xdr:colOff>
      <xdr:row>13</xdr:row>
      <xdr:rowOff>107315</xdr:rowOff>
    </xdr:from>
    <xdr:ext cx="858440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pole tekstowe 17">
              <a:extLst>
                <a:ext uri="{FF2B5EF4-FFF2-40B4-BE49-F238E27FC236}">
                  <a16:creationId xmlns:a16="http://schemas.microsoft.com/office/drawing/2014/main" id="{2CCF301F-27B2-C918-D6F4-D0D6877E5537}"/>
                </a:ext>
              </a:extLst>
            </xdr:cNvPr>
            <xdr:cNvSpPr txBox="1"/>
          </xdr:nvSpPr>
          <xdr:spPr>
            <a:xfrm>
              <a:off x="26790015" y="2576195"/>
              <a:ext cx="858440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𝐴𝐼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8" name="pole tekstowe 17">
              <a:extLst>
                <a:ext uri="{FF2B5EF4-FFF2-40B4-BE49-F238E27FC236}">
                  <a16:creationId xmlns:a16="http://schemas.microsoft.com/office/drawing/2014/main" id="{2CCF301F-27B2-C918-D6F4-D0D6877E5537}"/>
                </a:ext>
              </a:extLst>
            </xdr:cNvPr>
            <xdr:cNvSpPr txBox="1"/>
          </xdr:nvSpPr>
          <xdr:spPr>
            <a:xfrm>
              <a:off x="26790015" y="2576195"/>
              <a:ext cx="858440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1/𝑅_𝐻 =𝐴𝐼/(𝑑𝑈_𝐻 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𝐼_𝑆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44</xdr:col>
      <xdr:colOff>267335</xdr:colOff>
      <xdr:row>13</xdr:row>
      <xdr:rowOff>92075</xdr:rowOff>
    </xdr:from>
    <xdr:ext cx="1534716" cy="349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pole tekstowe 18">
              <a:extLst>
                <a:ext uri="{FF2B5EF4-FFF2-40B4-BE49-F238E27FC236}">
                  <a16:creationId xmlns:a16="http://schemas.microsoft.com/office/drawing/2014/main" id="{40592D5D-BDE5-7CE4-BA4B-3FACEDA5A1F1}"/>
                </a:ext>
              </a:extLst>
            </xdr:cNvPr>
            <xdr:cNvSpPr txBox="1"/>
          </xdr:nvSpPr>
          <xdr:spPr>
            <a:xfrm>
              <a:off x="27775535" y="2560955"/>
              <a:ext cx="1534716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f>
                      <m:fPr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9" name="pole tekstowe 18">
              <a:extLst>
                <a:ext uri="{FF2B5EF4-FFF2-40B4-BE49-F238E27FC236}">
                  <a16:creationId xmlns:a16="http://schemas.microsoft.com/office/drawing/2014/main" id="{40592D5D-BDE5-7CE4-BA4B-3FACEDA5A1F1}"/>
                </a:ext>
              </a:extLst>
            </xdr:cNvPr>
            <xdr:cNvSpPr txBox="1"/>
          </xdr:nvSpPr>
          <xdr:spPr>
            <a:xfrm>
              <a:off x="27775535" y="2560955"/>
              <a:ext cx="1534716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𝑅_𝐻=𝑑/(𝐼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𝐴)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𝑈_𝐻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𝐼_𝑠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=𝑑/(𝐼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𝐴)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𝑎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49</xdr:col>
      <xdr:colOff>43815</xdr:colOff>
      <xdr:row>5</xdr:row>
      <xdr:rowOff>22225</xdr:rowOff>
    </xdr:from>
    <xdr:ext cx="2483565" cy="45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pole tekstowe 20">
              <a:extLst>
                <a:ext uri="{FF2B5EF4-FFF2-40B4-BE49-F238E27FC236}">
                  <a16:creationId xmlns:a16="http://schemas.microsoft.com/office/drawing/2014/main" id="{7A2CA338-1C74-698C-C0A2-7174B3D92FAD}"/>
                </a:ext>
              </a:extLst>
            </xdr:cNvPr>
            <xdr:cNvSpPr txBox="1"/>
          </xdr:nvSpPr>
          <xdr:spPr>
            <a:xfrm>
              <a:off x="30600015" y="974725"/>
              <a:ext cx="2483565" cy="45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</m:sub>
                        </m:sSub>
                      </m:e>
                    </m:d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num>
                          <m:den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den>
                        </m:f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𝑚𝑚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p>
                      <m:sSupPr>
                        <m:ctrlP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1" name="pole tekstowe 20">
              <a:extLst>
                <a:ext uri="{FF2B5EF4-FFF2-40B4-BE49-F238E27FC236}">
                  <a16:creationId xmlns:a16="http://schemas.microsoft.com/office/drawing/2014/main" id="{7A2CA338-1C74-698C-C0A2-7174B3D92FAD}"/>
                </a:ext>
              </a:extLst>
            </xdr:cNvPr>
            <xdr:cNvSpPr txBox="1"/>
          </xdr:nvSpPr>
          <xdr:spPr>
            <a:xfrm>
              <a:off x="30600015" y="974725"/>
              <a:ext cx="2483565" cy="45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[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𝑅_𝐻 ]</a:t>
              </a:r>
              <a:r>
                <a:rPr lang="pl-PL" sz="1100" b="0" i="0">
                  <a:latin typeface="Cambria Math" panose="02040503050406030204" pitchFamily="18" charset="0"/>
                </a:rPr>
                <a:t>=𝑚𝑚/(𝐴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𝑇/𝐴)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pl-PL" sz="1100" b="0" i="0">
                  <a:latin typeface="Cambria Math" panose="02040503050406030204" pitchFamily="18" charset="0"/>
                </a:rPr>
                <a:t>𝑉/𝐴=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𝑉)/(𝑇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𝐴)</a:t>
              </a:r>
              <a:r>
                <a:rPr lang="pl-PL" sz="1100" b="0" i="0">
                  <a:latin typeface="Cambria Math" panose="02040503050406030204" pitchFamily="18" charset="0"/>
                </a:rPr>
                <a:t>=(𝑚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𝑉)/(</a:t>
              </a:r>
              <a:r>
                <a:rPr lang="pl-PL" sz="1100" b="0" i="0">
                  <a:latin typeface="Cambria Math" panose="02040503050406030204" pitchFamily="18" charset="0"/>
                </a:rPr>
                <a:t>𝑇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10^(−3)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49</xdr:col>
      <xdr:colOff>140970</xdr:colOff>
      <xdr:row>2</xdr:row>
      <xdr:rowOff>115570</xdr:rowOff>
    </xdr:from>
    <xdr:ext cx="824841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pole tekstowe 21">
              <a:extLst>
                <a:ext uri="{FF2B5EF4-FFF2-40B4-BE49-F238E27FC236}">
                  <a16:creationId xmlns:a16="http://schemas.microsoft.com/office/drawing/2014/main" id="{6554EABE-BED1-428A-AF4E-BF49BBEF42CE}"/>
                </a:ext>
              </a:extLst>
            </xdr:cNvPr>
            <xdr:cNvSpPr txBox="1"/>
          </xdr:nvSpPr>
          <xdr:spPr>
            <a:xfrm>
              <a:off x="30697170" y="496570"/>
              <a:ext cx="824841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den>
                    </m:f>
                    <m:r>
                      <a:rPr lang="pl-PL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2" name="pole tekstowe 21">
              <a:extLst>
                <a:ext uri="{FF2B5EF4-FFF2-40B4-BE49-F238E27FC236}">
                  <a16:creationId xmlns:a16="http://schemas.microsoft.com/office/drawing/2014/main" id="{6554EABE-BED1-428A-AF4E-BF49BBEF42CE}"/>
                </a:ext>
              </a:extLst>
            </xdr:cNvPr>
            <xdr:cNvSpPr txBox="1"/>
          </xdr:nvSpPr>
          <xdr:spPr>
            <a:xfrm>
              <a:off x="30697170" y="496570"/>
              <a:ext cx="824841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𝑅_𝐻=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𝑑/(𝐼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𝐴)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58</xdr:col>
      <xdr:colOff>295275</xdr:colOff>
      <xdr:row>15</xdr:row>
      <xdr:rowOff>20955</xdr:rowOff>
    </xdr:from>
    <xdr:ext cx="1077539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01A306B5-8045-4272-3A6A-A44124FD56BA}"/>
                </a:ext>
              </a:extLst>
            </xdr:cNvPr>
            <xdr:cNvSpPr txBox="1"/>
          </xdr:nvSpPr>
          <xdr:spPr>
            <a:xfrm>
              <a:off x="36200715" y="2863215"/>
              <a:ext cx="1077539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𝑅h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</m:d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sSup>
                          <m:sSup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01A306B5-8045-4272-3A6A-A44124FD56BA}"/>
                </a:ext>
              </a:extLst>
            </xdr:cNvPr>
            <xdr:cNvSpPr txBox="1"/>
          </xdr:nvSpPr>
          <xdr:spPr>
            <a:xfrm>
              <a:off x="36200715" y="2863215"/>
              <a:ext cx="1077539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𝑅ℎ(𝐼)^′=−(𝑑∗𝑎)/(𝐴〖∗𝐼〗^2 )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55</xdr:col>
      <xdr:colOff>40005</xdr:colOff>
      <xdr:row>15</xdr:row>
      <xdr:rowOff>9525</xdr:rowOff>
    </xdr:from>
    <xdr:ext cx="907300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580CA5A3-6080-1A84-0231-6B396B01002B}"/>
                </a:ext>
              </a:extLst>
            </xdr:cNvPr>
            <xdr:cNvSpPr txBox="1"/>
          </xdr:nvSpPr>
          <xdr:spPr>
            <a:xfrm>
              <a:off x="34200465" y="2851785"/>
              <a:ext cx="907300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𝑅h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580CA5A3-6080-1A84-0231-6B396B01002B}"/>
                </a:ext>
              </a:extLst>
            </xdr:cNvPr>
            <xdr:cNvSpPr txBox="1"/>
          </xdr:nvSpPr>
          <xdr:spPr>
            <a:xfrm>
              <a:off x="34200465" y="2851785"/>
              <a:ext cx="907300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𝑅ℎ(𝑎)^′=𝑑/(𝐼∗𝐴)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56</xdr:col>
      <xdr:colOff>519430</xdr:colOff>
      <xdr:row>15</xdr:row>
      <xdr:rowOff>29210</xdr:rowOff>
    </xdr:from>
    <xdr:ext cx="911468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7EC6EC34-79EE-43E4-B977-D27E99AF20F2}"/>
                </a:ext>
              </a:extLst>
            </xdr:cNvPr>
            <xdr:cNvSpPr txBox="1"/>
          </xdr:nvSpPr>
          <xdr:spPr>
            <a:xfrm>
              <a:off x="35205670" y="2871470"/>
              <a:ext cx="91146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𝑅h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7EC6EC34-79EE-43E4-B977-D27E99AF20F2}"/>
                </a:ext>
              </a:extLst>
            </xdr:cNvPr>
            <xdr:cNvSpPr txBox="1"/>
          </xdr:nvSpPr>
          <xdr:spPr>
            <a:xfrm>
              <a:off x="35205670" y="2871470"/>
              <a:ext cx="91146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𝑅ℎ(𝑑)^′=𝑎/(𝐼∗𝐴)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68</xdr:col>
      <xdr:colOff>66675</xdr:colOff>
      <xdr:row>5</xdr:row>
      <xdr:rowOff>53975</xdr:rowOff>
    </xdr:from>
    <xdr:ext cx="444160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E580D1E0-A2AA-849B-59F7-E56E9EBCDDF5}"/>
                </a:ext>
              </a:extLst>
            </xdr:cNvPr>
            <xdr:cNvSpPr txBox="1"/>
          </xdr:nvSpPr>
          <xdr:spPr>
            <a:xfrm>
              <a:off x="42068115" y="1006475"/>
              <a:ext cx="444160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l-GR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pl-PL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𝐴𝐼</m:t>
                        </m:r>
                      </m:den>
                    </m:f>
                  </m:oMath>
                </m:oMathPara>
              </a14:m>
              <a:endParaRPr lang="pl-PL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E580D1E0-A2AA-849B-59F7-E56E9EBCDDF5}"/>
                </a:ext>
              </a:extLst>
            </xdr:cNvPr>
            <xdr:cNvSpPr txBox="1"/>
          </xdr:nvSpPr>
          <xdr:spPr>
            <a:xfrm>
              <a:off x="42068115" y="1006475"/>
              <a:ext cx="444160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i="0">
                  <a:latin typeface="Cambria Math" panose="02040503050406030204" pitchFamily="18" charset="0"/>
                  <a:ea typeface="Cambria Math" panose="02040503050406030204" pitchFamily="18" charset="0"/>
                </a:rPr>
                <a:t>"γ" _</a:t>
              </a:r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 "="  𝑎/𝐴𝐼</a:t>
              </a:r>
              <a:endParaRPr lang="pl-PL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168275</xdr:colOff>
      <xdr:row>10</xdr:row>
      <xdr:rowOff>168275</xdr:rowOff>
    </xdr:from>
    <xdr:ext cx="1209627" cy="3885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202B9251-79B8-E1D1-2056-C632AD14D288}"/>
                </a:ext>
              </a:extLst>
            </xdr:cNvPr>
            <xdr:cNvSpPr txBox="1"/>
          </xdr:nvSpPr>
          <xdr:spPr>
            <a:xfrm>
              <a:off x="37741225" y="2054225"/>
              <a:ext cx="1209627" cy="3885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𝐻𝑖</m:t>
                            </m:r>
                          </m:sub>
                        </m:sSub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l-PL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l-PL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𝐻𝑖</m:t>
                                </m:r>
                              </m:sub>
                            </m:s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l-PL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l-PL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202B9251-79B8-E1D1-2056-C632AD14D288}"/>
                </a:ext>
              </a:extLst>
            </xdr:cNvPr>
            <xdr:cNvSpPr txBox="1"/>
          </xdr:nvSpPr>
          <xdr:spPr>
            <a:xfrm>
              <a:off x="37741225" y="2054225"/>
              <a:ext cx="1209627" cy="3885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𝑅_𝐻𝑖 ) ̅=(∑24_(𝑖=1)^4▒〖𝑅_𝐻𝑖∗𝑤_𝑖 〗)/(∑24_(𝑖=1)^4▒𝑤_𝑖 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63</xdr:col>
      <xdr:colOff>542925</xdr:colOff>
      <xdr:row>10</xdr:row>
      <xdr:rowOff>174625</xdr:rowOff>
    </xdr:from>
    <xdr:ext cx="837922" cy="3480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pole tekstowe 7">
              <a:extLst>
                <a:ext uri="{FF2B5EF4-FFF2-40B4-BE49-F238E27FC236}">
                  <a16:creationId xmlns:a16="http://schemas.microsoft.com/office/drawing/2014/main" id="{8CD2A667-656B-1FE9-00BD-58282DC952A4}"/>
                </a:ext>
              </a:extLst>
            </xdr:cNvPr>
            <xdr:cNvSpPr txBox="1"/>
          </xdr:nvSpPr>
          <xdr:spPr>
            <a:xfrm>
              <a:off x="39335075" y="2060575"/>
              <a:ext cx="837922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𝐻𝑖</m:t>
                            </m:r>
                          </m:sub>
                        </m:s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8" name="pole tekstowe 7">
              <a:extLst>
                <a:ext uri="{FF2B5EF4-FFF2-40B4-BE49-F238E27FC236}">
                  <a16:creationId xmlns:a16="http://schemas.microsoft.com/office/drawing/2014/main" id="{8CD2A667-656B-1FE9-00BD-58282DC952A4}"/>
                </a:ext>
              </a:extLst>
            </xdr:cNvPr>
            <xdr:cNvSpPr txBox="1"/>
          </xdr:nvSpPr>
          <xdr:spPr>
            <a:xfrm>
              <a:off x="39335075" y="2060575"/>
              <a:ext cx="837922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𝑤_𝑖=1/(𝑢^2 (𝑅_𝐻𝑖))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62</xdr:col>
      <xdr:colOff>282575</xdr:colOff>
      <xdr:row>14</xdr:row>
      <xdr:rowOff>180975</xdr:rowOff>
    </xdr:from>
    <xdr:ext cx="1141082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8B6490CD-D1ED-BFC6-0726-6B85F0D3A323}"/>
                </a:ext>
              </a:extLst>
            </xdr:cNvPr>
            <xdr:cNvSpPr txBox="1"/>
          </xdr:nvSpPr>
          <xdr:spPr>
            <a:xfrm>
              <a:off x="38465125" y="2816225"/>
              <a:ext cx="114108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sub>
                            </m:sSub>
                          </m:e>
                        </m:acc>
                      </m:e>
                    </m:d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nary>
                              <m:naryPr>
                                <m:chr m:val="∑"/>
                                <m:ctrl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r>
                                  <m:rPr>
                                    <m:brk m:alnAt="23"/>
                                  </m:rP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pl-PL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den>
                        </m:f>
                      </m:e>
                    </m:rad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8B6490CD-D1ED-BFC6-0726-6B85F0D3A323}"/>
                </a:ext>
              </a:extLst>
            </xdr:cNvPr>
            <xdr:cNvSpPr txBox="1"/>
          </xdr:nvSpPr>
          <xdr:spPr>
            <a:xfrm>
              <a:off x="38465125" y="2816225"/>
              <a:ext cx="114108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𝑢((𝑅_𝐻 ) ̅ )=√(1/(∑24_(𝑖=1)^4▒𝑤_𝑖 ))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24</xdr:col>
      <xdr:colOff>289560</xdr:colOff>
      <xdr:row>3</xdr:row>
      <xdr:rowOff>133350</xdr:rowOff>
    </xdr:from>
    <xdr:ext cx="1854803" cy="3531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pole tekstowe 9">
              <a:extLst>
                <a:ext uri="{FF2B5EF4-FFF2-40B4-BE49-F238E27FC236}">
                  <a16:creationId xmlns:a16="http://schemas.microsoft.com/office/drawing/2014/main" id="{B9C4BA74-9F89-D1C2-3685-FD7637AF34ED}"/>
                </a:ext>
              </a:extLst>
            </xdr:cNvPr>
            <xdr:cNvSpPr txBox="1"/>
          </xdr:nvSpPr>
          <xdr:spPr>
            <a:xfrm>
              <a:off x="15392400" y="704850"/>
              <a:ext cx="1854803" cy="353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pl-PL" sz="110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0,5%⋅</m:t>
                        </m:r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𝑤𝑦𝑛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ⅈ</m:t>
                        </m:r>
                        <m:r>
                          <a:rPr lang="pl-PL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pl-PL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+3⋅0,1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l-PL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l-PL" sz="110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l-PL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0" name="pole tekstowe 9">
              <a:extLst>
                <a:ext uri="{FF2B5EF4-FFF2-40B4-BE49-F238E27FC236}">
                  <a16:creationId xmlns:a16="http://schemas.microsoft.com/office/drawing/2014/main" id="{B9C4BA74-9F89-D1C2-3685-FD7637AF34ED}"/>
                </a:ext>
              </a:extLst>
            </xdr:cNvPr>
            <xdr:cNvSpPr txBox="1"/>
          </xdr:nvSpPr>
          <xdr:spPr>
            <a:xfrm>
              <a:off x="15392400" y="704850"/>
              <a:ext cx="1854803" cy="353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𝑢(𝐼_𝑠 )=(0,5%⋅𝑤𝑦𝑛ⅈ𝑘+3⋅0,1)/√3</a:t>
              </a:r>
              <a:endParaRPr lang="pl-PL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91441</xdr:colOff>
      <xdr:row>14</xdr:row>
      <xdr:rowOff>7718</xdr:rowOff>
    </xdr:from>
    <xdr:to>
      <xdr:col>23</xdr:col>
      <xdr:colOff>480061</xdr:colOff>
      <xdr:row>20</xdr:row>
      <xdr:rowOff>188748</xdr:rowOff>
    </xdr:to>
    <xdr:pic>
      <xdr:nvPicPr>
        <xdr:cNvPr id="3" name="Obraz 1">
          <a:extLst>
            <a:ext uri="{FF2B5EF4-FFF2-40B4-BE49-F238E27FC236}">
              <a16:creationId xmlns:a16="http://schemas.microsoft.com/office/drawing/2014/main" id="{760DF276-6DE3-90BD-B19D-2B0883044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8641" y="2655668"/>
          <a:ext cx="10332720" cy="128593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41:27.4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566 400 0,'-3'-109'704,"3"108"-688,0 19 119,-3 45-64,2-38-10,1 44 0,3 10 99,-11 101 0,6-142-122,-10 120 57,1-19 46,9 214 0,5-274-100,-14 135-1,8-185-38,1-21 19,-1-14-19,-1-17-104,4-2-102,-1 4-242,7-42 1,-4 41-119</inkml:trace>
  <inkml:trace contextRef="#ctx0" brushRef="#br0" timeOffset="2874.67">1319 624 0,'1'-2'39,"0"0"1,-1 0-1,1 0 0,0 0 0,-1 0 1,1 0-1,-1 0 0,1 0 0,-1-1 1,0 1-1,0 0 0,0 0 0,0 0 1,-1 0-1,1 0 0,0 0 0,-1 0 1,1 0-1,-2-4 0,-2-10 88,-3-23-65,6 36-53,0 0 1,0 0-1,0 1 1,0-1-1,-1 0 1,1 0-1,-1 1 1,1-1-1,-1 1 1,0 0 0,0-1-1,0 1 1,-1 0-1,1 0 1,0 0-1,-1 0 1,1 1-1,-1-1 1,0 1-1,1 0 1,-1-1 0,0 1-1,0 0 1,0 1-1,0-1 1,-6 0-1,0 0-2,0 0-1,-1 1 1,1 0 0,-1 1-1,1 0 1,-15 4 0,-76 26 158,63-18-17,32-11-136,1 1-1,-1-1 1,1 1 0,0 1-1,0-1 1,0 0 0,0 1-1,1 0 1,0 0-1,-1 0 1,1 0 0,-4 9-1,3-7-4,0 0 0,0 0 0,-1 0 0,0 0-1,-8 6 1,0-3 1,1 1-1,0 0 1,1 0-1,0 1 1,1 1 0,0 0-1,1 0 1,0 1-1,-13 25 1,-56 142-11,74-170 4,0 0 1,1 0-1,-4 22 0,6-24-1,0-1 1,-1 1-1,1-1 1,-2 1-1,1-1 1,-1 0-1,0 0 1,-1 0-1,-7 12 1,10-19-2,-1 3 3,-1 0 0,1 0 0,-1 0 1,0-1-1,0 1 0,0-1 0,0 0 1,0 0-1,0 0 0,-1 0 0,1-1 0,-6 3 1,5-2-5,0 0 1,0 0 0,0 1 0,0-1-1,0 1 1,0 0 0,1 1 0,-1-1-1,1 1 1,-4 4 0,4-4 3,-1 1 1,0-1-1,-1 0 1,1 0 0,-1 0-1,-9 5 1,13-8-4,0-1 1,1 1 0,-1-1-1,0 1 1,0-1 0,0 0-1,0 1 1,0-1 0,0 0-1,0 0 1,0 1 0,0-1-1,0 0 1,0 0 0,0 0-1,0 0 1,0 0 0,0-1-1,0 1 1,0 0-1,0 0 1,0-1 0,-1 0-1,1 0 1,1 1 0,0-1 0,-1 0 0,1 1 0,0-1 0,0 0 0,-1 0 0,1 0 0,0 1 0,0-1 0,0 0 0,0 0 0,0 0 0,0 0 0,0 1 0,0-1 0,0 0 0,1 0 0,-1 0 0,0 1 0,0-1 0,1 0 0,-1 0 0,0 1 0,1-1 0,-1 0-1,1 1 1,0-2 0,9-12 1,1-1-1,0 2 0,1 0 0,20-18 0,-25 25 1,15-14-2,2 1 1,1 1-1,29-16 0,-17 12 2,-35 20-1,0 0 0,0 1 0,0-1 0,1 1 0,-1 0 0,0-1 0,1 1 0,-1 1 0,1-1 0,-1 0 0,1 0 0,0 1 0,-1 0 0,1-1 0,0 1 0,-1 0 0,1 0 0,0 1 0,-1-1 0,1 0 0,0 1 0,-1 0 0,1-1-1,-1 1 1,1 0 0,-1 1 0,1-1 0,-1 0 0,0 1 0,0-1 0,0 1 0,1-1 0,-1 1 0,2 3 0,17 17 10,-16-17-11,-1 0 0,1 0-1,0 0 1,0-1 0,1 0 0,6 5-1,-6-6 6,-1 1-1,1 1 0,-1-1 1,-1 1-1,1-1 0,0 1 1,-1 1-1,0-1 0,-1 1 1,1-1-1,-1 1 0,0 0 0,0 0 1,-1 0-1,0 1 0,2 6 1,2 14 25,0 0 1,1 41-1,-6-65-27,2 45 58,-3-28-41,2 0 0,0 0 0,9 32 0,8 26 9,-18-76-25,0 0-3,0-1 1,0 1-1,0 0 1,0 0-1,0-1 1,-1 1-1,1 0 1,-1 0 0,1 0-1,-1 0 1,1 3-1,6 25 10,-4-22-12,0-1 0,0 0 0,1 0 0,0 0 0,0-1 0,0 1 0,1-1 0,0 0 0,0-1 0,1 1 0,8 6 0,-7-7 3,1 0 1,0 0 0,0-1-1,0 0 1,0 0-1,1-1 1,0 0 0,-1-1-1,1 0 1,0 0-1,0-1 1,0 0 0,0-1-1,11 0 1,-11 0-13,-3 1 35,0-1 1,0-1 0,1 1 0,-1-1-1,0 0 1,7-2 0,-10 2 3,0-1 1,0 1-1,-1-1 0,1 0 1,0 0-1,-1 0 1,1-1-1,-1 1 0,0 0 1,0-1-1,0 0 1,0 1-1,0-1 1,1-3-1,51-70 272,-42 61-558,0-1 0,0-1-1,-2 0 1,0 0 0,9-23-1,-15 34-387,-2 6 48</inkml:trace>
  <inkml:trace contextRef="#ctx0" brushRef="#br0" timeOffset="7723.98">461 52 0,'6'5'1729,"-15"-19"2083,5 9-2876,0 0-1,0 0 1,-1 1 0,0 0 0,-6-5 0,-1 3 1027,7 4-3506</inkml:trace>
  <inkml:trace contextRef="#ctx0" brushRef="#br0" timeOffset="10250.59">460 5 0,'6'6'423,"-6"-6"-399,1 0-1,-1 1 1,0-1-1,0 0 0,1 1 1,-1-1-1,0 0 1,1 1-1,-1-1 1,0 0-1,1 1 0,-1-1 1,0 0-1,1 0 1,12-10 11526,-13 9-11283,-14-3 3551,-29 4-2930,38 1-872,-20-1 310,-1 2 0,1 1 1,0 1-1,1 0 0,-49 18 0,32-2-241,17-7 14,-38 13 0,62-26-95,0 0 1,-1-1 0,1 1 0,-1 0-1,1 0 1,0-1 0,-1 1 0,1 0 0,0-1-1,-1 1 1,1 0 0,0-1 0,0 1 0,-1-1-1,1 1 1,0 0 0,0-1 0,0 1-1,-1-1 1,1 1 0,0-1 0,0 1 0,0-1-1,0 1 1,0-1 0,0 1 0,0 0-1,0-1 1,0 0 0,0-2 28,1 17-37,1 35-4,0-29 1,-1 0 1,-2 20 0,-31 178 25,-3 38-11,34 10 23,2-42-25,-26 220 5,21-369-30,10 118 1,1 8 47,2-119-45,-9-81 33,1-5-18,0 1 0,0 0 1,0 0-1,0 0 0,0 0 0,1 0 1,-1 0-1,1 0 0,0 1 0,0-1 0,0 0 1,3-3-1,0 3-1,0 0 0,0-1 1,1 1-1,-1 1 0,1-1 0,0 1 1,9-2-1,17-6 11,55-9 1,-73 17-9,0 1 0,0 0 0,0 1 0,-1 0 0,1 1 1,0 1-1,22 5 0,-23-3-1,-1-1 0,0 0 0,1-1 0,0 0 0,-1-1 0,1 0 0,0-1 0,0-1 0,-1 0 0,1-1 0,0 0 0,-1 0 0,1-2 0,21-8 0,-22 7 6,48-18 7,-57 22-13,0 0 0,0 1-1,0-1 1,0 1 0,0-1-1,1 1 1,-1 0 0,0 0 0,0 0-1,0 1 1,0-1 0,0 1 0,1-1-1,-1 1 1,0 0 0,3 2 0,-6-3-31,0 0 0,0 0 0,0 0 0,0 0 0,0 0 0,1 0 0,-1 0 0,0 0 0,0 0 0,0 0 0,0 0 0,0 0 0,1 0 0,-1 0 1,0 0-1,0 0 0,0 0 0,0 0 0,0 0 0,0 0 0,1 0 0,-1 0 0,0 0 0,0 0 0,0 1 0,0-1 0,0 0 0,0 0 0,0 0 1,0 0-1,1 0 0,-1 0 0,0 1 0,0-1 0,0 0 0,0 0 0,0 0 0,0 0 0,0 0 0,0 0 0,0 1 0,0-1 0,0 0 0,0 0 1,0 0-1,0 0 0,0 0 0,0 1 0,0-1 0,0 0 0,0 0 0,0 0 0,0 0 0,0 0 0,-1 1 0,1-1 0,0 0 0,0 0 0,0 0 0,0 0 1,0 0-1</inkml:trace>
  <inkml:trace contextRef="#ctx0" brushRef="#br0" timeOffset="12106.23">1512 43 0,'-8'-2'-1415,"-11"-1"5562,9 1 1845,23 4-2148,66 13-2324,-55-10-1045,0 0 0,0-1 0,39 0 1,-19-7 269,74-15 1,-81 10-200,0 3 1,0 1-1,40 0 1,-55 7-295,-21-3-245,-1 0-1,0 0 1,1 0 0,-1 0 0,0 0-1,1 0 1,-1 0 0,0 0-1,0 0 1,1 0 0,-1 1 0,0-1-1,1 0 1,-1 0 0,0 0-1,0 0 1,1 0 0,-1 1 0,0-1-1,0 0 1,0 0 0,1 1-1,-1-1 1,0 0 0,0 0 0,0 1-1,0-1 1,1 0 0,-1 0-1,0 1 1,0-1 0,0 0 0,0 1-1,0-1 1,0 0 0,0 1-1,0-1 1,0 0 0,0 0-1,0 1 1,0-1 0,0 0 0,0 1-1,0-1 1,0 0 0,0 1-1,0-1 1,-1 0 0,1 1 0,-4 8-6,1-1 0,0 1 1,0 0-1,1 1 0,1-1 0,-1 0 1,1 1-1,1 14 0,-1-8 4,-37 432-23,28-170 3,6-88 9,0-79 3,-28 333-43,-1 23-184,26-336 252,7-130-52,-1-1 12,-7-10-33,-14-14 119,10 19-75,-1 1 0,0 0 0,0 1 0,-15-2 0,14 2 3,0 1 7,0 0-1,1 1 1,-1 1-1,0 0 1,0 1-1,1 0 1,-1 1-1,-26 7 1,9 1 23,0 3 1,-36 19 0,-9 4-11,68-32-19,-1-1 0,1-1-1,-1 1 1,0-1 0,0-1 0,0 0 0,0 0-1,0 0 1,0-1 0,0-1 0,0 0 0,0 0-1,0 0 1,-12-5 0,21 6-30,0 1 1,0-1-1,0 0 0,0 0 1,-1 0-1,1 0 0,0 0 1,0 0-1,0 0 0,0 0 1,-1 0-1,1 0 0,0 0 1,0 0-1,0 0 0,0 0 1,0-1-1,-1 1 0,1 0 1,0 0-1,0 0 0,0 0 1,0 0-1,0 0 0,-1 0 1,1 0-1,0 0 0,0-1 1,0 1-1,0 0 0,0 0 1,0 0-1,0 0 0,-1 0 1,1-1-1,0 1 0,0 0 1,0 0-1,0 0 0,0 0 1,0-1-1,0 1 0,0 0 1,0 0-1,0 0 0,0 0 0,0-1 1,0 1-1,0 0 0,0 0 1,0 0-1,0 0 0,0-1 1,27-12-17379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42:03.1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28 0,'-3'2'151,"0"-1"0,1 1 0,-1-1 0,0 1 0,1 0 0,0 0 0,-5 4 550,15-18 124,5 4 5666,5 3-5590,1 1 0,0 0 0,24 0 1,6-2-580,-27 4-83,-1 1 0,1 1-1,32 4 1,-27-1 133,43-2 0,14-3 426,137 17 0,-83-3-541,-87-8-199,-1 0 51,1-2-1,96-8 1,-74 1-45,-49 5-25,47-8 1,-46 5-33,0 1 1,-1 1 0,1 1-1,37 5 1,-27-2-8,41-2 0,-39-3 12,0 1-1,0 2 1,0 2-1,49 9 1,-79-11-10,0 0 1,0 0-1,-1-1 1,14-1-1,23 1 26,89 14-39,-93-10-1,74-1 0,-25-3 71,-79 1-66,21 1 18,-1-1 0,1-2 0,-1-1 1,49-8-1,-39 3 32,0 2 1,80 1-1,-8 0-25,90 1 114,-109 5-84,20 1-18,-54-1 62,107-7-1,-146 4-70,0 0 0,1 2 0,35 6-1,12 0 114,20-3 68,163 1 302,-196-6-388,-33 2-35,0-1 0,0-2 0,0 0-1,21-5 1,-25 4-54,1 0 0,-1 1-1,1 2 1,22 0-1,28-1 28,-12-5-41,-34 2-3,0 2 0,1 1 0,40 2 1,-6 3-2,-39-4-6,-1 1 0,1 1 0,-1 1 1,28 7-1,-22-4-8,-1-1 0,1-1 1,0-1-1,35 0 0,-17-1-6,10 7 58,-40-7-34,1 1 0,0-1 0,14 0 0,12 1 29,-29-2 4,0 0 0,-1-1 0,1 0 0,0 0-1,16-3 1,3-3 641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42:54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482 151 0,'-18'-12'314,"-1"-2"467,19 13-767,0 1 0,-1-1 0,1 0 0,0 1 0,0-1 0,0 0 0,-1 0 0,1 1 0,0-1 0,0 0 0,0 0 0,0 1 0,1-1 0,-1 0 0,0 1 0,0-1 0,0 0 0,0 0 0,1 1 0,-1-1 0,0 0 0,1 1 0,-1-1 0,1 0 0,-1 1 0,0-1 0,1 1 0,-1-1 0,1 1 0,0-1 0,0 0 0,27-31 12,-21 23-24,1 1-1,0 0 1,0 0 0,15-10 0,-21 16 3,1 0 1,-1 0-1,1 0 1,0 1-1,-1-1 1,1 1-1,0-1 1,0 1-1,0 0 1,0 0-1,0 0 1,1 1-1,-1-1 1,0 1-1,0-1 1,0 1-1,5 1 1,-4 0 14,0 0-1,0 1 1,-1-1 0,1 1-1,0 0 1,-1 0 0,1 0-1,-1 1 1,0-1 0,0 1-1,0 0 1,0 0 0,3 4-1,-4-4-8,1 0 0,-1 0 0,1 0-1,0 0 1,0 0 0,1-1 0,-1 0-1,0 1 1,1-1 0,-1 0 0,1-1-1,0 1 1,-1-1 0,1 1 0,0-1-1,0 0 1,0-1 0,0 1 0,0-1 0,0 1-1,0-1 1,0 0 0,0-1 0,0 1-1,0-1 1,0 0 0,0 0 0,0 0-1,0 0 1,6-3 0,10-9 45,-13 8-31,-1 1 1,1 0-1,0 0 0,0 0 1,0 1-1,0 0 0,1 1 1,-1 0-1,10-2 0,-16 4 143,0 0 1,-1 0-1,1 0 0,0 0 1,0 1-1,-1-1 0,1 0 0,0 0 1,-1 1-1,1-1 0,0 0 1,-1 1-1,1-1 0,-1 1 0,1-1 1,-1 1-1,1-1 0,0 1 0,-1-1 1,0 1-1,1 0 0,-1-1 1,1 1-1,-1 0 0,0-1 0,1 1 1,-1 0-1,0-1 0,0 1 0,0 0 1,0 0-1,1 0 0,1 34 683,-2-22-715,0 7 37,-1-1-1,-3 26 0,2-37-135,0 1 0,0-1 0,0 0 1,-1 0-1,0 0 0,-1 0 0,0 0 0,-9 13 0,-1-5 9,0 0-1,-28 21 1,-10 12-84,50-48 34,1 1-1,0-1 1,-1 0 0,1 1-1,-1-1 1,1 0 0,-1 0-1,0 0 1,1 0 0,-1 0-1,-2 0 1,3-1 3,1 0 0,-1 1 0,1-1-1,0 0 1,-1 0 0,1 0 0,-1 0 0,1 0 0,0 0 0,-1 0-1,1 0 1,0-1 0,-1 1 0,1 0 0,-1 0 0,1 0 0,0 0-1,-1 0 1,1-1 0,0 1 0,-1 0 0,1 0 0,0-1 0,-1 1-1,1 0 1,0 0 0,0-1 0,-1 1 0,1 0 0,0-1 0,0 1-1,0 0 1,-1-1 0,1-2-1,0 1 0,0-1 0,1 1 1,-1-1-1,1 1 0,-1-1 0,1 1 0,0 0 0,0-1 0,0 1 0,0 0 0,0 0 0,0 0 0,0 0 1,1 0-1,-1 0 0,1 0 0,0 0 0,0 0 0,3-2 0,38-34 65,-37 33-5,1 0-1,1 1 1,-1 1 0,1-1-1,-1 1 1,1 0 0,0 1-1,0 0 1,0 0 0,1 0-1,13 1 1,-3-2 122,12-1 43,-1-1-1,0-1 1,-1-2 0,0-1 0,41-19-1,-45 16 96,-2 0-4777</inkml:trace>
  <inkml:trace contextRef="#ctx0" brushRef="#br0" timeOffset="1341.48">0 483 0,'2'-3'179,"9"4"218,27 7 205,-5 1-512,0-3 0,62 5 0,1-6 73,-55-1 12,0-2 1,0-2-1,0-2 0,54-9 0,-57 6 1170,-1 1 0,1 2 0,0 1 0,0 2-1,58 9 1,-38-3-1728,-32-7 593,0-1-1,-1 0 1,1-2 0,0-1 0,30-9-1,-22 5 40,68-6 0,-78 15-194,-19-1-39,0 1-1,-1-1 1,1 0-1,0 0 1,0 0-1,-1-1 1,1 1-1,0-1 1,-1 0-1,6-2 1,-9 1-36,-1 2-99</inkml:trace>
  <inkml:trace contextRef="#ctx0" brushRef="#br0" timeOffset="4645.51">25 952 0,'-12'-6'277,"12"6"-261,-1 0-1,1 0 1,-1 0-1,1-1 1,-1 1 0,1 0-1,-1 0 1,1 0 0,-1-1-1,1 1 1,0 0-1,-1 0 1,1-1 0,-1 1-1,1 0 1,0-1 0,-1 1-1,1 0 1,0-1 0,-1 1-1,1-1 1,0 1-1,-1-1 1,1 1 0,0-1-1,0 1 1,0 0 0,-1-1-1,1 1 1,0-1-1,0 0 1,0 1 0,0-1-1,0 1 1,0-1 0,0 1-1,0-1 1,0 1 0,0-1-1,0 1 1,1-1-1,-1 1 1,0-1 0,0 1-1,0-1 1,1 1 0,-1 0-1,0-1 1,1 1-1,-1-1 1,0 1 0,1 0-1,-1-1 1,0 1 0,1-1-1,9-15 28,0 1 0,0 0 1,25-26-1,8-10 22,-42 49-64,1 0 1,-1 0 0,1 0-1,0 0 1,-1 0-1,1 1 1,0-1 0,0 0-1,0 1 1,0 0 0,1-1-1,-1 1 1,0 0 0,1 0-1,-1 0 1,3 0 0,-4 1-2,0 0 1,-1 0 0,1 0 0,0 0 0,0 0-1,-1 0 1,1 1 0,0-1 0,-1 0 0,1 0-1,0 1 1,-1-1 0,1 0 0,0 1 0,-1-1-1,1 1 1,-1-1 0,1 1 0,-1-1-1,1 1 1,0 0 0,0 1 0,0 0 1,0 1-1,0-1 0,0 0 1,0 1-1,0-1 0,-1 0 1,1 1-1,-1 2 0,1 16 12,-1-1 0,-1 1-1,0-1 1,-2 1 0,-5 19-1,0 5 23,10-42-17,3-10-12,6-10-5,-7 7 0,38-75 4,-37 77-5,0-1 1,1 1-1,0 0 0,1 0 1,0 1-1,0-1 0,10-6 0,-17 14 0,1-1 0,-1 1 0,1-1 0,-1 1 0,1-1 0,-1 1 0,1 0 0,0-1 0,-1 1 0,1 0 0,-1-1 0,1 1 0,0 0 0,-1 0 0,1 0 0,0 0 0,0 0 0,-1 0 0,1 0 0,0 0 0,-1 0 0,1 0 0,0 0 0,-1 0 0,1 0 0,0 0 0,-1 1-1,1-1 1,0 0 0,-1 0 0,1 1 0,0-1 0,0 1 0,1 1 0,-1 0 0,0 0-1,0 0 1,0 0-1,0 0 1,0 0 0,-1 0-1,1 0 1,0 0 0,-1 0-1,1 3 1,0 7-1,0 0 1,-1 0 0,-1 14 0,-14 47 14,18-85-13,0 0 1,1 1-1,0 0 0,1-1 0,0 1 0,9-12 0,-1-1-1,-12 22 0,0 0 0,0 0-1,0 1 1,0-1 0,1 0-1,-1 1 1,0-1-1,1 1 1,-1-1 0,1 1-1,2-2 1,-3 2 0,-1 1 0,1 0 0,-1 0 0,1 0-1,-1 0 1,1 0 0,-1 0 0,1 0 0,0 0 0,-1 0 0,1 0 0,-1 0 0,1 0 0,-1 0-1,1 0 1,-1 0 0,1 1 0,-1-1 0,0 0 0,1 0 0,-1 0 0,1 1 0,-1-1-1,1 0 1,-1 1 0,0-1 0,1 0 0,0 1 0,2 4 0,0 0 0,-1 0 0,1 0 0,-1 1 0,0-1 1,2 9-1,4 17 4,6 22 11,-13-50-9,0 1-1,1-1 0,-1 0 0,1 0 1,-1 0-1,1 0 0,0 0 0,0 0 1,1 0-1,-1-1 0,4 4 0,-5-5-2,0-1-1,0 1 1,0-1-1,-1 1 1,1-1-1,0 1 1,0-1-1,0 0 1,0 0-1,0 1 1,0-1-1,0 0 1,0 0-1,0 0 1,0 0-1,0 0 1,-1 0-1,1 0 1,0 0-1,0-1 1,0 1-1,0 0 1,0-1-1,0 1 1,1-1 0,0 0 0,1-1 0,-1 0 0,0 0 1,0 0-1,0 0 0,0 0 1,0 0-1,2-4 0,2-5-18,0 1-1,8-23 0,-7 13-106,-5 13-29,0-1 0,1 1 0,0 0 1,0 0-1,1 1 0,-1-1 0,10-10 0,-10 15-185,-2 6 269</inkml:trace>
  <inkml:trace contextRef="#ctx0" brushRef="#br0" timeOffset="5076.59">630 753 0,'-8'8'165,"0"1"0,1 0 0,0 1 0,1-1-1,-10 20 1,14-25-148,1 0-1,0 0 0,0 0 0,0 0 0,0 1 0,1-1 0,0 0 1,0 0-1,0 1 0,0-1 0,1 0 0,-1 0 0,1 0 0,0 0 1,0 0-1,1 0 0,-1 0 0,1 0 0,4 7 0,-5-10-14,-1 1-1,1-1 1,0 0-1,0 1 1,0-1-1,0 0 1,0 0-1,0 0 1,0 0-1,0 0 1,0 0-1,0 0 1,1 0-1,-1 0 1,1 0-1,-1-1 1,0 1-1,1 0 1,-1-1-1,1 1 1,-1-1-1,1 0 1,-1 1-1,3-1 0,-1-1 0,0 1 0,-1-1 0,1 1 0,-1-1 0,1 0 0,-1 0 0,1-1 0,-1 1 0,0 0 0,1-1 0,-1 1 0,0-1 0,2-2 0,2-2 0,0 0 1,0 0-1,-1-1 0,0 0 1,0 0-1,-1 0 0,0-1 1,5-10-1,-7 9 0,1 0 0,-1 0 0,-1 0 0,1-10 1,-2 17-2,0 1 0,0-1 0,0 0 0,0 1 0,0-1 1,0 1-1,-1-1 0,1 1 0,-1-1 0,1 1 1,-1-1-1,0 1 0,1 0 0,-2-3 0,1 4 0,0-1 0,1 1 0,-1-1 0,0 1 0,0-1 0,0 1 0,0 0 1,0-1-1,1 1 0,-1 0 0,0 0 0,0 0 0,0-1 0,0 1 0,0 0 0,0 0 0,0 0 0,0 0 0,0 1 0,0-1 0,1 0 0,-1 0 0,0 0 0,0 1 0,0-1 0,-1 1 0,-5 3-14,0 0 0,0 0 0,1 1 0,-1-1 0,1 2 0,0-1 0,1 0 0,-1 1 0,1 0 0,0 1 0,1-1 0,-1 1-1,1 0 1,1 0 0,-1 0 0,-3 14 0,0-2-64,1 0 0,1 0 0,1 1 0,0 0-1,-1 31 1,6-29-358</inkml:trace>
  <inkml:trace contextRef="#ctx0" brushRef="#br0" timeOffset="5757.32">743 840 0,'1'-1'56,"0"-1"0,0 1-1,0 0 1,0 0 0,0 0 0,0 0 0,0 0-1,0 0 1,0 0 0,0 0 0,1 1 0,-1-1-1,0 0 1,1 1 0,-1-1 0,0 1 0,1-1-1,-1 1 1,1 0 0,-1-1 0,3 1 0,3-2 2,-6 1-58,15-3 26,0-1 0,-1-1 0,15-8 0,-24 11-10,-1 0 0,0-1 0,0 0 0,0 1 0,0-1-1,-1-1 1,0 1 0,1-1 0,-2 0 0,1 0 0,0 0 0,-1 0-1,3-7 1,-5 8 1,1 0-1,-1 0 0,0 0 0,-1-1 1,1 1-1,-1 0 0,0-1 1,0 1-1,-1-9 0,1-22 145,-30 210 908,29-170-1011,-3 11 834,1 0 0,1 0-1,-1 19 1,3-33-817,0 1 0,0 0 0,0-1 0,0 1 1,0 0-1,0-1 0,1 1 0,0-1 0,-1 1 0,1-1 0,0 1 0,0-1 0,0 1 0,0-1 0,1 0 0,-1 1 1,1-1-1,-1 0 0,1 0 0,0 0 0,0 0 0,-1-1 0,2 1 0,-1 0 0,0-1 0,0 1 0,4 1 1,-4-3-174,1 1 1,0-1-1,0 0 1,0 0-1,0 0 1,-1 0-1,1-1 1,0 1 0,0-1-1,0 0 1,-1 1-1,1-1 1,0 0-1,-1-1 1,1 1 0,-1 0-1,1-1 1,-1 1-1,0-1 1,3-3-1,8-6-1654,0-1-1,13-16 1,-9 9 1583,6-4-539</inkml:trace>
  <inkml:trace contextRef="#ctx0" brushRef="#br0" timeOffset="6646.74">1184 845 0,'-1'-14'208,"1"3"345,0 10-539,1 1 0,-1 0 1,1 0-1,-1-1 1,1 1-1,0 0 0,-1 0 1,1 0-1,-1 0 0,1 0 1,0 0-1,-1 0 0,1 0 1,-1 0-1,1 0 0,-1 0 1,1 1-1,0-1 0,-1 0 1,1 0-1,-1 0 1,2 1-1,0-2 227,-7-3-95,5 3-145,-1 1 1,1 0 0,0 0 0,0 0-1,-1 0 1,1 0 0,0 0-1,0 0 1,-1-1 0,1 1 0,0 0-1,0 0 1,-1 0 0,1 0-1,0 0 1,-1 0 0,1 0 0,0 0-1,0 0 1,-1 1 0,1-1-1,0 0 1,0 0 0,-1 0 0,1 0-1,0 0 1,0 0 0,-1 0-1,1 1 1,0-1 0,0 0 0,0 0-1,-1 0 1,1 1 0,0-1-1,0 0 1,0 0 0,0 0 0,-1 1-1,1-1 1,0 0 0,0 0-1,0 1 1,0-1 0,0 0 0,0 1-1,0-1 1,0 0 0,0 0-1,0 1 1,0-1 0,0 0 0,0 0-1,0 1 1,0-1 0,0 0-1,0 1 1,0-1 0,0 0 0,0 0-1,0 1 1,1-1 0,-1 0-1,0 0 1,0 0 0,0 1 0,0-1-1,1 0 1,-1 0 0,0 1 3,0 0 0,0-1 1,1 1-1,-1 0 0,0-1 1,0 1-1,0-1 1,1 1-1,-1-1 0,0 1 1,1 0-1,-1-1 0,1 1 1,-1-1-1,0 0 0,1 1 1,-1-1-1,1 1 0,-1-1 1,1 0-1,-1 1 1,1-1-1,0 0 0,-1 0 1,1 1-1,-1-1 0,1 0 1,0 0-1,-1 0 0,1 0 1,0 0-1,-1 0 0,1 0 1,-1 0-1,1 0 1,0 0-1,-1 0 0,1 0 1,0 0-1,-1 0 0,1 0 1,-1-1-1,1 1 0,-1 0 1,1-1-1,0 1 0,-1 0 1,1-1-1,-1 1 1,1-1-1,0 1 19,-1-1 1,1 1-1,-1 0 1,1 0 0,-1-1-1,1 1 1,-1 0-1,1 0 1,-1-1-1,1 1 1,-1-1-1,1 1 1,-1 0-1,0-1 1,1 1-1,-1-1 1,0 1-1,1-1 1,-1 1-1,0-1 1,0 1-1,1-1 1,-1 1 0,0-1-1,0 0 1,0 1-1,0-1 1,0 1-1,0-1 1,0 1-1,0-1 1,0 0-1,0 1 1,0-1-1,0 1 1,0-1-1,-1 1 1,1-1-1,0 1 1,0-1-1,-1 1 1,1-1-1,0 1 1,0-1 0,-1 1-1,1-1 1,-1 1-1,0-1 1,1 1-12,-1 0 0,1 0 0,0 0 1,-1 1-1,1-1 0,-1 0 0,1 0 0,0 1 1,-1-1-1,1 0 0,0 0 0,-1 1 0,1-1 1,0 0-1,0 1 0,-1-1 0,1 1 1,0-1-1,0 0 0,0 1 0,-1-1 0,1 1 1,0-1-1,0 0 0,0 1 0,0-1 1,0 1-1,0-1 0,0 1 0,-5 21-1127,3-16-10,1-2 485</inkml:trace>
  <inkml:trace contextRef="#ctx0" brushRef="#br0" timeOffset="7941.55">1378 753 0,'-20'-3'658,"11"1"340,16-16-471,-6 17-548,0-1 1,0 1-1,-1-1 0,2 1 1,-1-1-1,0 1 0,0 0 1,0-1-1,1 1 0,-1 0 1,1 0-1,-1 0 0,1 0 0,-1 0 1,1 0-1,-1 1 0,1-1 1,0 0-1,-1 1 0,4-1 1,-1 1 503,0 0 0,0 0 1,0 0-1,0 1 1,0 0-1,8 2 0,-10-2-186,1 0-1,0 0 1,0 0-1,0-1 1,0 1-1,0-1 1,0 1-1,0-1 1,0 0-1,0 0 1,0-1-1,0 1 1,0-1-1,0 1 1,0-1-1,0 0 1,0 0-1,0 0 1,4-3-1,25-27 828,-17 16 33,-11 47-590,-4 154-350,-2-159-172,0 0 0,-2-1-1,-1 1 1,-16 49 0,19-72-32,0 1 0,0 0 0,0-1 0,0 1 0,-1-1 0,0 0 0,1 0 0,-2 0 0,-3 4 0,6-7-33,-1 0 1,1 0 0,-1 0 0,1 0 0,-1-1 0,0 1 0,1-1 0,-1 1 0,0-1 0,0 1 0,1-1-1,-1 0 1,0 0 0,0 0 0,1 0 0,-1 0 0,0 0 0,0-1 0,1 1 0,-1-1 0,0 1 0,1-1-1,-1 1 1,0-1 0,1 0 0,-1 0 0,1 0 0,-2-1 0,-9-7-606,11 8 53,-1 0 0,1-1 0,0 1-1,0-1 1,0 0 0,0 1 0,0-1 0,0 0 0,0 0 0,0 0 0,1 1 0,-1-1 0,1 0 0,-1 0 0,1 0 0,0 0 0,0-3 0,3-15-1211,8-6 1001</inkml:trace>
  <inkml:trace contextRef="#ctx0" brushRef="#br0" timeOffset="8601.94">1735 744 0,'3'-13'1458,"-8"12"1808,-19 29 2033,10-8-4853,-27 38 860,-38 72-1,50-73-1083,40-102-124,-6 32-100,-3 4-13,1 1 1,0 1 0,1-1-1,-1 0 1,2 1 0,-1 0-1,8-10 1,-12 17 12,0 0 1,0-1 0,1 1-1,-1 0 1,0 0 0,0 0-1,1 0 1,-1-1 0,0 1-1,1 0 1,-1 0-1,0 0 1,0 0 0,1 0-1,-1 0 1,0 0 0,1 0-1,-1 0 1,0 0-1,1 0 1,-1 0 0,0 0-1,0 0 1,1 0 0,-1 0-1,0 0 1,1 0-1,-1 0 1,0 0 0,0 0-1,1 1 1,-1-1 0,0 0-1,1 0 1,-1 0-1,0 0 1,0 1 0,0-1-1,1 0 1,-1 0 0,0 1-1,0-1 1,0 0 0,0 0-1,1 1 1,-1-1-1,0 0 1,0 1 0,0-1-1,0 0 1,0 0 0,0 1-1,0-1 1,0 0-1,0 1 1,0-1 0,0 0-1,0 1 1,0-1 0,3 24-11,-2-21 20,0 16 100,2 0-1,7 28 1,-9-43-40,0 1 1,1-1 0,-1 0-1,1 0 1,0 0 0,0 0-1,1 0 1,-1 0 0,1 0-1,0-1 1,0 0 0,0 1-1,1-1 1,-1 0 0,1 0-1,5 3 1,-7-5 17,-1-1 0,0 1 0,0-1 0,0 1 0,1-1 0,-1 0 0,0 0 0,0 0 0,0 0 0,1 0 0,-1 0 0,0 0 0,0 0 0,1 0-1,1-1 1,0 0-543,-1 0 0,1-1 0,0 1 0,0-1 0,-1 1 0,1-1-1,-1 0 1,0 0 0,0 0 0,3-3 0,0-2-1193,1 1 0,-2-1 0,1 0 0,-1-1 0,4-7 0,0-10 652</inkml:trace>
  <inkml:trace contextRef="#ctx0" brushRef="#br0" timeOffset="9388.61">1826 750 0,'12'-16'1215,"-12"16"-1140,0 0-1,0-1 1,0 1 0,0 0-1,0 0 1,0-1-1,0 1 1,0 0-1,0 0 1,0-1 0,0 1-1,0 0 1,0 0-1,0-1 1,0 1-1,0 0 1,0 0 0,0-1-1,0 1 1,0 0-1,0 0 1,0 0-1,-1-1 1,1 1 0,0 0-1,0 0 1,0 0-1,0-1 1,-1 1-1,1 0 1,0 0 0,0 0-1,0 0 1,-1 0-1,1-1 1,-3 1 259,1 0 0,0 0 0,-1 0 0,1 0 1,-1 0-1,1 0 0,0 0 0,-1 1 0,1-1 0,0 1 1,-5 2-1,-3 0-517,0 2 0,0-1 0,1 2 0,-18 11 1,-12 17-4559,28-20 3778,6 5 295</inkml:trace>
  <inkml:trace contextRef="#ctx0" brushRef="#br0" timeOffset="10504.09">1392 512 0,'-13'-1'90,"8"1"23,-1-1 0,0 1 0,0-1 0,1 0 0,-1-1 0,0 1 0,1-1 0,-1 0 0,1-1 0,0 1 0,0-1 0,-10-7 207,16 14 38,13 10 6748,-5-9-6718,0-1 0,1 0 1,-1 0-1,1-1 0,18 3 0,-21-5-214,5 1 119,-1 0 0,1-1 0,0-1 0,-1 0 0,1-1 0,0 0 1,13-3-1,34-3 1344,-33 7-913,-13-1-541,1 1-1,-1 0 1,1 1 0,-1 0 0,1 1-1,-1 1 1,0 0 0,0 0 0,21 10 0,-27-10-148,8 5 53,0-1 0,26 8-1,-36-13-78,0-1 0,-1 0 0,1 0-1,0-1 1,0 0 0,0 0 0,0 0-1,0 0 1,0-1 0,0 0 0,0 0-1,-1 0 1,7-3 0,-3 2 6,-1 0 0,0 0 1,1 1-1,-1-1 0,15 1 0,1 1-2906,-22 0 2716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41:55.9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74 1047 0,'-2'-2'122,"0"0"0,-1 1 0,1-1 0,0 1 0,-1-1 0,0 1 0,1-1 0,-1 1 0,0 0 0,-4-1 0,3 1-24,1 0 1,-1-1-1,0 1 1,0-1-1,0 0 1,0 0-1,-4-4 1,8 6 118,-1-1 0,0 0 0,1 0 0,-1 0 1,1 0-1,-1 0 0,1 0 0,-1 0 0,1 0 1,0 0-1,-1 0 0,1 0 0,0 0 0,0 0 1,0 0-1,0 0 0,0 0 0,0 0 0,0-1 1,0 1-1,0 0 0,0 0 0,1 0 0,-1 0 0,1 0 1,-1 0-1,0 0 0,1 0 0,-1 0 0,1 0 1,0 1-1,-1-1 0,1 0 0,1-1 0,-2 2-155,1-1-1,0 0 1,-1 0-1,1 0 1,0 1-1,0-1 0,-1 0 1,1 1-1,0-1 1,0 1-1,0-1 1,0 1-1,0-1 0,0 1 1,0-1-1,0 1 1,1 0-1,26-1 191,-26 1-233,61 6 610,-1 3 0,63 18 0,-107-25-248,1 0 0,0-1 0,0-1 1,-1-1-1,37-5 0,25-2 708,-46 8-827,-1 1-1,1 2 1,-1 1-1,47 13 0,-85-22-543,-13 0-5281,-13 7-2684,-33 3 5493</inkml:trace>
  <inkml:trace contextRef="#ctx0" brushRef="#br0" timeOffset="866.61">156 1433 0,'-64'29'556,"62"-28"-528,0-1-1,0 1 1,0-1-1,0 1 1,0-1-1,0 0 1,-1 0 0,1 0-1,0 0 1,0 0-1,0-1 1,0 1-1,-1 0 1,1-1-1,0 0 1,-3-1-1,4 1-10,0 1 0,0-1-1,-1 1 1,1-1 0,0 1-1,0 0 1,0 0-1,-1-1 1,1 1 0,0 0-1,0 0 1,-1 0-1,1 0 1,1 0 0,-2 0-1,1 1 1,0-1-1,0 0 1,0 1 0,-1-1-1,1 1 1,0-1-1,0 1 1,0-1 0,-1 2-1,-6 4 3336,26-8 677,282 41-447,-266-34-2881,-1-2 0,1-1 0,-1-1 1,49-6-1,0 1 41,-48 3-330,68-9 1,-93 7-1546,3-4 3743,-6-4-6354</inkml:trace>
  <inkml:trace contextRef="#ctx0" brushRef="#br0" timeOffset="16703.46">1548 1027 0,'0'-1'20,"0"1"0,0 0 0,0 0-1,-1-1 1,1 1 0,0 0 0,-1-1 0,1 1 0,0 0 0,0 0 0,-1 0-1,1-1 1,-1 1 0,1 0 0,0 0 0,-1 0 0,1 0 0,0 0 0,-1 0-1,1 0 1,-1 0 0,1 0 0,0 0 0,-1 0 0,1 0 0,0 0 0,-1 0-1,1 0 1,-1 0 0,1 0 0,0 0 0,-1 0 0,1 1 0,0-1 0,-1 0-1,0 1 1,-5-1 704,8-14-351,1 5-333,1-1 0,0 1 0,1 0-1,0 0 1,12-16 0,-10 15-17,-3 3-10,1 0 0,0 0 0,1 0 0,-1 0 0,1 1 0,1 0 0,-1 0 0,1 1 0,11-8 0,-17 12-11,0 1-1,-1 0 0,1 0 1,0-1-1,0 1 0,-1 0 0,1 0 1,0-1-1,0 1 0,-1 0 0,1 0 1,0 0-1,0 0 0,-1 0 1,1 0-1,0 1 0,0-1 0,-1 0 1,1 0-1,0 0 0,-1 1 0,1-1 1,0 0-1,-1 1 0,1-1 1,0 1-1,-1-1 0,2 1 0,12 23 54,0 29 162,-12-38-156,-1-1 1,0 1 0,-1-1-1,-1 0 1,0 0 0,0 1 0,-2-1-1,0 0 1,0-1 0,-10 25-1,15-45 404,8-21-567,2 7 118,1-9 39,3 3 0,1-1 0,20-25 0,-36 52-56,-1 0 1,1 0-1,-1 0 0,1 0 0,0 1 0,0-1 1,0 0-1,-1 0 0,1 0 0,0 1 1,0-1-1,0 0 0,0 1 0,0-1 1,0 1-1,0-1 0,0 1 0,1 0 0,-1-1 1,0 1-1,0 0 0,0 0 0,0 0 1,0 0-1,1 0 0,-1 0 0,0 0 0,0 0 1,0 0-1,0 0 0,0 1 0,1-1 1,-1 0-1,0 1 0,0-1 0,0 1 0,0-1 1,0 1-1,0 0 0,0-1 0,0 1 1,-1 0-1,1 0 0,0 0 0,0 0 0,-1-1 1,2 3-1,0 0-5,0 1 1,0-1 0,0 1-1,-1 0 1,0 1-1,0-1 1,-1 0-1,1 0 1,0 0-1,-1 0 1,1 0 0,-1 6-1,-3 11 133,-9 36 0,0 1 62,18-63 1696,3-11-2055,13-32-446,-4 7 1168,42-69 1,-59 108-555,0 1-1,-1 0 1,1-1-1,0 1 0,0-1 1,0 1-1,1 0 0,-1 0 1,0 0-1,0 0 1,1 0-1,-1 0 0,1 0 1,-1 0-1,0 0 1,1 1-1,0-1 0,-1 0 1,1 1-1,-1-1 0,4 1 1,-4 0 19,1 0 1,-1 1-1,0 0 1,1-1 0,-1 1-1,0 0 1,0-1-1,0 1 1,0 0-1,0 0 1,0 0-1,0 0 1,0 0 0,0 0-1,-1 0 1,1 0-1,0 1 1,-1-1-1,2 3 1,2 6 218,0 0 1,0 0-1,-2 1 1,1 0-1,1 14 1,-2 49 979,-2-54-754,1 0 0,0 0 0,4 21 0,-5-40-450,0 0 0,0 0 0,1 0-1,-1 0 1,0 0 0,0-1-1,1 1 1,-1 0 0,0 0 0,1 0-1,-1 0 1,1 0 0,-1-1-1,1 1 1,-1 0 0,1 0 0,-1-1-1,1 1 1,0 0 0,0-1-1,-1 1 1,1-1 0,0 1 0,0-1-1,1 1 1,-1-1 0,0 0 0,0 0 0,1 0 0,-1-1 0,0 1 0,0 0 0,0-1 1,0 1-1,0-1 0,0 0 0,0 1 0,-1-1 0,1 0 0,0 1 0,0-1 0,0 0 0,1-1 0,3-6-873,0 0-1,1 0 0,6-14 1,18-38-6094,-15 27 6140</inkml:trace>
  <inkml:trace contextRef="#ctx0" brushRef="#br0" timeOffset="17213.28">2234 951 0,'-31'50'1540,"27"-41"-1535,-6 11 77,-12 39 1,20-55-74,1 1 0,0-1 0,0 0 0,0 1 0,0-1 0,0 1 0,1-1 1,0 2-1,0-2 0,0 1 0,1-1 0,0 1 0,-1-1 0,2 1 0,-1-1 0,4 9 0,-5-12-8,1 0 1,0 0-1,0 0 0,0 0 0,0 0 0,-1 0 0,2 0 0,-1 0 0,0 0 0,0-1 0,0 1 1,0 0-1,0-1 0,0 1 0,1 0 0,-1-1 0,-1 0 0,2 1 0,-1-1 0,0 0 0,1 0 1,-1 1-1,0-1 0,3-1 0,-1 1 1,1-1-1,-1 0 1,0 0 0,0 0 0,0 0-1,0-1 1,0 1 0,0-1 0,0 0-1,2-2 1,3-2 1,0-1 0,-2 0 0,1-1 0,0 1 0,11-19-1,-9 11 1,-1-1-1,11-27 1,-18 37-2,0 1 1,1 1 0,-1-1-1,0 0 1,0 0 0,0 0-1,-1 0 1,0 0 0,0 0-1,0 1 1,-1-1-1,1 0 1,-1 0 0,-3-8-1,4 12 0,-1 0 0,1 0 0,-1-1 0,1 1 0,-1 0 0,0 0 0,0 0 0,0 0 0,0-1-1,-1 1 1,1 0 0,0 0 0,0 0 0,-1 1 0,1-1 0,0 0 0,-1 1 0,1-1 0,0 1-1,-1 0 1,1-1 0,-1 1 0,1 0 0,-1 0 0,1 0 0,-1 0 0,1 0 0,-1 0 0,1 0-1,-1 1 1,1-1 0,0 0 0,-1 1 0,1-1 0,-1 1 0,1 0 0,0-1 0,0 1 0,-2 1-1,-4 3 4,0-1 0,1 0 0,1 0 0,-2 1 0,2 0 0,-8 8 0,3-2-99,0 1 0,1 0 0,1 1 0,1 1 0,-1-1 0,1 1 0,1 0-1,1 0 1,0 1 0,0 0 0,-2 16 0,5-3-452</inkml:trace>
  <inkml:trace contextRef="#ctx0" brushRef="#br0" timeOffset="17663.54">2300 1118 24,'24'0'1490,"-17"-2"-1462,0 0-1,0-1 1,0 0 0,0 0 0,0-1 0,-1 1 0,10-8 0,-5 3 17,-1 0-21,0 1 0,-1-1 1,0-1-1,0 1 0,-1-2 1,0 0-1,-1 0 0,0 0 1,-1 0-1,10-21 0,-3-1 1069,-1 0 0,9-50 1,-11 41 2403,-9 30-1219,-6 31-1506,-21 294 1756,25-302-2436,-1 50 315,2-59-389,0-1-1,0 1 1,1 0-1,-1-1 1,1 1-1,0 0 1,-1-1-1,1 1 0,0-1 1,0 1-1,1-1 1,-1 1-1,1-1 1,-1 0-1,0 0 1,0 0-1,5 5 1,-5-7-13,1 1 0,-1-1 0,0 1 0,0-1 0,1 1 0,-1-1 0,1 0 0,-1 0 0,0 0-1,1 1 1,-1-1 0,0-1 0,1 1 0,-1 0 0,1 0 0,-1 0 0,0-1 0,1 1 0,-1-1 0,0 1 0,0-1 0,1 0 0,-1 1 0,1-3 0,29-22 32,-28 23-41,87-89-2527,-32 27-7256,-31 29 7474</inkml:trace>
  <inkml:trace contextRef="#ctx0" brushRef="#br0" timeOffset="18947.75">1542 719 0,'-25'-2'1206,"23"2"-703,11 3-92,-5-2-340,44 15 637,-36-13 257,0-1 0,0 0-1,0-1 1,-1-1 0,2 1-1,-1-2 1,21-3 0,99-24 779,-79 15-573,72-9 0,70 21 829,-94 3-1447,-56 0-205,1 1 0,-2 2 0,77 20 0,-88-18-170,-1-2 0,2-1 1,-2-1-1,39-3 0,3 4-21,-55-2-138,1-1-1,-2-1 1,39-4 0,-26 2 610,-20 2-1527,-23 2-5144,-14 1-3301,-29-2 6090</inkml:trace>
  <inkml:trace contextRef="#ctx0" brushRef="#br0" timeOffset="20600.75">2238 9 0,'13'2'786,"-13"-2"-775,1 0-1,-1 0 1,0 0 0,0 0 0,1 0-1,-1 0 1,0 0 0,0 0 0,0 0-1,1 0 1,-1 0 0,0 0-1,0 0 1,0-1 0,1 1 0,-1 0-1,0 0 1,0 0 0,0 0 0,0 0-1,0-1 1,0 1 0,0 0-1,0 0 1,0 0 0,0-1 0,0 1-1,0 0 1,1 0 0,-1 0 0,0-1-1,0 1 1,0 0 0,0 0 0,0 0-1,0-1 1,0 1 0,0 0-1,0 0 1,0-1 0,0 1 0,0 0-1,0 0 1,0 0 0,0-1 0,0 1-1,0 0 1,-1 0 0,1-1-1,0 1 1,0 0 0,0 0 0,0 0-1,0 0 1,0-1 0,0 1 0,0 0-1,0 0-3,-1-1 0,1 1 0,-1 0 0,1 0 0,0 0 0,-1 0 0,1 0 0,-1 0 0,1 0 0,0 0 0,-1 0 0,1 0 0,-1 0 1,1 0-1,0 0 0,-1 0 0,1 0 0,-1 0 0,1 0 0,0 1 0,-1-1 0,1 0 0,0 0 0,-1 0 0,1 1 0,0-1 0,-1 0 0,1 0 0,0 1 0,-1-1 0,1 0 0,0 1 0,0-1 0,0 0 0,-1 1 0,1-1 0,0 1 0,-19 21 106,11-9-79,0 0 1,1 0-1,0 0 0,1 1 0,1 0 0,0-1 0,1 3 0,-4 15 0,7-23-10,0-1 0,0 1 0,1 0 0,0 0 0,1-1 0,0 1 0,0 1 0,3 9 0,-3-15-12,0-1-1,0 0 1,0 1 0,0-1 0,0 0-1,1 1 1,-1-1 0,1 0-1,0 0 1,0 0 0,0-1 0,-1 1-1,1 0 1,0-1 0,0 1 0,0-1-1,0 0 1,1 0 0,-1 0 0,1 0-1,-1 0 1,1 0 0,-1 0 0,1-1-1,-1 0 1,1 1 0,0-1-1,2 0 1,2-1 3,0 1 0,-1-1 0,1-1-1,-2 1 1,2-1 0,-1 0 0,0-1 0,1 1-1,-1-1 1,-1-1 0,1 1 0,0-1 0,-1 0-1,0 0 1,0-1 0,4-4 0,0-1 495,0 0-1,-1 0 1,-1 0 0,1-1-1,-2 1 1,1-1-1,5-19 1,-10 27-398,-1-1 0,0 1 0,0-1 0,0 1 0,0 0 0,0-1 0,-1 1 1,0-1-1,0 1 0,0 0 0,0-1 0,0 1 0,0-1 0,-1 1 0,0 0 0,0-1 0,0 1 0,0 0 0,0 0 0,-1 0 0,1 0 0,-1 0 0,-1-4 0,0 4-77,0 1 1,0 0-1,0-1 0,0 0 0,0 1 1,0 1-1,-1-1 0,1 1 0,-1-1 0,1 1 1,-1 0-1,1 0 0,-1 0 0,0 1 1,1-1-1,-1 1 0,0 0 0,1 0 0,-1 0 1,-6 2-1,3-1 116,1 0 1,-1 1 0,1 0-1,-1 0 1,1 0-1,-6 5 1,6-3-498,1 0 0,-2 0-1,2 0 1,-1 1 0,1 0 0,-1 0 0,1 0 0,-6 10 0,5-7-256,1 0 0,1 0 0,0 1 0,1 0 0,-1 0 1,1 0-1,0 0 0,1 1 0,0-1 0,1 0 0,-1 16 0,3 2-90</inkml:trace>
  <inkml:trace contextRef="#ctx0" brushRef="#br0" timeOffset="21079">2371 9 8,'23'57'1802,"0"7"-1903,-17-42 1666,-1-1 1,6 43 0,-10-52-1118,-1 0 0,1 0 0,-2-1 0,0 1 0,0 0 0,-1 1 0,-1-1 0,0-1 0,-1 0 0,0 1 0,0-1-1,-1-1 1,-10 18 0,-81 111 1256,78-117-1538,-1 0 1,0-1 0,-41 31-1,56-47-185,-1-2 1,1 0-1,-1 0 0,0-1 0,0 1 1,0-1-1,-1 0 0,1 0 1,0-1-1,-11 2 0,14-3-173,0 0 1,1 0-1,0 0 0,0 0 1,-1 0-1,0-1 0,1 1 1,-1-1-1,1 1 0,-1-1 1,1 0-1,-1 1 0,1-1 1,0 0-1,-1 0 0,-1-1 1,2 0-426,-1 0 1,0 0 0,1-1 0,-1 1 0,1 0 0,0 0 0,0-2-1,0 2 1,0-1 0,0 1 0,1-1 0,-1 1 0,0-4 0,-1-26-1621</inkml:trace>
  <inkml:trace contextRef="#ctx0" brushRef="#br0" timeOffset="21901.43">2189 651 0,'-2'4'102,"0"-1"1,0 1-1,-1 0 0,0-1 1,1 0-1,-1 2 0,-1-2 1,-3 3-1,6-6-74,1 1 0,-1-1 0,1 0 0,-1 1 0,0-1 0,1 0 0,-1 1 0,1-1 0,-1 0 0,0 0 0,0 0 0,1 1 0,-1-1 0,0 0-1,1 0 1,-1 0 0,0 0 0,1 0 0,-1 0 0,0-1 0,0 1 0,0 0 0,0-1-11,0 0-1,0 0 0,0 0 1,0 0-1,1 1 1,-1-1-1,0 0 1,1 0-1,-1-1 0,1 1 1,-1 0-1,1-1 1,-1 1-1,1 0 1,0 0-1,0-1 1,0 1-1,-1-2 0,1-6 5,0 1-1,1-1 0,0 0 1,0 1-1,1-1 0,0 1 0,0-1 1,4-8-1,-6 15-17,4-6 24,-1 0 0,1 0 0,1 0 0,0 0 1,0 1-1,0-1 0,10-10 0,47-39 523,-50 48-358,-2 1 905,1 0 1,0 1-1,0 1 1,13-7 0,50-15 1019,-52 20-1706,0 0-1,-2-1 1,36-20 0,-7-11 241,-37 30-1155,-1 0 1,27-15-1,-38 24 262,1 1-1,-1 0 1,0 0 0,1 0 0,-1-1-1,1 1 1,-1 0 0,1 0-1,-1 0 1,0 0 0,1 0-1,-1 0 1,1 0 0,-1 0-1,1 0 1,-1 0 0,1 0-1,-1 0 1,1 0 0,-1 0 0,0 0-1,1 1 1,-1-1 0,1 0-1,-1 0 1,0 0 0,1 1-1,-1-1 1,0 0 0,1 0-1,-1 1 1,0-1 0,1 0-1,-1 1 1,0-1 0,1 1 0,3 6-1540</inkml:trace>
  <inkml:trace contextRef="#ctx0" brushRef="#br0" timeOffset="123146.37">4406 1641 0,'-8'0'314,"7"1"258,-1-1 1,0 0 0,0 0-1,0 0 1,1 0 0,-1 0 0,0-1-1,0 1 1,1 0 0,-1-1-1,0 1 1,1-1 0,-1 0 0,-2-1-1,2-11 3000,13-12-4540,-8 18 970,21-37 53,-22 40-51,0 1-1,1 0 0,-1-1 1,1 1-1,0 0 0,0 1 1,0-1-1,0 0 0,1 1 1,-1 0-1,5-2 0,-6 3 2,0 1 1,1-1-1,-1 1 0,1 0 0,-1 0 1,0 0-1,1 0 0,-1 1 0,1-1 1,-1 0-1,0 1 0,0 0 0,0 0 1,0-1-1,0 1 0,0 0 0,1 1 1,-1-1-1,0 0 0,0 1 0,-1-1 1,1 1-1,3 3 0,-3-3 16,0 0 0,1 0 0,-1 0 0,0 0 0,1 0 1,-1-1-1,1 1 0,0-1 0,-1 0 0,1 0 0,0 0 0,0 0 0,0 0 0,0-1 0,0 1 0,-1-1 1,6 0-1,-1-2 108,0 0-1,-1 0 1,1-1 0,0 0 0,-1 0 0,0 0 0,0-1 0,0 0 0,5-5 0,27-16 325,-29 20-29,-9 5-398,0 0 0,0 0 1,0 0-1,0 0 0,0 0 0,0 1 0,0-1 0,0 0 1,0 0-1,0 0 0,0 0 0,0 0 0,0 0 0,0 0 1,0 0-1,0 0 0,0 0 0,0 0 0,0 1 0,0-1 1,0 0-1,0 0 0,0 0 0,0 0 0,0 0 0,0 0 1,0 0-1,0 0 0,0 0 0,0 0 0,1 0 1,-1 0-1,0 0 0,0 0 0,0 0 0,0 0 0,0 0 1,0 0-1,0 0 0,0 0 0,0 0 0,0 0 0,0 0 1,1 0-1,-1 0 0,0 0 0,0 0 0,0 0 0,0 0 1,0 0-1,0 0 0,0 0 0,0 0 0,0 0 0,2 17-73,3 22 102,-2 1 0,-2 0 0,-2-1 0,-1 1 0,-15 78 0,6-65 42,-3-1-1,-2 0 0,-42 93 1,44-118-10,0-1 0,-3-1 0,0 1 0,-28 30 0,43-53-105,0-1-1,0 0 1,0 0 0,0 1 0,-1-1-1,1 0 1,-1-1 0,1 1 0,-1-1-1,0 0 1,1 1 0,-1-1 0,-5 1-1,7-2-92,0 0 0,1 0 0,-1 0 0,0 0 0,0 0 0,1 0 0,-1-1-1,0 1 1,0 0 0,0 0 0,1-1 0,-1 1 0,0 0 0,1-1 0,0 1 0,-1-1-1,1 1 1,-1-1 0,1 1 0,-2-1 0,1-1-412,0 0 0,0 1 0,0-1 0,0-1-1,1 1 1,-1 0 0,0 1 0,1-1 0,-1 0 0,1 0 0,0-3 0,0-15-5133,3-1 3804</inkml:trace>
  <inkml:trace contextRef="#ctx0" brushRef="#br0" timeOffset="124050.77">4933 1706 0,'2'-4'80,"1"0"0,-1 0 0,1 0-1,0 0 1,-1 0 0,2 1 0,4-5 0,12-16 393,-19 14 7281,-8 4-3587,6 5-4042,0 1 0,0-1 0,0 1 0,0 0 0,0 0 0,-1-1 1,1 1-1,0 0 0,0 0 0,0 0 0,0 0 0,0 0 0,1 1 0,-1-1 0,0 0 0,0 0 0,-2 1 1,-6 6-12,1-1 1,0 1-1,0 1 1,1 0 0,0 0-1,-11 18 1,11-16-40,-6 8 8,2 0 0,0 2 0,-14 34 0,-1 3-43,-2-4-12,-29 55-13,48-93-16,-1 0-1,0-1 0,-1 0 1,-21 20-1,18-25 3,13-17-31,15-23-117,-8 19 120,1 0 0,1 0 0,0 1 0,17-22 0,3 1-88,-27 31 110,0-1 0,0 1 0,0 0 0,0 0 0,0-1 0,1 1-1,-1 0 1,0 0 0,1 0 0,-1 0 0,1 1 0,-1-1 0,1 0 0,-1 1-1,1-1 1,0 1 0,1-1 0,-2 1 3,0 0-1,0 0 1,0 1-1,0-1 1,0 0 0,-1 0-1,1 1 1,0-1-1,-1 1 1,1-1 0,0 1-1,0-1 1,0 1-1,-1 0 1,1-1 0,0 1-1,-1 0 1,1 0-1,0-1 1,-1 1 0,1 1-1,3 7-4,0-1-1,-1 1 1,0 0 0,0 1 0,0 8-1,1-2-3,0 0 40,1 0 1,0-1-1,1 1 0,1-1 0,12 22 0,-17-34-24,0 0 0,-1 0 0,1 0 0,1-1 0,-1 1 0,0-1 0,1 1-1,-1-1 1,1 0 0,-1 1 0,1-1 0,0 0 0,0 0 0,0-1 0,0 0 0,0 1 0,1-1 0,-1 0 0,0 0 0,1-1 0,-2 1 0,1-1 0,1 0 0,-1 0 0,0 0 0,1 0 0,-1 0-1,1-1 1,-1 1 0,0-1 0,0 0 0,1 0 0,4-2 0,25-21-1653,-28 18 104,1 1 0,-1-1 0,0 0 0,0 0-1,-1-1 1,5-9 0,11-34-1269</inkml:trace>
  <inkml:trace contextRef="#ctx0" brushRef="#br0" timeOffset="125382.11">2986 2265 0,'-15'-2'11,"8"1"12,-1 1 1,1-1-1,1-1 1,-1 0 0,0 0-1,0 0 1,0-1-1,0 0 1,-12-7 0,18 8 2,-1 1 0,1-1 0,0 0 0,0 0 0,0 0 0,0 0 0,0 0 0,0 0-1,1 0 1,0 0 0,0-1 0,-1 1 0,1 0 0,0 0 0,0-2 0,0 2 0,0 0 0,0 0 0,1 0 0,-1-1 0,0 1 0,0 0 0,2-3 0,-2 4-16,1-1 1,-1 1-1,1 0 0,0-1 1,-1 1-1,1 0 0,0 0 1,0-1-1,0 1 0,0 0 1,0 0-1,0 0 0,0 0 1,0 0-1,0 0 0,0 1 1,1-1-1,-1 0 0,0 0 1,1 1-1,-1-1 0,0 1 0,1-1 1,-1 1-1,1 0 0,-1 0 1,0-1-1,1 1 0,-1 0 1,1 0-1,-1 0 0,1 1 1,-1-1-1,1 0 0,1 1 1,82 27 515,-77-23-441,-1 0-1,1 0 0,-1 2 1,0-1-1,0 0 1,0 0-1,-1 1 0,8 11 1,6 5 1014,47 50 5625,81 102-3164,-117-136-3120,1-1 1,3-2-1,0-1 1,3-2-1,0-2 0,2 0 1,0-4-1,66 34 0,-104-59-405,2-1 0,-1 1 0,0 0-1,0 0 1,0 0 0,0 0-1,-1 0 1,6 5 0,-8-6-7,-2-2-815</inkml:trace>
  <inkml:trace contextRef="#ctx0" brushRef="#br0" timeOffset="126510.71">4399 1736 0,'-32'-52'1562,"32"51"-1334,1 1 0,-1-1 1,0 1-1,0 0 0,1-1 1,-1 1-1,0 0 1,0-1-1,1 1 0,-1 0 1,0 0-1,1-1 0,-1 1 1,0 0-1,1 0 0,-1 0 1,1-1-1,-1 1 1,0 0-1,1 0 0,-1 0 1,1 0-1,-1 0 0,1 0 1,-1 0-1,0 0 0,1 0 1,-1 0-1,1 0 1,-1 0-1,1 0 0,-1 0 1,1 0-1,25 1 728,-13-1-660,0 1-1,-1 1 1,0 0-1,1 0 0,-2 1 1,1 1-1,0 0 1,0 1-1,-1 0 1,12 8-1,57 47 1262,-4 3 0,97 102 0,-161-152-1395,1 0 0,1-2 1,0-1-1,1 0 1,-1-1-1,2 0 0,21 8 1,12 2 145,56 13 0,-85-27-260,-6 1 404,-15 0-2633,-26 3-6514,10-3 2596,-12 6 3104</inkml:trace>
  <inkml:trace contextRef="#ctx0" brushRef="#br0" timeOffset="173704.92">1614 2160 0,'3'-1'26,"1"0"0,0 0 0,-1 0 0,0 0 0,1 0 0,-1 1 0,1 0 0,0 0 0,-1 0 1,1 0-1,6 1 0,40 12 469,-31-7-387,256 50 412,-260-53-484,72 14 286,-2 4 1,165 65-1,-221-72-46,36 24 1,-38-20 1001,-1 1 0,-3 1 0,25 25 0,-45-42-1785,4 5 1462</inkml:trace>
  <inkml:trace contextRef="#ctx0" brushRef="#br0" timeOffset="174938.11">1709 856 0,'3'-17'5,"-3"14"3,1 0-1,0 0 1,-1 1-1,0-1 0,1 0 1,-1 0-1,0 0 1,-1 0-1,1 1 1,0-1-1,-2-5 1,45 7 841,-10 1-779,1 2-1,-1 1 1,0 1-1,0 2 1,0 1-1,57 21 1,51 32 211,-2 7 1,186 119-1,-134-70 443,-167-102-660,-8-9-1699,-17-7 991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0:40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18 953 0,'-13'21'366,"9"-13"97,15-22-213,54-80-97,-20 22-68,-38 58-75,1 1 0,0 0 1,1 1-1,1-1 1,17-17-1,-19 22-3,0-1-1,0-1 1,-1 0 0,0-1-1,7-15 1,-8 15-1,0 1 0,0 0 1,1 1-1,0-1 0,16-16 0,-23 26-6,0 0 1,0-1-1,0 1 0,1 0 0,-1-1 0,0 1 0,0 0 1,1-1-1,-1 1 0,0 0 0,1 0 0,-1-1 0,0 1 1,1 0-1,-1 0 0,1 0 0,-1 0 0,0-1 0,1 1 1,-1 0-1,0 0 0,1 0 0,-1 0 0,1 0 0,-1 0 1,0 0-1,1 0 0,-1 0 0,1 0 0,-1 0 0,0 0 1,1 1-1,-1-1 0,1 0 0,-1 0 0,0 0 0,1 0 1,-1 1-1,0-1 0,1 0 0,-1 0 0,0 1 0,1-1 1,-1 0-1,0 1 0,0-1 0,1 1 0,4 27 19,-11 39 15,5-61-32,-11 91 0,-6 92-3,20 101 11,-2-270-11,1 1 1,1 0-1,1 0 1,1 0-1,10 31 1,-14-51 0,0-1 0,1 1 0,-1 0 0,0 0 0,0-1 0,0 1 0,1 0 0,-1-1 0,0 1 1,1-1-1,-1 1 0,1 0 0,-1-1 0,1 1 0,-1-1 0,1 1 0,-1-1 0,1 1 0,-1-1 0,1 1 0,0-1 0,-1 0 0,1 1 0,0-1 0,-1 0 0,1 0 0,0 1 0,-1-1 0,1 0 1,0 0-1,-1 0 0,1 0 0,0 0 0,0 0 0,-1 0 0,1 0 0,0 0 0,0 0 0,-1 0 0,1-1 0,0 1 0,-1 0 0,1 0 0,0-1 0,-1 1 0,1 0 0,0-1 0,-1 1 1,1-1-1,-1 1 0,1-1 0,-1 1 0,1-1 0,-1 1 0,1-1 0,-1 0 0,1 0 0,5-6-1,-1 0 1,0-1-1,7-13 1,-8 15 0,57-89 7,-38 63-5,-2-2 0,-1 0 0,-1 0 0,23-65-1,-10-14 9,36-108 71,-59 190-44,-8 23-19,1 1 1,0-1-1,0 1 0,1 0 1,0 0-1,4-7 0,-8 64 136,-36 525 176,37-565-319,-2 19 82,4 48 0,-2-71-82,1 0 0,-1 0 0,2 1 0,-1-1-1,1 1 1,0-1 0,0 0 0,1 0 0,0 0-1,0 0 1,0 0 0,1-1 0,5 7 0,-8-11-9,0 0 0,0 0 0,0 0 0,0 0 0,0 0 0,0 0 0,0-1 0,1 1 0,-1 0 0,0-1 0,0 1 0,1-1 0,-1 1 1,0-1-1,1 0 0,-1 0 0,1 1 0,-1-1 0,0 0 0,1 0 0,-1 0 0,3-1 0,-2 0-14,1 0 1,-1 0-1,0 0 0,0 0 0,1 0 1,-1-1-1,0 1 0,0-1 1,0 0-1,0 1 0,2-4 0,3-4-123,0-1-1,0 1 1,-1-1-1,5-13 1,7-17-577,-1 1 106</inkml:trace>
  <inkml:trace contextRef="#ctx0" brushRef="#br0" timeOffset="1262.45">1278 100 0,'-3'-99'512,"1"99"-137,-3 9-195,-7 20-56,-127 432 389,111-365-447,13-38-44,3-1 1,2 1 0,2 0-1,3 1 1,6 109 0,-1-153-21,22 262 17,-12-206-10,33 130-1,-41-192-8,1-1 0,-1 1 0,1-1 0,1 0-1,-1 0 1,1-1 0,1 1 0,-1-1-1,2 0 1,-1 0 0,9 9 0,-14-16-15,0 0 0,0 0 0,0 1 1,0-1-1,0 0 0,0 0 0,0 0 0,0 0 0,1 1 1,-1-1-1,0 0 0,0 0 0,0 0 0,0 0 1,0 0-1,1 1 0,-1-1 0,0 0 0,0 0 1,0 0-1,0 0 0,1 0 0,-1 0 0,0 0 1,0 0-1,0 0 0,0 0 0,1 0 0,-1 0 1,0 0-1,0 0 0,0 0 0,1 0 0,-1 0 1,0 0-1,0 0 0,0 0 0,1 0 0,-1 0 0,0 0 1,0 0-1,0 0 0,0 0 0,1 0 0,-1 0 1,0-1-1,0 1 0,0 0 0,0 0 0,0 0 1,1 0-1,-1 0 0,0-1 0,0 1 0,0 0 1,0 0-1,0 0 0,0 0 0,0-1 0,0 1 1,0 0-1,1 0 0,-1 0 0,0 0 0,0-1 0,0 1 1,0 0-1,0-4-472</inkml:trace>
  <inkml:trace contextRef="#ctx0" brushRef="#br0" timeOffset="3386.26">1466 343 0,'4'-37'280,"-3"33"-234,0 0 0,-1 0 0,1 0 0,-1 0 0,1-1 1,-1 1-1,-1 0 0,0-7 0,-3 16 157,1 7-162,-14 476 219,0 56-103,27-357-101,-8-165-50,2-1 1,1 0-1,0 0 0,2 0 1,0 0-1,15 28 0,-20-45-1,0 0 1,1-1-1,0 1 0,0 0 0,0-1 0,5 5 0,-8-8-8,1 1 0,-1-1 0,0 0-1,1 0 1,-1 1 0,0-1 0,1 0 0,-1 0 0,0 0-1,1 1 1,-1-1 0,0 0 0,1 0 0,-1 0 0,1 0-1,-1 0 1,0 0 0,1 0 0,-1 0 0,0 0 0,1 0 0,-1 0-1,1 0 1,-1 0 0,0 0 0,1 0 0,-1 0 0,1-1-1,0 0-21,-1 0-1,1 0 0,-1 0 0,1 0 0,-1 0 1,0 0-1,1 0 0,-1 0 0,0 0 0,0 0 0,0 0 1,1 0-1,-1 0 0,0 0 0,-1 0 0,1-2 1,-3-15-445,-7-9-22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0:58.3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574 388 0,'1'-1'17,"0"1"-1,0 0 1,1-1 0,-1 1-1,0-1 1,0 1 0,0-1-1,0 0 1,0 1-1,0-1 1,-1 0 0,1 0-1,0 0 1,0 0 0,0 0-1,-1 1 1,1-1 0,0-1-1,-1 1 1,1 0 0,-1 0-1,0 0 1,1 0 0,-1 0-1,0 0 1,1 0-1,-1-1 1,0 1 0,0 0-1,0 0 1,0 0 0,0 0-1,0-1 1,0 1 0,-1 0-1,1 0 1,0 1 0,-1-1-1,1 0 1,-1-1 0,1 1-1,-1 0 1,-1-1-1,1 0 11,0 1 0,-1-1-1,1 1 1,-1 0 0,1 0-1,-1 0 1,0 0 0,1 0-1,-1 0 1,0 0 0,0 1-1,0-1 1,0 1 0,1-1-1,-1 1 1,0 0 0,0-1-1,0 1 1,0 0 0,0 0-1,0 1 1,0-1 0,0 0-1,0 1 1,0-1 0,1 1-1,-4 1 1,-7 4 2,1 1-1,-1-1 1,2 1 0,-1 2-1,1-1 1,1 1 0,-12 13-1,9-7 7,1 1-1,0 0 0,1-1 1,1 2-1,0 0 0,-10 31 1,13-32-7,-1 2 1,-1-1 0,-1-1-1,0 1 1,-15 18-1,4-11-13,5-6 12,0 0 0,-23 39 0,26-35-19,1 1-1,1 0 0,1 0 0,2 1 0,-10 41 0,17-59-5,-1 1-1,0-1 1,-1 0-1,0-1 1,0 1-1,0 0 1,-1 0-1,1-1 1,-1 0-1,-1 1 1,1-1-1,-1 0 1,-6 7-1,-79 62 112,89-74-111,-1 1 0,1-1 1,0 0-1,-1 1 1,1-1-1,-1 1 0,1-1 1,0 0-1,-1 1 1,1-1-1,-1 0 0,1 0 1,-1 1-1,1-1 0,-1 0 1,1 0-1,-1 0 1,1 0-1,-1 0 0,1 0 1,-1 0-1,1 1 1,-1-1-1,0-1 0,1 1 1,-1 0-1,1 0 1,-1 0-1,3-15 25,24-30-29,96-97 12,-117 138-12,0 0 0,0 0 0,0 0 0,1 1 0,0 0 0,-1 0 0,1 0 1,0 1-1,0 0 0,1 0 0,11-2 0,-10 2 1,-4 0 2,0 1 0,0 0 0,0 1 0,0-1 0,0 1 0,0-1 0,0 1 1,0 1-1,0-1 0,0 0 0,0 1 0,5 1 0,-6-1 1,0 0 0,-1 1 1,0-1-1,1 0 0,-1 1 0,0 0 0,1-1 0,-1 1 0,-1 0 1,1 0-1,-1 0 0,1 1 0,0-1 0,1 3 0,1 3 3,0 1 1,-1 0-1,0 1 0,-1-2 0,1 1 0,-2 1 1,1-1-1,-1 13 0,4 171 118,1 14 11,-4-190-131,0-1 0,2 1-1,0-2 1,0 1-1,2 0 1,0-1 0,1 1-1,0-1 1,2-1-1,10 15 1,-12-19 6,0-1 0,1 0 0,0 0 0,1 0 0,-1-1 0,2-1 0,-1 0-1,1-1 1,0 1 0,1-2 0,-1 1 0,1-1 0,0-1 0,21 6 0,-28-9-60,0-1 0,-1 1 0,1-1 0,0 0 0,0 0-1,0 0 1,-1-1 0,1 1 0,0-1 0,0 0 0,-1 0 0,1-1 0,0 1 0,-1-1 0,0 1 0,1-1 0,-1 0 0,0 0-1,0-1 1,0 1 0,0-1 0,0 1 0,-1-1 0,1 0 0,-1 0 0,0 0 0,1 0 0,-1 0 0,-1 0 0,1-1-1,-1 1 1,2-5 0,7-24-577</inkml:trace>
  <inkml:trace contextRef="#ctx0" brushRef="#br0" timeOffset="1457.87">847 57 0,'-3'0'30,"1"-1"1,0 0-1,0 0 1,-1 0-1,1 0 1,0 0-1,0 1 1,0-2-1,0 1 1,1-1-1,-1 1 0,0-1 1,1 0-1,-1 0 1,1 1-1,-1-1 1,1 0-1,0 0 1,0-1-1,0 1 1,0 0-1,0 0 1,0 0-1,1-1 0,-1 1 1,1 0-1,-1-1 1,1 1-1,0 0 1,0-5-1,24 59 385,-3 14-327,-2 1-1,9 73 1,12 150 268,-12-66-102,-12-120-487,36 284 4364,-48-323-3395,-2 1-1,-3-1 1,-18 124 0,16-175-1031,0-1 0,0 1 0,-1-1 0,-1-1 0,-11 24 0,16-36 217,0 0 1,0 0-1,0 0 1,0 1-1,0-1 0,0 0 1,0 0-1,0 0 1,0 0-1,0 0 1,0 0-1,0 1 1,0-1-1,-1 0 0,1 0 1,0 0-1,0 0 1,0 0-1,0 0 1,0 1-1,0-1 0,0 0 1,0 0-1,0 0 1,0 0-1,-1 0 1,1 0-1,0 0 0,0 0 1,0 0-1,0 0 1,0 0-1,0 1 1,0-1-1,-1 0 0,1 0 1,0 0-1,0 0 1,0 0-1,0 0 1,0 0-1,-1 0 0,1 0 1,0 0-1,0 0 1,0 0-1,0 0 1,0 0-1,0-1 0,-1 1 1,1 0-1,0 0 1,0 0-1,0 0 1,0 0-1,0 0 0,0 0 1,0 0-1,-1 0 1,1 0-1,0 0 1,0-1-1,0 1 1,0 0-1,0 0 0,0-9-1338,1 6 785</inkml:trace>
  <inkml:trace contextRef="#ctx0" brushRef="#br0" timeOffset="2919.34">1207 712 0,'-11'3'254,"10"-2"-204,0-1-1,-1 1 1,1-1 0,0 1 0,-1-1-1,1 0 1,0 0 0,-1 1 0,1-1-1,-1 0 1,1 0 0,0 0 0,-1 0 0,1-1-1,-1 1 1,1 0 0,-2-1 0,6 0-15,0 1 1,0 0 0,0 0 0,0 0-1,0 0 1,0 1 0,0-1 0,0 1-1,6 1 1,29 7 92,0-1 0,1-2 0,69 1 0,-52-8 14,93 9 0,-148-8-186,1 0 1,-1 0-1,0 0 0,1 0 0,-1 0 0,0 0 0,1 0 1,-1 0-1,0-1 0,1 1 0,-1-1 0,0 1 1,0-1-1,1 1 0,-1-1 0,0 0 0,0 1 0,0-1 1,0 0-1,0 0 0,0 0 0,0 0 0,0 0 1,0 0-1,0 0 0,0 0 0,-1 0 0,1 0 0,0-1 1,-1 1-1,1 0 0,-1 0 0,1-1 0,-1 1 0,0 0 1,0-1-1,1 1 0,-1 0 0,0-1 0,0 1 1,-1-3-1,2-3-419</inkml:trace>
  <inkml:trace contextRef="#ctx0" brushRef="#br0" timeOffset="3368.91">1201 1199 0,'-3'1'68,"1"-1"-7,0 1 0,0 0 0,0-1 0,0 1 0,0 0-1,0 0 1,0 1 0,1-1 0,-1 0 0,0 1 0,1-1 0,-1 1 0,1-1 0,-3 3 0,14-3 280,2-1-306,90 6 647,114-9 0,-165-2 489,34-2 3092,-27 7-10220,-47 2 5060,-2 3 219</inkml:trace>
  <inkml:trace contextRef="#ctx0" brushRef="#br0" timeOffset="6024.71">2032 953 0,'-49'8'1708,"48"-10"-1238,7-3-239,10-4 39,22 2 1521,0 2 0,1 2 0,67 1 0,116 27 1105,-185-21-2412,-35-4-449,0 0 1,0 0 0,0 0 0,1 0-1,-1 0 1,0 0 0,0-1 0,0 1-1,0-1 1,0 1 0,0-1 0,0 0-1,0 0 1,2-1 0,-5 4-5,0 0 1,-1 1-1,1-1 1,0 1-1,1-2 1,-1 2-1,0-1 1,1 1-1,0-1 1,-1 1-1,1 0 1,1 4-1,-3 13 41,-32 361 67,32-351-141,1-1 0,6 55 0,-3-71 0,1 0 0,0 0 0,1-1 0,0 1 0,1-1 0,0 0 0,1 0 0,11 18 0,-15-28 4,-1 0 0,0 0 0,1 0 0,-1 1 0,0-2 0,0 1 0,0 1 0,0-1 0,-1 0 0,1 1 0,-1-1 0,0 1 0,1-1 0,-1 0 0,0 4 0,0-6-1,0 0-1,-1 0 1,1 0 0,0 1 0,0-1-1,0 0 1,0 0 0,0 0-1,0 0 1,0 0 0,-1 0-1,1 0 1,0 0 0,0 0 0,0 0-1,0 1 1,0-1 0,-1 0-1,1 0 1,0 0 0,0 0-1,0 0 1,0 0 0,-1 0-1,1 0 1,0 0 0,0 0 0,0 0-1,0 0 1,0-1 0,-1 1-1,1 0 1,0 0 0,0 0-1,0 0 1,0 0 0,0 0 0,0 0-1,-1 0 1,1 0 0,0 0-1,0-1 1,0 1 0,0 0-1,0 0 1,0 0 0,0 0-1,0 0 1,-1 0 0,1-1 0,0 1-1,0 0 1,0 0 0,0 0-1,0 0 1,0 0 0,0-1-1,0 1 1,0 0 0,0 0 0,0 0-1,0 0 1,0 0 0,0-1-1,0 1 1,0 0 0,-4-11 37,1-99-22,3 110-40,0 0 0,0-1 1,0 1-1,0 0 0,0 0 0,0-1 0,0 1 0,0 0 0,-1 0 0,1 0 0,0-1 0,0 1 0,0 0 0,0 0 0,0 0 0,-1 0 0,1-1 0,0 1 0,0 0 0,0 0 0,0 0 0,-1 0 0,1 0 0,0 0 0,0 0 0,0-1 0,-1 1 0,1 0 0,0 0 0,0 0 0,-1 0 0,1 0 1,0 0-1,0 0 0,0 0 0,-1 0 0,1 0 0,0 0 0,0 0 0,-1 0 0,1 0 0,0 1 0,-5-1-3577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1:11.0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180 91 0,'10'-90'1318,"-18"109"-1152,3 3-113,-2-1-1,-15 40 0,-7 17 61,-10 38 16,14-50-65,19-41-44,1 1-1,0 0 1,1-1-1,2 1 1,0 43-1,-4 29 39,-3-19 7,2-22 95,1 2-1,3 99 1,8-20 271,-3-64 3000,19 143 0,-11-154-2631,11 54 133,-17-103-811,-1-1 1,1 0 0,1 0 0,1-1-1,-1 0 1,10 15 0,-15-26-133,0-1 0,1 0 0,-1 0 0,0 0 1,0 1-1,0-1 0,1 0 0,-1 0 0,0 1 0,0-1 1,0 0-1,0 0 0,0 1 0,1-1 0,-1 0 0,0 0 1,0 1-1,0-1 0,0 0 0,0 1 0,0-1 0,0 0 1,0 0-1,0 1 0,0-1 0,0 0 0,0 1 0,0-1 1,0 0-1,-1 0 0,1 1 0,0-1 0,0 0 0,0 0 1,0 1-1,0-1 0,-1 0 0,1 0 0,0 1 0,0-1 1,0 0-1,-1 0 0,1 0 0,0 0 0,0 1 1,-1-1-1,1 0 0,0 0 0,0 0 0,-1 0 0,1 0 1,0 0-1,0 0 0,-1 0 0,1 1 0,0-1 0,0 0 1,0 0-1,0 0 0,-1 0 0,1-1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1:24.9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61 105 0,'-5'-105'1383,"-4"149"-1162,-20 271 757,19-193-263,10-67 1872,7 72 1,-7-126-2598,1 0 0,-1 1 0,0-1-1,0 0 1,0 0 0,0 1-1,0-1 1,-1 0 0,1 0 0,0 1-1,-1-1 1,1 0 0,0 0-1,-1 0 1,0 1 0,1-1 0,-1 0-1,0 0 1,1 0 0,-1 0-1,0 0 1,0 0 0,0 0 0,0-1-1,0 1 1,0 0 0,-1 1-1,1-13-6900,1 10 6205,0-4 139</inkml:trace>
  <inkml:trace contextRef="#ctx0" brushRef="#br0" timeOffset="1081.05">395 197 0,'2'-3'44,"-1"0"-1,1 0 1,0 0-1,-1 0 1,1-1 0,-1 1-1,0 0 1,0 0-1,0-1 1,-1 1-1,1-1 1,-1 1 0,0-1-1,0-4 1,-4-40 664,4 48-700,0-1 1,0 0-1,-1 1 1,1-1-1,0 0 1,0 1-1,-1-1 1,1 1-1,-1-1 1,1 0-1,0 1 1,-1-1-1,1 1 1,-1-1-1,1 1 1,-1 0-1,0-1 1,1 1-1,-1 0 1,1-1-1,-1 1 1,0 0-1,1-1 1,-1 1-1,1 0 1,-1 0-1,0 0 1,0 0-1,-1 0 1,-22 1 186,15 0-81,-82-15 207,88 15-310,0-1 0,0 1 0,0 0-1,1-1 1,-1 1 0,0 0 0,0 1 0,0-1 0,1 0-1,-1 1 1,0 0 0,1 0 0,0-1 0,-1 1-1,-1 3 1,-36 39 118,27-28-104,-40 38 29,35-38-43,1 2 1,0 0 0,1 1-1,-14 23 1,24-28-16,5-9 44,5-9 36,5-5-71,0 1-1,0 0 1,0 0-1,20-12 1,-17 13-4,-11 5-5,1 1 0,-1 0-1,1-1 1,-1 1 0,1 0 0,0 0 0,-1 0-1,1 0 1,0 0 0,0 1 0,-1-1 0,1 1-1,0-1 1,0 1 0,0-1 0,0 1 0,0 0-1,2 0 1,-2 1 47,-1 0 0,0 0 0,0 1 0,0-1 0,0 0 0,-1 0 0,1 1 0,0-1 1,-1 1-1,1-1 0,0 0 0,-1 1 0,0-1 0,1 1 0,-1-1 0,0 3 0,9 25 2950,75 194 1546,-80-212-4410,1-1 0,1 1 0,0-1-1,0 0 1,1 0 0,0-1-1,15 16 1,-20-24-107,0 1 0,0 0 0,0-1 0,0 1 0,0-1 0,0 1 0,0-1 0,1 0 0,-1 0 0,0 0 0,1 0 0,-1 0 0,1-1 0,-1 1 0,1-1 0,-1 1 0,1-1 0,-1 0 0,1 0 0,-1 0 0,1-1 0,0 1 1,-1 0-1,1-1 0,-1 0 0,0 0 0,1 1 0,-1-1 0,1-1 0,-1 1 0,0 0 0,0-1 0,0 1 0,0-1 0,0 1 0,0-1 0,0 0 0,-1 0 0,1 0 0,2-4 0,6-6-243,-1-1 1,-1 0-1,11-22 1,-9 13-2490,-2-1 1,0 0 0,8-36 0,-13 31 1841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1:18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367 375 0,'1'-1'45,"1"-1"1,-1 1-1,1-1 1,-1 1-1,0-1 1,0 1-1,0-1 0,0 1 1,0-1-1,0 0 1,0 0-1,-1 0 0,1 0 1,-1 0-1,1 0 1,-1 0-1,0 0 1,0 0-1,0 0 0,0 0 1,0-4-1,-1 5-5,1-1-1,-1 0 1,0 1 0,0-1-1,0 1 1,0-1-1,0 1 1,0-1-1,0 1 1,-1 0 0,1 0-1,0-1 1,-1 1-1,1 0 1,-1 0 0,1 0-1,-1 1 1,1-1-1,-1 0 1,0 0 0,1 1-1,-1-1 1,0 1-1,0 0 1,-1-1-1,-9-1 24,1 0 0,0 1-1,-1 0 1,1 1 0,0 0 0,-1 1-1,-21 4 1,28-3-4,1-1-1,-1 1 1,0 0-1,1 0 1,-1 1 0,1-1-1,0 1 1,0 0-1,0 0 1,0 0 0,0 1-1,1-1 1,-1 1 0,1 0-1,0 0 1,0 0-1,1 1 1,-1-1 0,1 0-1,0 0 1,-2 6-1,-5 16 387,1 1-1,2 0 0,0-1 0,2 1 0,-2 49 0,6-64-376,0 0 0,0 0 0,2 0-1,-1 0 1,2 0 0,-1 0 0,2-1-1,-1 0 1,2 1 0,0-1 0,0 0-1,1 0 1,0-1 0,0 0 0,13 14-1,-14-20-1,-1 0 0,0 0-1,1 0 1,0-1-1,0 1 1,0-1 0,0 0-1,1-1 1,-1 1 0,1-1-1,-1 0 1,1-1-1,0 1 1,8 0 0,-6-2 0,1 0 0,0 0 0,-1 0-1,1-1 1,-1-1 0,1 1 0,-1-2 0,1 1 0,7-4 0,1-2 24,-1 0 0,-1 0 0,1-1 0,-2-1 0,1 0 0,-1-2 0,-1 0 0,22-25 0,-25 24-12,0 1 0,-2-2 0,0 0 0,0 0 0,-2-1 0,1 0-1,-2 0 1,5-18 0,0-15 8,5-64-1,-7 45-17,-7 46-27,-2 1-1,1-1 1,-2 2-1,-1-1 1,-1 0-1,0 0 1,-13-33-1,13 39 54,-2 0-1,0 0 0,-10-18 1,15 29-85,-1 1 0,0-1 1,0 0-1,0 1 0,0-1 0,0 1 1,0-1-1,-1 1 0,1 0 1,-1 0-1,1 0 0,-1 0 0,0 0 1,0 1-1,0-1 0,0 1 0,0 0 1,0 0-1,0 0 0,0 0 1,-5 0-1,-159-14 71,161 15 90,0 0 1,-1 1-1,1 0 1,0 0-1,-11 3 1,9 0-959,-1-1-1,1 1 1,-15 9 0,17-10 141,1 1 1,-1 0 0,1 0 0,0 0 0,0 0-1,1 1 1,0 0 0,-1 0 0,2 0 0,-1 1-1,1-1 1,-1 1 0,-2 9 0,1 7-121</inkml:trace>
  <inkml:trace contextRef="#ctx0" brushRef="#br0" timeOffset="1305.98">394 1274 0,'2'0'37,"-1"0"1,0 0-1,0 0 1,0 0-1,0-1 1,0 1-1,0 0 1,1-1-1,-1 1 0,0-1 1,0 1-1,0-1 1,0 0-1,-1 1 1,1-1-1,0 0 0,0 0 1,0 0-1,-1 0 1,1 0-1,0 1 1,-1-1-1,1 0 1,0-1-1,-1 1 0,0 0 1,1 0-1,-1 0 1,0 0-1,1 0 1,-1 0-1,0 0 1,0-1-1,0 1 0,0 0 1,0 0-1,0 0 1,0 0-1,0 0 1,-1-2-1,0-2 9,1 1-1,-1 0 0,0-1 1,-1 1-1,1 0 1,-1 0-1,0-1 1,0 1-1,0 2 1,-1-2-1,-5-7 0,-28-25 49,34 33-79,0 1 0,-1 0 1,0 1-1,1-1 0,-1 0 0,0 1 1,0 0-1,0 0 0,0 0 1,0 0-1,0 0 0,0 0 0,0 1 1,0-1-1,0 1 0,-1 0 0,1 0 1,0 0-1,0 0 0,0 1 0,0 0 1,0-1-1,-1 1 0,1 0 1,0 0-1,1 0 0,-1 1 0,0-1 1,-3 3-1,-2 2 418,-1 0 1,2 0-1,-1 0 1,1 1-1,0 1 1,0-1-1,-6 9 1,6-4-243,0 0-1,1 0 1,0 0 0,1 1-1,1 0 1,0 0 0,1 0-1,0-1 1,1 2 0,-1 23-1,2-5-140,2 0 1,1 0-1,8 43 0,-8-66 10,0 1 0,0-1 0,1 0 0,0 0 0,1 0 0,0-1 1,0 1-1,10 13 0,-11-19-38,0 0 1,0 1-1,0-1 0,0-1 1,0 1-1,1 0 0,-1-1 1,1 0-1,0 1 1,0-1-1,0-1 0,0 1 1,0-1-1,0 1 1,0-1-1,0 0 0,1-1 1,-1 1-1,0-1 1,1 0-1,5 0 0,5-1 33,0 0 0,0-1 0,0-1-1,0 0 1,0-1 0,-1-1 0,0 0-1,1-1 1,-2-1 0,18-9-1,-23 10-30,0 0-1,0-1 0,0 0 0,-1-1 1,0 1-1,0-1 0,-1-1 0,0 1 0,0-1 1,-1 0-1,-1-1 0,1 1 0,-1 0 0,-1-1 1,5-20-1,-1-8-30,-2 1 1,-1-2-1,-2 1 0,-5-59 1,0 77 135,-2-1 0,-1 0 0,0 0 0,-2 0 1,0 2-1,-18-30 0,5 5 161,16 34-214,0 0-1,-1 0 1,-1 0-1,1 0 1,-2 1-1,1 0 0,-1 1 1,0-1-1,-19-13 1,23 20-59,0-1 0,0 1 0,0 0 0,0 0 0,-1 0 0,1 0-1,-1 1 1,1-1 0,-1 1 0,0 0 0,0 1 0,1-1 0,-1 1 0,0 0 0,0 0 0,0 0 0,1 1 0,-1-1 0,0 1 0,0 1 0,1-1 0,-1 0 0,1 1 0,-1 0 0,1 0 0,-7 4 0,-53 41-1989,24-14-6466,27-20 6781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1:54.6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15 0,'-3'1'29,"2"0"16,-1-1 0,1 0 0,0 1 0,0 0 0,0-1 0,0 1 0,0-1-1,-1 1 1,1 0 0,0 0 0,0 0 0,1 0 0,-1 0 0,0 0 0,0 0 0,0 0 0,1 0 0,-1 0 0,0 0 0,1 0 0,-1 1 0,0 1 0,37-3 638,100 6 1186,-87-2 4497,-37-3-6097,-1 0 0,1 0 0,-1-1 0,1 0 1,13-3-1,19-4 223,0 1 1,0 3-1,1 2 0,51 4 1,41 5 803,92-7 438,-175-3-1605,27-2-36,-37 1 28,83 4 0,-80 1 50,-1-2 0,1-3 0,89-15 0,-40 3 465,-95 15-617,0 0-1,1 0 1,-1 0-1,0 0 1,1 0-1,-1 0 1,1 0-1,-1 0 1,0 0-1,1 1 1,-1-1-1,0 1 1,1-1-1,-1 1 1,0-1 0,0 1-1,0 0 1,3 1-1,7 5-1257</inkml:trace>
  <inkml:trace contextRef="#ctx0" brushRef="#br0" timeOffset="1448.62">1179 340 0,'-2'-17'249,"2"14"-155,0-1 1,0 1-1,-1-1 0,1 1 1,-1 0-1,0-1 0,0 1 1,0 0-1,-1-1 1,-2-4-1,3 7-54,0 1 0,0 0 0,0-1 0,0 1 0,0 0 0,0 0 0,0 0 0,0-1 0,0 1 0,0 1 0,0-1 0,0 0 0,0 0 0,0 0 0,0 0 0,0 1 0,0-1 0,0 0 0,0 1 1,0-1-1,0 1 0,-1 0 0,-30 18 607,22-13 121,-15 9 647,2 1 1,0 2 0,1 0 0,-21 22 0,37-34-1222,1 0-1,0 1 1,0 0 0,0 0 0,1 0 0,0 1 0,1 0 0,-4 9 0,6-12-176,0 0 1,0 1 0,0-1 0,1 1-1,-1-1 1,1 0 0,1 1 0,-1-1 0,1 1-1,0-1 1,0 0 0,0 1 0,5 9-1,-2-4 105,1-1-1,1 0 0,0 0 0,0-1 1,1 1-1,0-1 0,1-1 0,0 1 0,0-1 1,17 12-1,-18-15-47,-1-1 0,1 0-1,-1-1 1,1 0 0,0 0 0,1-1 0,-1 1-1,0-1 1,0-1 0,1 0 0,-1 0 0,1 0 0,0-1-1,-1 0 1,1 0 0,-1-1 0,11-2 0,-2-1-29,-2-1 0,1 0 1,0-1-1,-1-1 1,0 0-1,-1-1 0,0-1 1,0 0-1,14-13 1,-19 15-77,0-1 0,0 0 1,-1 0-1,0-1 1,0 0-1,-1 0 0,0 0 1,-1-1-1,0 0 0,0 0 1,-1 0-1,-1-1 1,5-21-1,-8 4-3297,-10 12-5849,0 10 6925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1:59.3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 65 0,'-37'25'1528,"37"-24"-1524,-1 0-1,1-1 0,0 1 0,0-1 0,-1 1 0,1 0 1,0-1-1,0 1 0,0-1 0,0 1 0,0 0 1,0-1-1,0 1 0,0 0 0,0-1 0,0 1 0,0-1 1,0 1-1,1 0 0,-1-1 0,0 1 0,0-1 1,1 1-1,-1 0 0,0-1 0,1 1 0,-1-1 0,0 1 1,1-1-1,-1 1 0,1-1 0,-1 0 0,1 1 1,-1-1-1,1 1 0,-1-1 0,1 0 0,-1 0 0,1 1 1,0-1-1,-1 0 0,1 0 0,0 0 0,-1 1 1,1-1-1,-1 0 0,1 0 0,1 0 0,1 0 10,0 0-1,1 0 0,-1 0 0,0-1 1,0 1-1,1-1 0,-1 0 0,0 0 1,0 0-1,6-3 0,28-18 40,-36 21-48,1 0 1,-1 1-1,0-1 0,0 0 1,0 1-1,0-1 0,0 0 1,0 0-1,-1 0 0,1 0 1,0 0-1,0 0 0,-1 0 1,1 0-1,0 0 0,-1-1 1,1 1-1,-1 0 0,0 0 1,1-1-1,-1 1 0,0 0 0,0 0 1,0-1-1,1 1 0,-2 0 1,1 0-1,0-1 0,0 1 1,0-2-1,-1 2 2,0 1-1,1-1 1,-1 0-1,0 0 0,1 0 1,-1 1-1,0-1 1,0 1-1,0-1 1,0 0-1,0 1 1,0-1-1,0 1 1,1 0-1,-1-1 1,0 1-1,0 0 1,-1 0-1,1-1 1,0 1-1,0 0 1,0 0-1,0 0 1,0 0-1,0 0 1,0 1-1,0-1 1,0 0-1,0 0 1,-2 1-1,-1 1 4,-1 0-1,0 0 0,1 0 1,-1 1-1,-6 4 1,10-6-9,0-1 0,0 1 0,0 0 1,0-1-1,0 1 0,1 0 0,-1 0 1,0 0-1,0 0 0,1-1 0,-1 1 0,0 0 1,1 0-1,-1 0 0,1 0 0,-1 0 0,1 1 1,0-1-1,0 0 0,-1 0 0,1 0 1,0 0-1,0 0 0,0 0 0,0 0 0,0 1 1,0-1-1,0 0 0,1 0 0,-1 2 0,1-3 4,0 1 0,-1-1-1,1 0 1,0 0-1,0 0 1,-1 1 0,1-1-1,0 0 1,0 0-1,-1 0 1,1 0-1,0 0 1,0 0 0,-1 0-1,1 0 1,0-1-1,0 1 1,-1 0 0,1 0-1,0-1 1,0 1-1,0-1 1,16-6 178,-12 4-147,-1 1 0,1-1 0,-1-1 0,0 1 0,0-1 0,0 1 0,0-1 0,4-7 0,-2 4 26,-5 6 62,0 0 1,0 0 0,0 0 0,0 0 0,-1 0-1,1-1 1,0 1 0,-1 0 0,1 0 0,-1 0-1,1-1 1,-1 1 0,0 0 0,1 0 0,-1-1-1,0-1 1,0 2-18,0 0 0,0 1-1,-1-1 1,1 1 0,0-1-1,0 1 1,-1-1-1,1 1 1,0-1 0,-1 1-1,1-1 1,-1 1 0,1-1-1,-1 1 1,1-1 0,-1 1-1,1 0 1,-1-1-1,1 1 1,-1 0 0,1 0-1,-1-1 1,0 1 0,-2-1 41,0 1 0,0-1 1,1 1-1,-1 0 0,0 0 1,1 0-1,-1 0 0,0 0 1,0 0-1,1 1 0,-5 0 1,3 1-127,1 0 1,-1 0 0,1 1-1,0-1 1,0 1 0,0-1-1,0 1 1,0 0 0,0 0-1,1 0 1,-1 0 0,1 1 0,0-1-1,0 1 1,0 0 0,1-1-1,-1 1 1,1 0 0,0 0-1,0 0 1,0 0 0,0 0-1,1 0 1,0 0 0,0 0-1,0 4 1,0-7-19,0-1 0,0 1-1,0-1 1,0 1 0,0-1 0,0 1-1,0-1 1,0 1 0,0-1 0,1 0-1,-1 1 1,0-1 0,0 1 0,0-1-1,1 1 1,-1-1 0,0 0-1,0 1 1,1-1 0,-1 1 0,0-1-1,1 0 1,-1 1 0,1-1 0,-1 0-1,0 0 1,1 1 0,-1-1 0,1 0-1,-1 0 1,1 1 0,14-8 25,8-20 80,-8-7 223,-14 33-298,0-1 0,-1 0 0,1 1 0,-1-1 0,1 0 0,-1 0 0,0 0 0,1 1 0,-1-1 0,0 0 0,0 0 1,-1 0-1,1 0 0,0 1 0,0-1 0,-1 0 0,0-2 0,1 4-39,-1 0 1,1 0 0,0-1 0,0 1 0,-1 0-1,1 0 1,0-1 0,-1 1 0,1 0 0,0 0-1,-1 0 1,1 0 0,0 0 0,-1-1 0,1 1-1,0 0 1,-1 0 0,1 0 0,-1 0-1,1 0 1,0 0 0,-1 0 0,1 0 0,0 0-1,-1 0 1,1 1 0,-1-1 0,1 0 0,0 0-1,-1 0 1,1 0 0,0 1 0,-1-1 0,1 0-1,0 0 1,0 0 0,-1 1 0,1-1 0,0 0-1,-1 0 1,1 1 0,0-1 0,0 0-1,0 1 1,-1-1 0,1 0 0,0 1 0,0-1-1,0 0 1,0 1 0,0-1 0,0 1 0,0-1-1,0 0 1,0 1 0,-11 29-3671,8-20 2675,-10 50-3859,11-48 4089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2:03.4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1030 0,'-18'1'606,"9"-1"302,15-15-379,0 7 36,1 0 1,0-1-1,0 1 0,1 0 0,10-8 0,-8 8 190,27-24 3066,-29 26-3560,-1 0 1,0 1 0,0-2 0,-1 0-1,1 0 1,-2 0 0,1-1 0,4-9-1,56-112 1161,-66 128-1414,0 1-1,1-1 1,-1 1-1,0-1 1,0 1 0,0-1-1,1 1 1,-1 0-1,0-1 1,0 1 0,1-1-1,-1 1 1,0 0-1,1-1 1,-1 1 0,0 0-1,1-1 1,-1 1 0,1 0-1,-1 0 1,1-1-1,-1 1 1,0 0 0,1 0-1,-1 0 1,1 0-1,-1 0 1,1-1 0,-1 1-1,1 0 1,9-2 191,-8 0-136,0 1 0,-1-1 0,1 0 0,0 0 0,-1 0 0,1 0 0,-1-1 0,1 2 0,-1-1-1,0-1 1,1-3 0,10-18 34,32-64 724,-41 85-575,-3 11-158,-7 25-43,7-31-44,-4 13 13,0 1 0,0-1-1,-11 22 1,2-7-2,2 0 0,1 1-1,-10 54 1,-7 99-42,25-165 41,-13 171 0,15-166-10,1 1 1,1-2 0,1 1 0,0 0-1,2 0 1,8 23 0,-11-42-5,0-1 1,0 1-1,0-1 1,0 0-1,1 0 1,-1 0-1,1 0 1,0 0-1,0 0 1,1-1 0,-1 1-1,1-1 1,0 0-1,5 3 1,-7-5 3,0 0 1,1 0 0,0 0 0,-1 0-1,1-1 1,-1 1 0,1-1 0,0 1 0,-1-1-1,1 0 1,0 0 0,-1 0 0,1 0-1,0-1 1,-1 1 0,1-1 0,-1 0 0,1 0-1,-1 0 1,1 0 0,-1 0 0,1 0-1,-1 0 1,0-1 0,0 1 0,4-4 0,6-8 2,0 0 0,-1 0 0,0-1 0,-2 0 1,1 0-1,-2-2 0,12-26 0,2 0 13,4-15-13,-2 1 0,24-87 0,-11 28 36,-20 60 10,17-108 0,-30 143-32,-2 12-1217,4-15 3874,-8 17-6723</inkml:trace>
  <inkml:trace contextRef="#ctx0" brushRef="#br0" timeOffset="909.91">689 729 0,'-4'-6'82,"0"0"0,1 0 0,0 0 1,1 0-1,-1-1 0,1 2 0,0-2 0,1 1 0,-1-1 1,1 0-1,1 0 0,-1-8 0,-3-22 198,4 35 1000,-1 6 87,1 13 1325,1 28 363,-1-39-3239,-8 263 5096,1-8-2585,7-225-2070,6 102 583,-5-119-662,2 0 0,0 0 0,1-2 0,1 2 1,9 19-1,-13-35-134,0 0 1,0 0-1,1 0 1,-1 0-1,1-1 1,0 1-1,0-1 1,0 1-1,0-1 1,0 0-1,0 1 1,1-1-1,-1 0 1,1-2-1,-1 2 1,1 0-1,0-1 1,0 1-1,0-1 1,0 0-1,0 0 1,4 1-1,-4-2-148,-1-1-1,1 1 1,-1 0 0,1-1-1,0 1 1,-1-1-1,1 0 1,-1 0 0,0 0-1,1 0 1,-1 0-1,0-1 1,1 1 0,-1 0-1,0 0 1,0-1 0,0 0-1,0 0 1,-1 0-1,1 0 1,0 0 0,-1 0-1,1 0 1,-1 0-1,0-1 1,2-3 0,9-28-6915,0-5-1602</inkml:trace>
  <inkml:trace contextRef="#ctx0" brushRef="#br0" timeOffset="2915.3">1176 101 0,'0'-2'78,"1"0"-1,-1 0 1,1 0-1,0 0 1,-1 0-1,1 1 1,0-1-1,0 0 1,0 0-1,0 1 1,2-3-1,3-14 7235,-20 23-4434,0 1-1991,12-5-850,1 0 0,0 0 0,0 0 0,-1 0 0,1 0 0,0 0 0,0 0 0,0 0 0,0 1 0,0-1 0,1 0 0,-2 3 0,-4 6 59,-5 10 127,0 1 1,2 0-1,-8 23 1,-29 83 1301,25-79-1082,-14 59 1,7 0-54,4 2 0,5 0-1,-6 145 1,23-205-392,5 242 503,-1-256-375,3 1 1,1-1-1,1 0 0,2-1 0,2 1 1,16 35-1,-23-61-90,1-1 0,0 1 0,9 12 0,-12-18-25,1-1 0,-1 1 0,1 0 1,-1-1-1,1 0 0,0 1 1,0-1-1,0 0 0,0-1 1,0 0-1,1 1 0,5 1 1,-9-3-45,0 0-1,1 0 1,-1 1 0,0-1 0,0 0 0,0 0-1,1 0 1,-1 0 0,0 0 0,0 0 0,1 0-1,-1 0 1,0 0 0,0 0 0,1 0-1,-1 0 1,0 0 0,0 0 0,1 0 0,-1 0-1,0 0 1,0 0 0,1 0 0,-1 0 0,0-1-1,0 1 1,1 0 0,-1 0 0,0 0 0,0 0-1,0 0 1,0-1 0,1 1 0,-1 0 0,0 0-1,0 0 1,0-1 0,0 1 0,1 0 0,-1 0-1,0-1 1,0 1 0,0 0 0,0-1 0</inkml:trace>
  <inkml:trace contextRef="#ctx0" brushRef="#br0" timeOffset="10003.79">1807 669 0,'4'-33'1403,"-3"29"-1209,-1 0 1,0 0-1,-1 0 1,1 1-1,-1-1 0,1 0 1,-1 0-1,0 1 1,-1-1-1,1 0 1,-4-5-1,3 8 47,1-1 1,-1 1-1,1-1 1,-1 1-1,0 0 0,0 0 1,0 0-1,0 0 1,0 0-1,0 0 1,0 1-1,0-1 0,0 1 1,0-1-1,0 1 1,0 0-1,0 0 0,0 0 1,0 0-1,0 0 1,-1 0-1,1 0 1,0 1-1,0-1 0,0 1 1,-3 1-1,-10 3 27,0 1 0,1-1 0,0 2 0,-23 15 0,0 1 40,25-17-266,0 0 0,1 1-1,1 1 1,-1 0 0,1 0-1,0 0 1,1 1 0,0 1 0,0 0-1,1 0 1,-7 12 0,1 6-29,0 0 1,2 2 0,1 0 0,1 1 0,-10 52-1,15-52-15,1 1 0,2 1 0,2 0 0,1-2 0,1 2 0,2-1 0,12 50 0,-11-65 26,0-1-1,2-1 1,0 0-1,12 21 1,-15-31-13,-1 0 1,0-1-1,1 1 1,-1-1-1,1 0 0,0 0 1,0-1-1,1 1 1,-1-1-1,1 0 0,0-1 1,0 0-1,0 1 0,1-1 1,-1 0-1,0-1 1,7 2-1,11 1 12,1-2 0,-1-1 1,0 0-1,1-2 0,-1-1 0,1 0 0,25-7 0,-46 8-52,1 0 0,-1-1 0,0 1 0,0-1 0,1 2 0,-1-2-1,0 0 1,-1 0 0,1 0 0,0 0 0,0-1 0,-1 1 0,0-1-1,3-3 1,1-3-1613,-1 0 0,0 0-1,6-13 1,4-11-2835,-1 12 3559</inkml:trace>
  <inkml:trace contextRef="#ctx0" brushRef="#br0" timeOffset="11055.83">2032 52 0,'5'-19'313,"-5"17"-249,1-1-1,-1 1 1,1-1 0,-1 0 0,1 1-1,0 0 1,0-1 0,0 1-1,0-1 1,1 1 0,2-4 0,-3 8-43,0-1 0,0 1 0,0 0 0,0 0 0,0 0 0,0 0 0,-1 0 0,1 0 0,-1 0 0,1 0 0,-1 0 0,1 2 0,2 9 19,6 30 91,-2 1 0,2 76-1,0-5 245,0 7 2825,-7 146 0,-15-29 1020,0-81-4425,6-61 523,-22 214 935,22-275-1167,-2-1-1,-1-1 1,-27 61-1,20-54-352,13-32-1377,1-27-5315,9-28 2529,1 19 3716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2:17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90 127 0,'-10'-15'212,"2"3"599,5 32-298,3-9-410,1-1-1,1 0 1,-1 1-1,7 18 1,-4-18-32,-1 0 0,0 1 0,2 22-1,-2 56 1055,-2 121 7319,-3-136-8788,2 17 1246,22 176 1,-19-220-595,-1-1 1,-3-1 0,-12 90 0,3-45-91,6-37-136,-3-2 0,-2 0 0,-1 1 0,-30 79 0,33-109-111,4-15-187,0 0 0,0 1 0,-9 14 0,10-38-12874,2-7 12320</inkml:trace>
  <inkml:trace contextRef="#ctx0" brushRef="#br0" timeOffset="2084.85">305 30 0,'-1'-2'25,"1"1"-1,0 0 1,0 0 0,0 0-1,0-1 1,1 1 0,-1 0-1,0 0 1,0 0 0,1 0-1,-1-1 1,1 1 0,-1 0-1,1 0 1,-1 0 0,1 0-1,-1 0 1,1 0 0,0 0-1,0 0 1,0 0 0,0 1-1,-1-1 1,1 0 0,1 0-1,0 0 5,-1 1 0,1 0-1,-1 0 1,0 0-1,1 0 1,-1 0 0,1 0-1,-1 0 1,0 1-1,1-1 1,-1 0 0,0 1-1,1-1 1,-1 1-1,0-1 1,1 1-1,-1 0 1,0 0 0,0-1-1,0 1 1,0 0-1,2 2 1,0 0-11,-1 0 0,1 0 0,-1 0 0,0 0 0,-1 0 0,1 1 0,0-1 0,-1 0 0,1 0 0,-1 1 0,0 0 0,0-1 1,0 1-1,0 0 0,-1 5 0,0 49 78,-1-51-77,0-1-1,-1 1 0,0-1 1,0 0-1,0 1 0,0-1 1,-1 0-1,0 0 0,0-1 1,-1 0-1,0 0 0,0 1 1,0-1-1,-1 0 0,0-1 1,0 1-1,0-1 0,0 0 1,-12 6-1,14-7-8,0 1 1,1 0-1,-1-1 0,1 1 1,-1 0-1,1 1 0,0-2 0,1 1 1,-1 0-1,-1 8 0,-1 10 125,6-19 38,3-10 104,-1-1-271,1 1 0,0 0 0,0 0 0,1 1 1,-1 0-1,8-6 0,-6 6 0,-6 5 32,-1 0 1,1 1 0,-1-1-1,1 1 1,-1-1-1,1 1 1,0-1-1,-1 1 1,1-1-1,0 1 1,-1-1-1,1 1 1,0 0-1,-1 0 1,1-1-1,0 1 1,0 0 0,-1 0-1,1 0 1,0 0-1,0 0 1,-1 0-1,1 0 1,0 0-1,0 0 1,-1 0-1,1 0 1,0 0-1,0 1 1,-1-1 0,1 0-1,0 0 1,0 1-1,-1-1 1,1 1-1,0-1 1,-1 0-1,1 1 1,-1 0-1,1-1 1,-1 1-1,1-1 1,-1 1-1,1-1 1,0 2 0,14 35 4402,-10-25-3920,-4-9-415,1 0 0,0 0 1,0-1-1,-1 1 0,2-1 0,-1 1 1,0-1-1,0 0 0,1 0 0,0 0 1,-1 0-1,1 0 0,0-1 1,0 1-1,-1-1 0,1 0 0,5 2 1,-3-2-101,0-1 0,0 1 0,0-1 1,0 0-1,0 0 0,0 0 0,0-1 1,0 0-1,0 0 0,9-3 0,5-3-367,-13 3-938,2-1-1,-1 1 1,0-1 0,0-1 0,-1 1 0,1-1 0,8-10 0,-3 0 539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2:25.0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2062 0,'-10'11'224,"11"-11"272,16-22 247,3-12-689,-15 27-33,0-1-1,-1 0 1,0 0-1,0 0 1,-1 0 0,-1-1-1,4-15 1,12-146 386,-11 72-309,-4 76-388,15-146 633,44-226 7158,35-25-5689,-76 332-1669,14-49-60,-24 95-51,-2-2 0,6-83 0,-5 34-3,-9 87-26,0 1 0,0-1 0,1 0 0,0 1 0,0-1-1,1 0 1,-1 1 0,1-1 0,4-4 0,-5 6 9,0 0-1,0 0 0,0 1 1,1-1-1,-1 1 0,1-1 1,0 1-1,-1 0 0,1 0 1,3-1-1,-1 1-4,1 1 0,-1-1 0,-1 1 0,1 0 0,1 1-1,-1-1 1,9 2 0,25-2 30,61-8 0,-55 2-28,0 3 1,1 2 0,56 4-1,-21 4 74,83 1-59,29 1-14,4 0 40,-108-11-37,122 1-114,-145 4 96,-27 1 31,1-2 1,62-8 0,175-30-41,31 17 209,-170 26-179,-95-3 18,89-4 0,-88-1-13,-2 1 0,74 8 0,84 24-40,-37 7 67,-13-1-27,-92-28-11,63 0-1,-87-7 62,-6-2-76,0-1 0,33-5 0,-39 3 5,0 1 0,0 0-1,0 2 1,39 4 0,-45-2-2,1-1 0,0-1 0,19-2 0,27 0 28,-8 2-7,75-10 0,-28 2-7,20 17 73,-60-6-74,-47-1 17,0-1 0,1-1 1,18-2-1,-9-1 6,-1 2 0,27 0 0,-22 2 8,-28-1-37,13 0 36,0 0 1,0-1-1,25-5 1,-30 4 44,-1 0 1,0 0-1,0 0 1,0 1-1,0 1 1,13 0-1,-10 0-76,7-1 61,1 1 0,0 1-1,-1 1 1,0 1 0,0 0 0,22 8 0,-28-8-66,-3-1 2,1 1 0,-1 0 0,0 0 0,10 6 0,-17-7-7,0 0 1,0 0-1,0 0 0,0 0 1,0 0-1,0 0 0,-1 0 1,1 0-1,-1 1 1,2 2-1,-3-3 0,1 0 0,0 0 0,0 0 0,1 0 0,-1-1 0,0 1 0,1 0 0,-1-1 0,1 1 0,-1-1 0,1 1 0,-1-1 0,1 0 0,0 0 0,0 0 0,0 0 0,4 2 0,3-1 3,1 0 0,0-1 0,0 0 0,0 0 1,0-1-1,1-1 0,-2 0 0,1 0 0,17-5 0,41-3 19,-46 6-37,1 0 1,24-6-1,-38 7 18,0 1 0,0 0 0,-1 1 0,1 0 0,13 2 0,-13-1 92,1-1 1,-1 0-1,1 0 1,-1 0-1,12-3 1,-15 2-21,0 0 1,0 1 0,0 0-1,0 0 1,0 1-1,0-1 1,9 4-1,-10-3-64,0 0-1,0 0 0,0 0 0,0-1 0,0 0 1,0 0-1,0 0 0,1 0 0,6-2 1,-13-1-1839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2:38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16 740 0,'-14'-8'1006,"12"7"103,11 0 74,-4 1-862,58-9 5894,10-1-4628,-34 6-970,8-1 838,94 1 1,-54 14-602,29 1 452,-102-10-1180,0-2 0,0 0 1,1-1-1,-1 0 0,0-1 1,15-5-1,6-6 61,28-10 81,-58 22-222,0 1 0,0 0 0,0 0 0,0 0-1,0 1 1,0-1 0,0 1 0,0 1 0,9 0 0,-14-1-33,0 0 0,1 0 1,-1 0-1,1 0 1,-1 0-1,1 0 0,-1 0 1,0 1-1,1-1 0,-1 0 1,1 0-1,-1 0 0,0 1 1,1-1-1,-1 0 0,0 0 1,1 1-1,-1-1 1,0 0-1,1 1 0,-1-1 1,0 0-1,0 1 0,1-1 1,-1 0-1,0 1 0,0 0 1,-2 2-1685</inkml:trace>
  <inkml:trace contextRef="#ctx0" brushRef="#br0" timeOffset="968.02">157 1274 0,'-10'-7'455,"-21"-9"168,31 16-581,-1-1-1,0 1 0,0 0 0,1 0 0,-1-1 0,0 1 0,0 0 0,0 0 1,0 0-1,1 0 0,-1 0 0,0 0 0,0 0 0,0 0 0,0 1 0,1-1 1,-1 0-1,0 0 0,0 1 0,-2 8 8424,31-9-7063,-13-2-1116,-1-1 0,0 0 0,0-1 0,21-9 0,-9 4 323,-15 5-397,2 1-1,-1 1 1,0 0-1,1 0 1,-1 1-1,14 1 1,79 9 932,-60-4-674,-2-2-48,-1-2 0,1-1 1,79-13-1,-118 12-400,0 0 0,0 1 0,0-1 0,0 1 0,1 0 0,-1 0 0,0 0 0,0 0 0,0 1 0,0 0 0,0 0 1,0 0-1,-1 0 0,1 0 0,0 1 0,0 0 0,-1 0 0,1 0 0,5 5 0,-9-7-45,0 0-1,0 0 0,0 0 1,1 0-1,-1 0 1,0 1-1,0-1 1,0 0-1,0 0 1,0 0-1,0 0 1,0 0-1,0 0 1,0 1-1,1-1 1,-1 0-1,0 0 1,0 0-1,0 0 0,0 0 1,0 0-1,1 0 1,-1 0-1,0 0 1,0 0-1,0 0 1,0 0-1,0 0 1,1 0-1,-1 0 1,0 0-1,0 0 1,0 0-1,0 0 0,0 0 1,1 0-1,-1 0 1,0 0-1,0 0 1,0 0-1,0 0 1,1 0-1,-1 0 1,0 0-1,0 0 1,0 0-1,0 0 1,0 0-1,0-1 1,1 1-1</inkml:trace>
  <inkml:trace contextRef="#ctx0" brushRef="#br0" timeOffset="27828.05">1814 886 0,'-7'-2'1141,"-21"-10"-804,28 12 69,-1-1 1,0 0-1,1 1 1,-1-1-1,1 0 0,-1 1 1,1-1-1,-1 0 1,1 0-1,-1 1 0,1-1 1,0 0-1,-1 0 1,1 0-1,0 0 0,0 1 1,0-1-1,-1 0 1,1-1-1,39 5 3183,12-2-2445,-35 0-837,-1-1 1,1 0-1,-1-1 0,31-6 0,-11 2 166,0 1 0,0 2-1,0 1 1,60 6-1,-45-1 20,69-5-1,-86-2-153,-1-1-1,0-1 1,32-10-1,-16 3 24,2 2 0,61-4 0,-41 6 27,74 2 349,-107 6-503,0-1 0,1-2 0,52-10-1,-73 6-301,0 0 1008,-30 40-25078</inkml:trace>
  <inkml:trace contextRef="#ctx0" brushRef="#br0" timeOffset="40281.71">1893 705 0,'-1'24'698,"1"-16"153,2-25-376,16-126 1347,-5 58 4211,7 0-4013,-7 34-1207,8-69-1,-19 102-637,0-14 384,2-1 1,1 0 0,1 1-1,19-53 1,-25 85-548,0 0 0,0 0-1,0 0 1,0-1 0,0 1 0,0 0 0,0 0 0,0 0-1,0 0 1,0 0 0,0 0 0,0 0 0,0 0-1,0-1 1,0 1 0,0 0 0,0 0 0,0 0 0,0 0-1,0 0 1,0 0 0,1 0 0,-1 0 0,0 0 0,0 0-1,0 0 1,0 0 0,0 0 0,0 0 0,0-1 0,0 1-1,0 0 1,1 0 0,-1 0 0,0 0 0,0 0 0,0 0-1,0 0 1,0 0 0,0 0 0,0 0 0,0 0 0,1 0-1,-1 0 1,0 0 0,0 1 0,0-1 0,0 0 0,0 0-1,0 0 1,0 0 0,0 0 0,0 0 0,0 0-1,1 0 1,-1 0 0,0 0 0,0 0 0,0 0 0,0 0-1,0 0 1,0 1 0,0-1 0,0 0 0,5 12 190,4 25-192,7 105 95,-11-74-104,-4-60-3,0 0 0,0 0 0,1 0 0,0 0 0,0-1-1,5 11 1,-6-16 2,-1-1 0,1 0 0,0 1 0,0-1-1,0 0 1,0 0 0,0 1 0,0-1 0,0 0-1,0 0 1,0 0 0,1 0 0,-1 0 0,0-1-1,1 1 1,-1 0 0,1-1 0,-1 1 0,1-1-1,-1 1 1,1-1 0,-1 1 0,1-1 0,-1 0-1,1 0 1,-1 0 0,1 0 0,-1 0 0,1 0-1,-1 0 1,1-1 0,0 1 0,-1-1 0,0 1-1,1-1 1,-1 1 0,1-1 0,-1 0 0,0 0-1,2-1 1,5-3 4,0 0 1,-1 0-1,0-1 0,0-1 1,-1 1-1,1-1 0,-1 0 1,-1 0-1,1-1 0,-1 0 0,-1 0 1,7-15-1,0-4 15,0-1-1,10-48 1,-17 58 11,4-23 81,-5 40-75,5 7 44,5 9 55,0 14-54,-4-12-56,-1 1 0,-1 1 0,9 37 1,-5-18 21,0 0 0,26 53 0,-32-81-32,-3-5-424,-3-6 1400,-2-5-2629</inkml:trace>
  <inkml:trace contextRef="#ctx0" brushRef="#br0" timeOffset="43833.23">1929 1016 0,'-19'-19'1175,"27"36"-595,11 21-389,-13-26-93,1 2-1,-2-1 1,5 16-1,-3-3 1292,-1 1-1,-1 0 0,-1 0 0,-1 0 0,-2 40 0,-2-46-978,-2-1 1,0 1-1,-1-1 1,-11 34-1,3-19-159,-1-1 0,-2 0 1,-33 56-1,32-74 122,8-15-2701,5-12-6901,3 8 7411</inkml:trace>
  <inkml:trace contextRef="#ctx0" brushRef="#br0" timeOffset="44780.18">1904 1170 0,'-1'0'8,"0"0"-1,0 0 1,-1 0 0,1 0 0,0 0-1,0 0 1,0 0 0,0 0 0,-1-1-1,1 1 1,0-1 0,0 1-1,0 0 1,0-1 0,0 0 0,0 1-1,0-1 1,0 0 0,0 1 0,0-1-1,0 0 1,0 0 0,0 0-1,1 0 1,-2-2 0,1 2 22,1-1 0,-1 0-1,1 0 1,0 0 0,0 0 0,0 0 0,0 0 0,0 0 0,0 0-1,1 1 1,-1-1 0,0 0 0,1 0 0,0-2 0,3-5 146,0 0 0,1 0 0,10-16 0,-14 25-174,11-16 117,1 0 1,1 2-1,1 0 0,0 0 1,1 1-1,0 1 1,1 1-1,29-15 0,-43 24-97,-1 1 254,1-1 0,0 1 0,-1 0 0,1 0 0,0 0 0,0 0 0,0 0 0,0 1 0,0-1 0,0 1 0,0 0 0,0 0 0,0 0 0,1 0 0,-1 0 0,0 1 0,0-1 0,0 1 0,0 0 0,-1 0 0,1 0 0,0 0 0,0 1 0,5 3 0,2 2 226,0 1-1,-1 1 1,0 0-1,14 17 1,-17-19-529,-2-2 146,-1 0 0,0 0 0,0 0 0,0 0 1,0 0-1,-1 0 0,0 1 0,0-1 0,-1 1 0,1-1 1,-1 1-1,0 0 0,-1 0 0,1-1 0,-1 1 0,0 0 1,-1 0-1,0 0 0,1-1 0,-2 1 0,1 0 0,-1-1 0,-4 11 1,-5 8 110,-1 0 0,-1 0 1,-31 41-1,25-39-96,-12 25 20,21-35-145,0 1 0,-1-1 0,-21 24 0,32-40-9,0-1 1,0 1 0,0 0-1,0 0 1,0-1-1,0 1 1,0 0 0,0-1-1,0 1 1,0 0-1,0 0 1,0-1 0,0 1-1,0 0 1,0 0-1,0-1 1,0 1 0,0 0-1,0-1 1,0 1 0,0 0-1,0 0 1,-1-1-1,1 1 1,0 0 0,0 0-1,0 0 1,0-1-1,-1 1 1,1 0 0,0 0-1,0 0 1,-1 0-1,1-1 1,0 1 0,0 0-1,-1 0 1,1 0-1,0 0 1,0 0 0,-1 0-1,1 0 1,0 0-1,0 0 1,-1 0 0,1 0-1,0 0 1,-1 0 0,1 0-1,0 0 1,0 0-1,-1 0 1,1 0 0,0 0-1,0 0 1,-1 0-1,1 0 1,0 0 0,0 1-1,-1-1 1,1 0-1,0 0 1,0 0 0,-1 1-1,1-1 1,0 0-1,0 1 1,2-24-25,0 16 28,0 0 0,0 0 0,1 0 0,0 1 0,5-8-1,-2 3 1,-5 9-5,-1 1 0,1 0 0,-1 0 0,1 0 0,-1 0 0,1 0 0,0 0 1,-1 0-1,1 0 0,0 1 0,0-1 0,0 0 0,0 0 0,0 0 0,0 1 0,0-1 0,2 0 0,-3 1 1,0 0 0,1 0-1,-1 0 1,1 0-1,-1 0 1,1 1-1,-1-1 1,1 0 0,-1 0-1,1 0 1,-1 1-1,0-1 1,1 0-1,-1 1 1,0-1 0,1 0-1,-1 1 1,0-1-1,1 0 1,-1 1-1,0-1 1,1 1 0,-1-1-1,0 1 1,0-1-1,1 1 1,6 32 14,-7 11-15,1 22-7,-1-63 14,0 1 0,1-1-1,0 1 1,0-1-1,0 0 1,0 1-1,0-1 1,1 0 0,-1 0-1,1 0 1,0 0-1,0 0 1,0 0 0,4 4-1,-3-5 4,-1-1 0,1 0 0,0 1 0,-1-1 0,1 0 0,0 0 0,0 0 0,0-1-1,0 1 1,0-1 0,0 0 0,0 1 0,0-1 0,0-1 0,-1 1 0,1 0 0,4-1 0,54-15-134,-51 12 10,48-17-2462,0-3-5754,-50 21 6577,26-11-755</inkml:trace>
  <inkml:trace contextRef="#ctx0" brushRef="#br0" timeOffset="45914.21">2606 1058 0,'7'-24'2210,"-7"22"-1844,0 0 0,1-1 0,-1 1 0,1 0 0,-1-1-1,1 1 1,0 0 0,0 0 0,0 0 0,0 0 0,0 0 0,1 0-1,-1 0 1,1 0 0,-1 0 0,1 0 0,-1 1 0,1-1 0,3-1-1,-4 3-269,-1-1-1,1 1 1,-1 0-1,0 1 0,1-1 1,-1 0-1,1 0 0,-1 0 1,1 0-1,-1 0 1,0 0-1,1 0 0,-1 1 1,1-1-1,-1 0 1,0 0-1,1 1 0,-1-1 1,0 0-1,1 0 0,-1 1 1,0-1-1,1 0 1,-1 1-1,0-1 0,0 1 1,1-1-1,-1 0 1,0 1-1,0-1 0,0 1 1,9 20 175,-7-13-17,9 24 330,-3 0 0,0 0 0,5 53 0,-11-64-319,-1 0-1,-1 1 0,-1-1 1,-1 0-1,-1 0 0,0 0 0,-8 22 1,5-23-193,-2-1 0,-1 0 1,0-1-1,-1 0 0,-1 0 1,-1-1-1,0 0 1,-1-1-1,-1-1 0,0 0 1,-26 20-1,39-34-104,0 0-1,-1 0 1,1 0-1,0 0 1,-1 0-1,1 0 1,-1 0 0,1-1-1,-1 1 1,1 0-1,-1-1 1,0 1 0,1-1-1,-1 0 1,0 0-1,1 1 1,-1-1-1,0 0 1,0 0 0,1-1-1,-1 1 1,0 0-1,1 0 1,-1-1 0,0 1-1,1-1 1,-1 0-1,1 1 1,-1-1-1,1 0 1,-1 0 0,1 0-1,-3-2 1,3 1-354,-1 0 0,1 0 0,0 0 0,0 0 0,-1-1 0,1 1 0,1 0 0,-1 0 0,-1-5 0,1-28-7940,7 4 4768,5 1 2364</inkml:trace>
  <inkml:trace contextRef="#ctx0" brushRef="#br0" timeOffset="46342.62">2513 1055 80,'-2'-1'81,"1"1"1,-1-1-1,1 0 0,0 1 1,-1-1-1,1 0 0,0 0 0,-1 0 1,1 0-1,0-1 0,0 1 1,0 0-1,0 0 0,0-1 1,0 1-1,-1-2 0,2 1-46,0 0-1,0-1 1,0 1 0,0 0-1,0 0 1,0 0 0,1-1-1,-1 1 1,1 0 0,-1 0-1,1 0 1,0 0 0,0 0-1,0 0 1,1-2-1,16-27 48,-11 20 1158,1 0 0,0 0 0,13-12 0,-17 19-726,0 0 0,0 0 1,1 0-1,0 1 0,0 0 1,0 0-1,0 0 0,7-2 1,-9 4-445,-1 0 0,1 1 0,0-1 0,0 1 0,0-1 0,0 1 0,0 0 0,0 0 0,0 0 0,0 1 0,0-1 0,0 1 0,0 0 0,0 0 0,0-1 0,0 2 0,2 0 0,12 8 822,-1 1 0,26 21 0,-27-20-256,0 0 0,24 13 0,-32-21-560,-1-1 1,1 0-1,0-1 1,0 1-1,0-1 1,0-1-1,1 1 1,-1-1-1,0-1 0,9 1 1,-8-2-266,0 1-1,0-1 1,0-1 0,0 0-1,0 0 1,0 0 0,-1-1 0,12-5-1,16-13-4703,0-4-3700,-33 23 7957,22-15-1598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3:29.0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46 493 0,'-6'-26'785,"-2"20"-240,7 6-532,0 0 0,0 0 0,1 1 0,-1-1 0,1 0 0,-1 1 0,0-1 0,1 0 0,-1 1 0,1-1 0,-1 1 0,1-1 0,-1 1 0,1-1 0,-1 1 0,1-1 0,-1 1 0,1 0 0,-1 0 0,-1 5-1,-1 0 1,1 0 0,0 0-1,1 0 1,0 1 0,0-1-1,0 0 1,0 12-1,1-11 0,0-6-9,-1 0 0,1 0 0,0 0-1,0 1 1,0-1 0,0 0 0,0 0 0,0 1 0,0-1-1,0 0 1,0 0 0,0 1 0,1-1 0,-1 0 0,1 0-1,-1 0 1,1 0 0,-1 0 0,1 1 0,0-1 0,-1 0-1,1 0 1,0-1 0,0 1 0,0 0 0,0 0 0,0 0 0,0 0-1,0-1 1,0 1 0,0 0 0,0-1 0,0 1 0,0-1-1,0 1 1,1-1 0,-1 0 0,1 1 0,0-1 0,0 0 0,0-1 0,-1 1 0,1 0 0,0-1 0,-1 1 0,1-1 0,-1 1 0,1-1 0,-1 0 0,1 0 0,-1 0 0,1 0 0,-1 0 0,1 0 0,-1 0 0,0 0 0,0 0 0,0-1 0,0 1 0,0 0 0,0-1 0,2-2 0,2-7 26,9-20 31,-14 29-47,1 1-1,-1-1 1,1 1-1,-1-1 1,0 0-1,0 1 1,1-1-1,-1 1 1,0-1-1,-1 0 1,1 1-1,0-1 1,0 1-1,-1-1 1,1 1-1,-1-1 1,0-1-1,0 2 13,1 1-1,-1-1 0,0 1 1,0-1-1,1 1 0,-1-1 1,0 1-1,0 0 0,0 0 0,0-1 1,1 1-1,-1 0 0,0 0 1,0 0-1,0 0 0,0 0 0,0 0 1,0 0-1,1 0 0,-1 0 1,0 1-1,0-1 0,0 0 1,0 1-1,1-1 0,-1 0 0,0 1 1,0-1-1,0 1 0,1-1 1,-1 1-1,0-1 0,1 1 1,-1 0-1,-26 21 3384,24-17-3248,0 0-1,-1 0 1,2 0 0,-1 1 0,1-1 0,-1 1 0,2-1 0,-1 1 0,-1 8 0,3-12-172,-1 0 1,1 1 0,0-1-1,0 0 1,0 0 0,0 1-1,0-1 1,1 0 0,-1 0 0,1 0-1,-1 1 1,2 2 0,-1-4 16,0 0 0,-1 0 0,1-1 0,0 1 0,0 0 0,-1 0 0,1 0 0,0-1 0,0 1 0,0 0 0,0-1 0,0 1 0,0-1 0,0 1 0,0-1 0,0 0 0,1 1 0,-1-1 0,0 0 0,0 0 1,0 0-1,0 0 0,0 0 0,0 0 0,2 0 0,0-1 8,-1 0 0,1 1 0,-1-2 1,0 1-1,1 0 0,-1 0 0,0-1 1,0 1-1,0-1 0,0 1 0,0-1 0,0 0 1,-1 0-1,1 0 0,-1 0 0,1 0 1,-1 0-1,0 0 0,0-1 0,2-3 1,18-51 705,-20 54-620,1-5 171,0 1 1,0-1-1,-1 1 0,0-13 1,-1 19-230,0 0 0,0 0 0,0 0 1,0 0-1,0 0 0,0 0 0,-1 1 1,1-1-1,0 0 0,0 0 0,-1 0 0,1 0 1,-1 0-1,1 1 0,-1-1 0,1 0 1,-1 0-1,0-1 0,0 2-25,0 0 0,0 0 0,0 0-1,0 0 1,0-1 0,1 1 0,-1 0 0,0 1 0,0-1 0,0 0-1,0 0 1,0 0 0,1 0 0,-1 1 0,0-1 0,0 0 0,0 1-1,1-1 1,-1 1 0,0-1 0,1 1 0,-1-1 0,0 1-1,1-1 1,-2 2 0,-3 1 4,0 1 0,0 0 0,1 1 0,-1-1-1,1 1 1,0 0 0,0 0 0,0 0 0,1 0 0,0 1-1,0-1 1,0 1 0,1 0 0,-1 0 0,-1 10 0,4-15-20,0-1 0,-1 1 0,1-1 0,0 1 0,0-1 0,0 1 0,0 0 1,0-1-1,0 1 0,0-1 0,0 1 0,0-1 0,0 1 0,0 0 1,0-1-1,0 1 0,1-1 0,-1 1 0,0-1 0,0 1 0,1-1 0,-1 1 1,0-1-1,0 1 0,1-1 0,-1 0 0,1 1 0,-1-1 0,0 1 0,1-1 1,-1 0-1,1 1 0,-1-1 0,1 0 0,-1 0 0,1 1 0,-1-1 1,1 0-1,-1 0 0,1 0 0,0 1 0,-1-1 0,1 0 0,-1 0 0,1 0 1,-1 0-1,1 0 0,-1 0 0,1 0 0,0-1 0,-1 1 0,1 0 0,0 0 1,2-1 4,-1 0 0,1 0 0,-1 0 0,1 0 0,-1-1 0,0 1 0,1-1 0,-1 1 0,3-4 0,0-1 5,0 0-1,0-1 1,-1 1 0,6-13-1,-9 16 6,0 0-1,1 0 0,-1 1 1,-1-1-1,1 0 1,0 0-1,-1 0 0,1 0 1,-1-1-1,0 1 0,0 0 1,0 0-1,0 0 1,-2-4-1,2 7-4,0-1-1,0 1 1,0-1 0,0 1 0,0-1-1,-1 1 1,1-1 0,0 1 0,0 0-1,-1-1 1,1 1 0,0-1 0,-1 1-1,1 0 1,0-1 0,-1 1 0,1 0-1,0-1 1,-1 1 0,1 0 0,-1 0-1,1 0 1,-1-1 0,1 1 0,-1 0-1,1 0 1,-1 0 0,1 0 0,0 0-1,-1 0 1,1 0 0,-1 0 0,1 0-1,-1 0 1,1 0 0,-1 0 0,1 0-1,-1 0 1,1 0 0,-1 0 0,1 0-1,-1 1 1,1-1 0,-1 0 0,1 0-1,0 1 1,-1-1 0,1 0 0,0 1-1,-1-1 1,1 0 0,0 1 0,-1-1-1,1 0 1,0 1 0,-1-1 0,1 1-1,0-1 1,0 1 0,-1 0 0,-19 32-274,3 22-1761,8-7-6513,7-27 7098</inkml:trace>
  <inkml:trace contextRef="#ctx0" brushRef="#br0" timeOffset="2086.63">333 250 0,'-1'0'24,"1"0"0,0 1 0,-1-1-1,1 0 1,-1 0 0,1 0 0,0 0 0,-1 0 0,1 0 0,-1 1 0,1-1-1,-1 0 1,1 0 0,0 0 0,-1 0 0,1-1 0,-1 1 0,1 0 0,-1 0-1,1 0 1,0 0 0,-1 0 0,1 0 0,0-1 0,-1 1 0,1 0-1,-1 0 1,1-1 0,0 1 0,0 0 0,-1-1 0,1 1 0,0 0 0,-1-1-1,1 1 1,0 0 0,0-1 0,0 1 0,-1 0 0,1-1 0,0 1 0,0-1-1,0 1 1,0 0 0,0-1 0,0 1 0,0-1 0,0 1 0,0-1-1,0 1 1,0 0 0,0-1 0,1-32 177,0 21-40,1 1 0,0-1 0,0 0 0,1 1 0,1 0 0,0 0 0,1 0 0,0 0 0,0 1 0,1 0 1,0 0-1,1 0 0,15-15 0,-17 20 668,0 0 1,1 1-1,0-1 1,0 2-1,0-1 1,0 1-1,9-4 1,-12 6-742,0 0 0,0 1 0,0-1 0,0 1-1,0 0 1,0 0 0,0 0 0,0 0 0,0 0 0,0 1 0,0-1 0,0 1 0,0 0 0,0 0 0,-1 0 0,1 0 0,0 0 0,0 1 0,-1-1 0,3 3 0,9 5 243,-3-1 134,0-1 1,0 2 0,16 16 0,-23-21-375,-1 0 1,0 0 0,0 0 0,-1 0 0,0 1 0,1-1-1,-1 1 1,-1-1 0,1 1 0,-1 0 0,0 0 0,0 0 0,1 10-1,1 18 166,-2 0 0,-1 0-1,-1 0 1,-2 0-1,-1 0 1,-14 53 0,-9-5-14,-60 129 1,-26 48-217,23-48-14,74-186 18,13-23-47,9-17 6,73-134 1,-77 147 4,0-1 0,0 0 0,1 1 1,-1 0-1,1 0 0,4-5 1,-7 8 4,0 0-1,0 0 1,1 0 0,-1-1 0,0 1 0,0 0 0,0 0-1,1 0 1,-1 0 0,0 0 0,1-1 0,-1 1 0,0 0-1,0 0 1,1 0 0,-1 0 0,0 0 0,1 0 0,-1 0-1,0 0 1,0 0 0,1 0 0,-1 0 0,0 0 0,1 1-1,-1-1 1,0 0 0,0 0 0,1 0 0,-1 0 0,0 0 0,0 0-1,1 1 1,-1-1 0,0 0 0,6 21 28,-7 36-10,-1-46-14,2 0 0,-1 1 0,2-1 0,-1 1 0,6 22 1,-6-33 4,1 1 1,-1 0 0,1-1 0,0 1 0,-1-1-1,1 1 1,0 0 0,0-1 0,0 0 0,1 1-1,-1-1 1,0 0 0,0 0 0,1 1 0,-1-1-1,0 0 1,1 0 0,0 0 0,-1-1 0,1 1-1,-1 0 1,1-1 0,0 1 0,-1-1 0,1 1-1,0-1 1,0 0 0,-1 0 0,1 1 0,0-1 0,0-1-1,-1 1 1,1 0 0,0 0 0,0-1 0,2 0-1,8-2 30,-1-1 0,0 0 0,1-1 0,12-8 0,-9 5-76,83-43-3307,-83 41-399,-1 0 0,15-13 0,5-9 657</inkml:trace>
  <inkml:trace contextRef="#ctx0" brushRef="#br0" timeOffset="2829.29">1236 542 0,'-1'-21'1221,"-3"-26"-884,-1 34 3353,-2 3 3611,5 8-6997,0 0 0,0 1 0,0-1 0,-1 1 0,1 0 0,-1 0-1,1 0 1,-1 0 0,1 0 0,-1 0 0,1 1 0,-1-1 0,0 1 0,1 0-1,-1 0 1,0 0 0,-4 0 0,-37 10-102,40-9 25,-5 3-69,1 0 0,0 0 1,0 1-1,0 0 0,1 1 0,-1-1 0,1 2 1,1-1-1,-1 1 0,1 0 0,0 0 0,-5 9 1,7-11-102,-16 22 74,2 1 1,1 0 0,0 1-1,3 1 1,0 1-1,2 0 1,-12 46 0,18-49-29,1-1 0,1 1 0,1 0 0,1 0 0,2 0 0,1 0 0,1 0 0,1 0 0,8 31 0,-9-51-57,1 0 0,-1 0 0,1 0 1,1 0-1,-1 0 0,1-1 0,1 0 0,-1 0 1,1 0-1,1 0 0,-1-1 0,10 9 0,-11-11-44,1-1-1,0 0 0,0 0 1,0 0-1,0-1 0,1 1 1,-1-1-1,1-1 0,-1 1 0,1-1 1,0 0-1,-1 0 0,1 0 1,0-1-1,0 0 0,-1 0 1,1-1-1,11-2 0,-5 0-698,1 0 0,0-1 0,21-10 0,9-10-9823,-24 14 1766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3:36.7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35 888 0,'0'-2'116,"-1"0"0,1 0 0,-1 0-1,1 0 1,-1 0 0,0 0 0,0 1 0,1-1 0,-1 0 0,-1-1-1,-4-1 242,3 17-101,4-4-225,0 0-1,0 1 1,1-1 0,1 0-1,2 9 1,-4-15-23,-1-3-4,0 1 0,0-1 0,0 0 0,0 1 0,0-1 0,0 0 0,0 1 0,0-1 0,1 0 0,-1 1-1,0-1 1,0 0 0,0 1 0,1-1 0,-1 0 0,0 0 0,0 1 0,1-1 0,-1 0 0,0 0 0,0 1 0,1-1 0,-1 0 0,0 0 0,1 0 0,-1 0 0,0 1 0,1-1-1,-1 0 1,0 0 0,1 0 0,-1 0 0,1 0 0,-1 0 0,0 0 0,1 0 0,-1 0 0,0 0 0,1 0 0,-1 0 0,0 0 0,1 0 0,-1-1 0,0 1 0,1 0 0,-1 0-1,0 0 1,1 0 0,-1-1 0,0 1 0,1 0 0,-1 0 0,0-1 0,0 1 0,1 0 0,-1 0 0,0-1 0,0 1 0,0 0 0,1-1 0,-1 1 0,0 0 0,0-1-1,0 1 1,0 0 0,0-1 0,11-18 360,-9 12 274,1 2-138,-1 0 0,0 0-1,0-2 1,-1 2 0,1 0 0,-1-1-1,-1 1 1,1-1 0,-1 1-1,1-1 1,-1 1 0,-1-1-1,-1-7 1,2 12-471,0 1 1,0-1 0,0 1-1,0-1 1,-1 1-1,1-1 1,0 1-1,0-1 1,-1 1 0,1-1-1,0 1 1,-1 0-1,1-1 1,-1 1 0,1-1-1,0 1 1,-1 0-1,1-1 1,-1 1-1,1 0 1,-1 0 0,1 0-1,-1-1 1,1 1-1,-1 0 1,1 0-1,-1 0 1,1 0 0,-1 0-1,1 0 1,-1 0-1,1 0 1,-1 0-1,0 0 1,-19 12 597,15-8-510,1 1 0,-1 0 1,1 0-1,0 1 0,-4 7 1,6-10-58,1 1 1,0-1-1,0 1 1,0 0-1,1 0 1,-1 0-1,1 4 1,-1-7-55,1 0 0,0-1 0,0 1 0,0-1 0,0 1 0,0-1 0,0 1 0,0-1 0,0 1 0,0 0 0,0-1 0,0 1 0,1-1 0,-1 1 0,0-1 0,0 1 0,0-1 0,1 1 0,-1-1 0,0 1 0,1-1 0,-1 1 0,0-1 0,1 1 0,-1-1 0,1 0 0,-1 1 0,0-1 0,1 0 0,-1 1 0,1-1 0,-1 0 0,1 1-1,-1-1 1,1 0 0,0 0 0,-1 0 0,1 0 0,-1 0 0,1 1 0,-1-1 0,1 0 0,0 0 0,-1 0 0,1-1 0,-1 1 0,1 0 0,-1 0 0,1 0 0,0 0 0,1-2 43,0 0-1,-1 0 1,1 1-1,0-1 1,-1 0-1,0 0 1,0-1-1,0 1 1,0 0-1,0 0 1,1-6-1,4-5 110,14-30 188,-14 23 0,-10 14 655,3 6-951,0 0-1,0 0 1,0 1-1,0-1 1,0 1 0,0-1-1,0 1 1,0-1-1,1 1 1,-1-1 0,0 1-1,0 0 1,1-1-1,-1 1 1,0 0-1,1 0 1,-1 0 0,0-1-1,1 1 1,-1 2-1,-3 3-48,1 1 1,0 0-1,1 0 0,-1-1 0,0 13 0,1-9-2,1-8-2,1 0 0,-1-1 0,1 1 0,0 1 0,0-1 0,0 0 1,0-1-1,0 1 0,0 0 0,0 0 0,1 0 0,-1-1 0,0 1 0,1 0 1,0-1-1,-1 1 0,1 0 0,0 1 0,10 4-3044,3-8-6789,-4-5 6878</inkml:trace>
  <inkml:trace contextRef="#ctx0" brushRef="#br0" timeOffset="2112.57">349 1280 0,'-22'20'426,"14"-13"5960,28-39-1892,-10 17-4367,20-27 1047,-3-2-1,33-71 1,-28 15-418,-21 64-558,2-1 1,21-45-1,-32 78-162,0 1 1,1 0-1,-1 0 1,1 0 0,-1 0-1,1 1 1,0 0-1,5-4 1,-5 4 33,0 0-1,0 0 1,0 0 0,-1-1 0,1 1 0,-1-1-1,1 1 1,-1-1 0,2-3 0,1-4 458,-2 12 4,-2 26-9,-1-22-566,-8 113 316,-24 129 0,5-53-264,26-185-13,-2 22-3,-1 37 0,4-61 7,0 0 1,1 0-1,0 0 0,0-1 0,1 1 1,0-1-1,-1 1 0,2-1 1,-1 0-1,7 10 0,-8-15-1,0-1-1,0 1 1,0 0 0,1-1-1,-1 1 1,0-1 0,1 0-1,-1 1 1,1-1 0,0 1-1,-1-1 1,1 0 0,0 0-1,0 0 1,0-1 0,0 1-1,0 0 1,0-1 0,0 1-1,0-1 1,0 0 0,0 0-1,0 0 1,0 0 0,0 0-1,-1 0 1,1 0 0,0-1-1,0 1 1,-1-1 0,1 1-1,0-1 1,0 0-1,0 0 1,0 0 0,-1 0-1,1-1 1,0 1 0,2-3-1,5-3-2,0 0 1,0-1-1,-2 0 0,1 0 0,11-17 0,4-12 1,-3-1 1,0 0-1,-3-2 1,21-69 0,-14 42-4,-13 29 8,-1-1 0,7-57-1,6-27 4,7 48 31,-36 94 311,1 0 0,1 0 0,-4 39 0,2 0-150,-11 57-38,-9 77 44,23-152-113,2-2 0,6 74 1,-3-94-42,1-1 0,8 28 0,-11-42-43,1 1 1,1-1 0,-1 1 0,0-1 0,1 1 0,0-1 0,0 0 0,0 0 0,0 0 0,0 0 0,0 0 0,1-1 0,-1 1 0,0-1 0,1 1 0,0-1-1,0 0 1,6 3 0,-7-5-10,0 0-1,0 1 1,0-1-1,0 0 1,0 0-1,0 0 1,0 0-1,0-1 1,0 1-1,0-1 1,0 1-1,0-1 1,0 1-1,0-1 1,0 0-1,0 0 1,-1 0-1,1 0 1,0 0-1,0-2 1,33-31-686,8-26-2965,-6-7-9003,-18 22 8871</inkml:trace>
  <inkml:trace contextRef="#ctx0" brushRef="#br0" timeOffset="3342.13">1560 318 0,'0'-1'0,"9"-28"586,17-35-1,-26 64-434,1 0 0,-1 0 0,0-1 0,0 1 1,0 0-1,1 0 0,-1-1 0,0 1 0,0 0 0,0-1 0,0 1 1,0 0-1,1-1 0,-1 1 0,0 0 0,0-1 0,0 1 0,0 0 1,0-1-1,0 1 0,0 0 0,0-1 0,0 1 0,0 0 0,0-1 1,-1 1-1,1 0 0,0-1 0,0 1 0,0 0 0,0-1 0,0 1 1,-1 0-1,1-1 0,0 1 0,0 0 0,-1 0 0,1-1 0,0 1 1,0 0-1,-1 0 0,1 0 0,0-1 0,-1 1 0,1 0 0,0 0 1,0 0-1,-1 0 0,1 0 0,0 0 0,-1 0 0,1-1 0,-1 1 1,1 0-1,0 0 0,-1 0 0,1 0 0,0 0 0,-1 1 0,-14 4 4314,7 3-4878,-8 19 818,2 0-1,0 0 1,2 2-1,1-1 1,-11 46-1,-26 160 1569,30-126-1489,-7 18-224,-35 216 201,54-271-170,4 0 0,2-1 0,3 1 0,18 102 0,-19-163-213,1 12 170,0 1 1,2-1-1,1-1 0,13 40 0,-18-61-257,-1 1 0,0-1 0,0 1 0,0-1-1,0 1 1,0-1 0,1 1 0,-1-1 0,0 1 0,0-1 0,1 1-1,-1-1 1,0 1 0,1-1 0,-1 1 0,0-1 0,1 0-1,-1 1 1,1-1 0,-1 0 0,1 1 0,-1-1 0,0 0 0,1 1-1,-1-1 1,1 0 0,0 0 0,-1 0 0,1 0 0,-1 1 0,1-1-1,-1 0 1,1 0 0,-1 0 0,1 0 0,0 0 0,-1 0-1,1-1 1,-1 1 0,1 0 0,-1 0 0,1 0 0,-1 0 0,1-1-1,-1 1 1,1 0 0,-1 0 0,1-1 0,-1 1 0,1 0 0,-1-1-1,0 1 1,1-1 0,-1 1 0,0 0 0,1-1 0,-1 1-1,0-1 1,1 1 0,-1-1 0,0 1 0,0-1 0,0 1 0,1-1-1,-1 1 1,0-1 0,0-1 0,9-22-3455,-4 3-4297,2-2-2182</inkml:trace>
  <inkml:trace contextRef="#ctx0" brushRef="#br0" timeOffset="4319.04">2026 751 0,'-4'-9'2175,"3"9"-1701,1-1 0,-1 1 0,0 0 0,0 0 0,0-1 0,0 1 0,1 0 0,-1 0 0,0 0 0,0 0 0,0 0 1,0 0-1,0 0 0,1 1 0,-1-1 0,0 0 0,0 1 0,-22 9 7031,8-2-7193,10-6-1603,-7 5 1434,-1 0 141,-1 0-1,1 1 1,0 1-1,1 1 0,0-1 1,0 2-1,1-1 1,-10 14-1,7-1-135,0 3 0,1-2 0,2 2 0,1 0 0,1 1 0,1 0 0,1 0-1,-6 45 1,9-34-3,1-1 0,3 1-1,0 0 1,3 0 0,13 68-1,-14-96-107,0-1 0,1 2-1,0-2 1,1 0 0,0 0-1,1 0 1,0-1-1,-1 1 1,1-1 0,1 0-1,1-1 1,9 11-1,-12-14-20,0-1-1,1 0 0,-1 0 0,1 0 1,-2-1-1,2 1 0,0-1 0,0 0 0,0-1 1,0 1-1,0-1 0,0 0 0,1 0 0,-1-1 1,0 0-1,0 0 0,0 0 0,0 0 0,0-1 1,0 0-1,1 0 0,-1 0 0,0-1 0,7-2 1,11-5-1252,-14 6-539,1-1 0,-1 1 0,0-2 0,-1 0 0,1 0-1,-1 0 1,13-11 0,-4-5-4740</inkml:trace>
  <inkml:trace contextRef="#ctx0" brushRef="#br0" timeOffset="5282.42">2358 177 0,'0'0'71,"0"-1"0,0 1 0,-1 0 0,1 0 0,0-1-1,1 1 1,-1 0 0,0 0 0,0-1 0,0 1 0,0 0 0,0 0 0,0-1 0,0 1 0,0 0 0,0 0-1,0-1 1,1 1 0,-1 0 0,0 0 0,0 0 0,0-1 0,0 1 0,1 0 0,-1 0 0,0 0 0,0 0-1,1-1 1,-1 1 0,0 0 0,0 0 0,0 0 0,1 0 0,-1 0 0,0 0 0,0 0 0,1 0 0,-1 0-1,0 0 1,1 0 0,-1 0 0,0 0 0,0 0 0,1 0 0,-1 0 0,1 0 385,0-1-1,0 1 1,0 0 0,0 0-1,0 0 1,0 0 0,0 0 0,0 0-1,0 0 1,0 1 0,0-1 0,0 0-1,0 0 1,0 1 0,0-1 0,0 1-1,1 0 1,5 7-117,-1 0-1,1 0 0,-1 1 1,-1 0-1,-1 0 1,1 1-1,-1 0 1,6 17-1,-6-15-71,5 16 250,-1 1-1,-1 0 1,-1 0 0,1 50 0,-1-24-105,5 51 1152,-3 164-1,-11-214-1235,-2 2 1,-2-2 0,-3 1 0,-27 88 0,10-64-411,-2 0-1,-52 98 1,74-169 145,5-48-21360</inkml:trace>
  <inkml:trace contextRef="#ctx0" brushRef="#br0" timeOffset="6839.71">2944 23 0,'0'0'29,"0"0"-1,0 0 1,0 0-1,0 1 1,0-1 0,0 0-1,0 0 1,1 0 0,-1 0-1,0 0 1,0 1-1,0-1 1,0 0 0,0 0-1,0 0 1,1 0-1,-1 0 1,0 0 0,0 0-1,0 0 1,0 1 0,1-1-1,-1 0 1,0 0-1,0 0 1,0 0 0,1 0-1,-1 0 1,0 0-1,0 0 1,0 0 0,0 0-1,1 0 1,-1 0-1,0 0 1,0 0 0,0 0-1,0-1 1,1 1 0,-1 0-1,0 0 1,0 0-1,0 0 1,0 0 0,1 0-1,-1 0 1,0 0-1,0-1 1,0 1 0,0 0-1,0 0 1,0 0 0,1 0-1,1-13 3389,-1 3-97,0 10-3283,-1 0 0,0 0 0,0 0 0,0-1 1,0 1-1,1 0 0,-1 0 0,0 0 0,0 0 1,0 0-1,1 0 0,-1 0 0,0 0 0,0 0 0,0 0 1,0 0-1,1 0 0,-1 0 0,0 1 0,0-1 0,0 0 1,1 0-1,-1 0 0,0 0 0,0 0 0,0 0 0,0 0 1,0 0-1,1 1 0,-1-1 0,0 0 0,0 0 1,0 0-1,0 0 0,0 0 0,0 1 0,0-1 0,1 0 1,-1 0-1,0 0 0,0 0 0,0 1 0,0-1 0,0 0 1,0 0-1,0 0 0,0 1 0,1 1 282,-1 0 0,1 1 0,0-1-1,-1 0 1,0 1 0,1-1 0,-1 0 0,0 1 0,0-1-1,0 0 1,-1 4 0,0 20 276,-16 457 3866,15-422-4186,8 76-1,-2-86 90,-3 1 0,-7 83-1,-30 67 371,19-121-540,3 2 0,-2 87 1,14-50 3,-11 203 836,9-303-1138,0-32-1013,1-35-5054,1 11-4414,1-2 6425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53:45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0 0,'0'1'401,"0"-1"-365,0 0 0,0 0 1,0 0-1,0 0 1,0 0-1,0 0 0,0 0 1,0 0-1,0 0 1,1 0-1,-1 0 0,0 0 1,0 0-1,0 0 1,0 0 254,0-1-255,4 13 245,3 27-260,-2 2 342,-2 0 0,-5 82 0,-18 48 7946,11 86-7135,-1-45-426,3-120-691,7-52 120,8 71-1,1 10-32,-17 450 485,11-507-1060,3-87-12341,-3-12 11928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01:29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44:52.5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131 901 0,'0'0'10,"-4"0"117,1-1 0,0 0-1,0 0 1,0 0-1,0 0 1,0 0 0,0-1-1,-2-1 1,2-8 501,14-5-47,-9 14-104,0 1-1,0-1 0,1 1 1,-1 0-1,0-1 1,1 1-1,-1 1 1,1-1-1,0 0 0,-1 1 1,1-1-1,-1 1 1,1 0-1,0-1 1,2 2-1,37 3 231,-35-3-363,47 6 1187,-32-3-522,41 1 0,-22-3-284,-31-1-609,1 0 0,0 0-1,-1-1 1,1-1 0,-1 0-1,1 0 1,19-5 0,-17-4-606</inkml:trace>
  <inkml:trace contextRef="#ctx0" brushRef="#br0" timeOffset="539.02">9 1348 0,'0'0'28,"-1"0"-1,1 0 1,0 0 0,-1 0 0,1 0-1,0 0 1,-1 0 0,1-1 0,-1 1-1,1 0 1,0 0 0,0 0-1,-1-1 1,1 1 0,0 0 0,-1 0-1,1-1 1,0 1 0,0 0-1,-1 0 1,1-1 0,0 1 0,0 0-1,0-1 1,0 1 0,-1 0 0,1-1-1,0 1 1,0 0 0,0-1-1,0 1 1,0-1 0,0 1 0,0 0-1,0-1 1,0 1 0,0 0 0,0-1-1,17-6 837,2 0-759,26-9 311,-33 12 732,0 0 1,0 1-1,0 0 0,1 1 1,0 1-1,-1 0 1,1 0-1,17 3 0,6 3-614,0-2 0,0-1 0,0-1 0,0-2 0,0-2 1,47-9-1,-82 11-613,0 1 0,1-1 0,-1 1 0,0 0 0,0 0 0,1-1 0,-1 1 0,0 0 0,1 0 0,-1 0 0,0 1 0,0-1 0,1 0 0,-1 0 0,0 1 0,0-1 0,1 1 0,-1-1 0,0 1 0,0-1 0,1 2 0,5 9-4022,-2 6-3623,0 5 5443</inkml:trace>
  <inkml:trace contextRef="#ctx0" brushRef="#br0" timeOffset="6956.3">831 990 0,'-1'-1'183,"0"1"1,0-1-1,1 1 1,-1-1-1,0 1 1,1-1-1,-1 0 0,1 0 1,-1 1-1,1-1 1,-1 0-1,1 0 0,-1 0 1,1 1-1,0-1 1,-1 0-1,1 0 1,0 0-1,0 0 0,0 0 1,-1 0-1,1 0 1,0 0-1,0 1 1,0-1-1,1 0 0,-1-2 1,1 2 81,0 1 0,0-1 0,0 0 0,0 0 0,1 1 1,-1-1-1,0 1 0,0-1 0,1 1 0,-1 0 0,0-1 0,0 1 1,1 0-1,-1 0 0,0 0 0,1 0 0,-1 0 0,0 0 0,1 0 0,1 1 1,39 5 650,-32-4-694,1 0 0,-1-1-1,1 0 1,0-1 0,-1 0-1,1-1 1,13-2 0,-13 0 58,0 1 1,0 1-1,0 0 1,1 0 0,-1 1-1,0 0 1,1 1-1,-1 1 1,0-1 0,0 2-1,15 4 1,40 12 628,-39-12-405,41 16 1,-60-21-410,-1 1 0,1-1 0,-1-1 0,1 1 0,0-1 1,0-1-1,0 1 0,9-2 0,67-9 107,-22 1-125,-22 8 54,1 1 0,49 8 0,-42-3-96,-21-4 9,52-4 0,-49 0-55,34 3 0,-46-1 28,1 0 0,-1-1 0,32-7 0,25-2 22,-24 6-98,-32 3 71,0 0-1,0 1 1,1 1 0,-1 0-1,0 2 1,32 6 0,-22 0-12,0-2 0,1-1 1,-1-1-1,1-1 0,0-2 1,0-1-1,41-5 0,0-6-32,-23 3 34,84-3-1,-106 9 0,1-1 1,-1-1-1,32-9 0,-6 2 1,-6 2 13,-19 5-37,49-15 1,-70 17 21,1 0 0,-1 0 0,1 1 0,-1 0 0,1 0 0,-1 1 0,1 0 0,-1 0 0,1 0 0,-1 1 0,1 0 0,-1 0 0,1 0 0,-1 1 0,0 0 0,0 1 0,0-1 0,8 5 0,-6-3-2,-1-2 0,1 1 0,0-1 0,0 0 0,0-1 0,0 0 0,0 0 1,0-1-1,0 0 0,0 0 0,1-1 0,-1 0 0,0 0 0,0-1 0,-1 0 0,1-1 0,0 1 1,12-8-1,-14 8 3,0 0 0,0 1 0,1 0-1,-1 0 1,0 0 0,0 1 0,0-1 0,1 2 0,-1-1 0,0 1 0,7 1 0,-6-1 0,1 0-1,-1 0 1,0-1 0,0 0 0,1 0 0,-1-1-1,13-2 1,0-3 2,1 0 0,0 2 0,0 0 0,0 1 1,24 1-1,-32 1-13,0 0 0,0-1 0,20-5 0,-23 4 18,1 0 0,-1 2-1,1-1 1,0 1 0,20 1-1,9 2-2,76-7-1,-11 0-2,-89 2 407</inkml:trace>
  <inkml:trace contextRef="#ctx0" brushRef="#br0" timeOffset="8931.14">1222 338 0,'3'-8'220,"4"-11"623,-9 16-470,-8 12-206,5-3-138,-1 1 0,1 0 0,1 0 1,-1 1-1,1-1 0,-4 12 0,4-10-5,2-4-8,0 0 0,1-1-1,-1 1 1,1 0 0,0 0-1,1 1 1,-1-1 0,1 0 0,0 0-1,1 0 1,-1 0 0,1 0 0,0 0-1,0 0 1,0 0 0,1 0 0,0 0-1,3 6 1,-2-5-10,0-1 0,0 0-1,0 0 1,1 0 0,0-1 0,0 1-1,0-1 1,0 0 0,1 0 0,-1 0-1,1-1 1,0 1 0,0-1 0,7 3-1,-10-5-3,0-1 0,0 1 0,1 0-1,-1-1 1,0 0 0,1 1-1,-1-1 1,1 0 0,-1 0-1,0 0 1,1 0 0,-1-1-1,0 1 1,1-1 0,-1 1 0,0-1-1,1 0 1,-1 0 0,2-1-1,0-1 13,0 1 0,-1-1 0,1 0-1,-1 0 1,0 0 0,0 0 0,0-1 0,-1 1-1,1-1 1,2-4 0,-2 3 10,-1 0 0,1 0 0,-1-1 0,0 1 0,0-1 0,0 1 1,-1-1-1,0 0 0,0 1 0,-1-1 0,1 0 0,-1 0 0,0 0 0,-1 1 0,0-1 0,-1-8 0,1 12-18,1 1-1,-1-1 0,1 1 1,-1-1-1,0 1 0,0 0 1,1-1-1,-1 1 0,0 0 1,0 0-1,0-1 0,-1 1 1,1 0-1,0 0 0,0 0 1,0 1-1,-1-1 0,1 0 1,0 0-1,-1 1 0,1-1 1,-1 1-1,-1-1 0,1 1 0,-1 0-1,1 0 0,-1 0 1,1 0-1,0 1 0,-1-1 0,1 1 1,0-1-1,0 1 0,-1 0 1,1 0-1,0 0 0,-3 2 1,-5 4-36,1 1 0,0-1 0,0 1 1,-14 17-1,14-13-298,0 0 1,0 1-1,1 0 1,-10 22-1,15-22-249,7-3 33</inkml:trace>
  <inkml:trace contextRef="#ctx0" brushRef="#br0" timeOffset="9322.58">1326 377 0,'1'-1'6,"0"1"1,0-1-1,0 0 1,0 1-1,0-1 1,0 1-1,0-1 1,0 1-1,0 0 1,0 0-1,1-1 1,-1 1-1,0 0 0,0 0 1,0 0-1,0 0 1,0 0-1,1 0 1,-1 0-1,0 1 1,0-1-1,0 0 1,2 1-1,-1 1 29,1-1-1,-1 0 1,1 1-1,-1 0 1,0 0 0,0 0-1,0 0 1,0 0 0,3 4-1,0 1 58,0 1 0,-1 0 0,1 1 0,-1-1-1,3 11 1,-3-1-43,0 0 0,-2 0 0,0 0 0,0 1 0,-2-1 0,0 1 0,-2-1 1,-4 26-1,-4 8 89,-27 79 1,28-103-104,0-1 0,-2 1 0,-1-2 0,-1 0 0,-1 0 0,-25 33 0,37-57-31,-1 1 0,1 0-1,-1-1 1,1 0 0,-1 1-1,0-1 1,0 0 0,0 0-1,0-1 1,0 1-1,-1-1 1,-4 2 0,7-3-3,0 1 1,0-1-1,0 0 0,0 0 1,0 0-1,0 0 0,0 0 1,0-1-1,0 1 0,1 0 1,-1 0-1,0 0 1,0-1-1,0 1 0,0-1 1,0 1-1,0 0 0,1-1 1,-2-1-1,0 1 0,1 0 0,0-1 0,0 1 0,0-1 1,1 1-1,-1-1 0,0 1 0,0-1 0,1 0 0,-1 1 0,1-1 0,0 0 0,-1 0 0,1-2 0,0-5 13,0 0 1,0-1-1,1 1 0,0 0 1,1 0-1,5-17 0,23-55 155,-22 63-111,15-37 207,58-97-1,-62 123-344,0 1-1,2 2 1,1 0-1,46-42 1,9 2-1319,-40 39 757</inkml:trace>
  <inkml:trace contextRef="#ctx0" brushRef="#br0" timeOffset="10376.82">1841 474 0,'0'-3'129,"2"8"200,7 14 736,-1-17-633,2-14-244,-10 12-183,-1 0 0,1 0 0,0 0 0,0 0 0,0 0 0,0 0 0,0 0 0,-1 0 0,1 0 0,0 0-1,0 0 1,0 0 0,0 0 0,0 0 0,-1 0 0,1-1 0,0 1 0,0 0 0,0 0 0,0 0 0,0 0 0,0 0 0,0 0 0,0 0 0,-1 0 0,1-1 0,0 1-1,0 0 1,0 0 0,0 0-4,-1 1 0,1 0 0,0-1 0,-1 1 0,1-1 0,0 1 0,-1 0 0,1-1 0,0 1 0,0 0 0,0 0 0,0-1 0,0 1 0,-1 0 0,1-1 0,0 1 0,1 0 0,-1 0 0,0-1 0,0 1 0,0 0 0,0-1 0,1 1 0,-1 0 0,0-1 0,0 1 0,1 0 0,-1-1 0,1 1 0,0 0 0,-1 0 50,1-1-1,-1 1 1,1-1 0,-1 1 0,1-1 0,-1 0-1,1 1 1,-1-1 0,1 0 0,0 0 0,-1 1 0,1-1-1,-1 0 1,1 0 0,0 0 0,-1 0 0,1 0-1,0 0 1,-1 0 0,1 0 0,-1 0 0,1 0-1,0 0 1,-1 0 0,1 0 0,-1 0 0,1-1-1,0 1 1,-1 0 0,2-1 0,-1 0 275,1 0 0,-1 0 0,0 0 0,1-1 0,-1 1 0,0 0 0,0-1 0,0 1 1,0-1-1,2-2 0,2-17 2841,-5 20-3159,0 1 0,0-1-1,0 1 1,0 0-1,0-1 1,0 1-1,-1 0 1,1-1-1,0 1 1,0 0 0,0-1-1,0 1 1,-1 0-1,1-1 1,0 1-1,0 0 1,-1-1 0,1 1-1,0 0 1,0 0-1,-1-1 1,1 1-1,0 0 1,-1 0-1,1 0 1,0 0 0,-1-1-1,1 1 1,0 0-1,-1 0 1,1 0-1,-1 0 1,1 0 0,0 0-1,-1 0 1,1 0-1,0 0 1,-1 0-1,1 0 1,-1 0-1,1 0 1,-17 13-326,16-13 450,1 0 1,-1 1-1,1-1 1,-1 0-1,1 1 0,-1-1 1,1 1-1,-1-1 1,1 1-1,-1-1 0,1 1 1,0 0-1,-1-1 1,1 1-1,0-1 0,0 1 1,-1 0-1,1-1 1,0 1-1,0 0 0,0-1 1,0 1-1,0 0 1,0-1-1,0 1 0,0 1 1</inkml:trace>
  <inkml:trace contextRef="#ctx0" brushRef="#br0" timeOffset="12771.8">2952 117 0,'-2'-4'89,"1"0"0,1 1 0,-1-1-1,0 0 1,1 0 0,0 0 0,0 0 0,0 0 0,1 0-1,-1 0 1,1 1 0,0-1 0,0 0 0,0 0 0,2-3-1,0 3-39,-1 0 0,1 0 0,1 0 0,-1 0-1,0 1 1,1 0 0,0 0 0,0 0 0,0 0-1,0 0 1,8-3 0,-10 5-34,-1 0 0,0 0-1,1 0 1,-1 1 0,0-1 0,1 0 0,-1 1-1,1-1 1,0 1 0,-1 0 0,1 0-1,-1-1 1,1 1 0,-1 0 0,1 0 0,0 0-1,-1 1 1,1-1 0,-1 0 0,1 0-1,-1 1 1,1-1 0,-1 1 0,3 1 0,-3-1 55,0 0 1,0 1 0,0-1-1,0 1 1,0-1 0,0 1-1,-1-1 1,1 1 0,-1 0-1,1-1 1,-1 1 0,1 0-1,-1-1 1,0 1 0,0 0-1,0 0 1,0-1 0,0 1-1,0 0 1,-1-1 0,1 1 0,-1 1-1,-4 19 1811,-1-1 0,-9 23 0,9-28-1529,0-1-1,1 1 0,1-1 1,1 1-1,-2 20 0,5-34-304,0-1-1,-1 1 1,1-1-1,1 1 0,-1-1 1,0 1-1,0-1 1,0 1-1,1-1 1,-1 0-1,1 1 1,-1-1-1,1 1 0,0-1 1,-1 0-1,1 1 1,0-1-1,0 0 1,0 0-1,0 0 1,0 0-1,0 0 0,0 0 1,1 0-1,-1 0 1,0 0-1,0 0 1,1-1-1,-1 1 1,0 0-1,1-1 1,-1 1-1,1-1 0,-1 0 1,1 1-1,-1-1 1,1 0-1,-1 0 1,1 0-1,-1 0 1,1 0-1,-1 0 0,2-1 1,9-1 21,0 0-1,0 0 1,-1-2 0,16-5 0,-18 6-314,26-9-2094,17-1-5683,-8 9 5560</inkml:trace>
  <inkml:trace contextRef="#ctx0" brushRef="#br0" timeOffset="18873.02">1225 1460 0,'-11'1'251,"8"-1"-179,1 0-1,0 0 1,-1 0 0,1 0-1,-1 0 1,1 0 0,-1-1 0,1 1-1,-3-2 1,4 2-60,1-1-1,-1 1 1,1-1-1,-1 0 1,1 1 0,-1-1-1,1 0 1,-1 0-1,1 1 1,-1-1 0,1 0-1,0 0 1,0 1-1,-1-1 1,1 0 0,0 0-1,0 0 1,0 0-1,0 1 1,0-1 0,0 0-1,0 0 1,0 0 0,0 0-1,0 0 1,1 1-1,-1-1 1,0 0 0,0 0-1,1 1 1,-1-1-1,1-1 1,9-23 12,1 0 0,23-37 1,-14 28-10,-19 32-15,0 0 0,-1 0 0,1 0 0,0 0 0,1 0 0,-1 0 0,0 1 0,0-1 0,1 0 0,-1 1 0,1-1 0,-1 1 0,1 0 0,0-1 0,0 1 0,0 0 0,-1 0-1,1 0 1,0 0 0,0 1 0,4-2 0,-3 3 3,0-1-1,1 1 0,-1 0 0,1 0 1,-1 1-1,0-1 0,0 1 1,0-1-1,0 1 0,0 0 0,6 5 1,-8-6 2,1 0 0,0 1 0,0-1 0,0 0 0,0-1 0,0 1 0,0 0 0,0 0 0,0-1 0,0 0 0,0 1 0,0-1 0,0 0 0,0 0 0,0 0 0,1 0 1,-1 0-1,3-1 0,0 0 7,-1-1 0,0 0 0,0 0 0,0 0 0,-1 0 1,1-1-1,0 1 0,6-7 0,19-21 51,-24 23-57,0 1 1,0 0-1,1 0 0,0 1 0,0-1 0,0 1 0,1 1 1,0-1-1,-1 1 0,2 0 0,7-3 0,-14 7-3,1 0-1,-1 0 0,1 0 0,0 0 0,-1 1 0,1-1 0,-1 0 0,1 1 1,-1-1-1,1 1 0,-1-1 0,1 1 0,-1 0 0,0 0 0,1-1 1,-1 1-1,0 0 0,0 0 0,1 0 0,-1 1 0,0-1 0,0 0 0,0 0 1,0 1-1,-1-1 0,2 2 0,1 3 25,0-1 1,0 0-1,-1 1 0,0 0 0,3 9 1,-5-11 35,1 0 1,-1 0 0,0 0 0,0 0-1,0-1 1,-1 1 0,0 5 0,-3 16 38,0 31 941,-2 0 1,-2 0-1,-4-1 1,-29 90-1,35-128-1017,-65 148 222,61-146-233,0-1-1,-1 0 1,-1-1-1,-1-1 1,0 1 0,-23 19-1,35-35-18,-1 1-1,0 0 0,0-1 1,0 0-1,0 1 1,-1-1-1,1 0 1,0 0-1,0 0 1,-1 0-1,-2 0 1,4-1-3,0 0 0,0 0-1,0 0 1,0 0 0,0 0 0,0 0 0,0 0 0,0 0 0,0 0 0,0-1 0,0 1 0,0 0 0,0-1 0,0 1 0,0-1 0,1 1-1,-1-1 1,0 1 0,0-1 0,0-1 0,-1 0-4,1 0 1,0 0-1,0 0 0,0 0 0,0 0 0,0 0 1,0-1-1,1 1 0,-1 0 0,1-1 1,0 1-1,0 0 0,-1-1 0,1 1 0,1 0 1,-1-1-1,0 1 0,1 0 0,-1-1 1,1 1-1,1-3 0,8-20 25,1 1 1,1 0-1,1 1 1,1 1-1,1 0 1,35-38-1,-24 33 89,2 2 0,0 1 0,46-30 0,38-32-1980,-90 66-1036,-15 12 2278,1 0 0,1 1 0,17-12 0,-13 13 41</inkml:trace>
  <inkml:trace contextRef="#ctx0" brushRef="#br0" timeOffset="19712.9">1951 1540 0,'7'0'186,"-12"1"224,5-1-399,-1 0 1,1 0-1,0 0 0,-1 0 0,1 0 0,0 1 0,-1-1 1,1 0-1,0 0 0,-1 0 0,1 1 0,0-1 1,0 0-1,-1 0 0,1 1 0,0-1 0,0 0 1,-1 0-1,1 1 0,0-1 0,0 0 0,0 1 0,0-1 1,0 0-1,-1 1 0,1-1 0,0 0 0,0 1 1,0-1-1,0 0 0,0 1 0,0-1 0,0 0 1,0 1-1,0-1 0,0 0 0,0 1 0,1-1 0,-1 0 1,0 1-1,0-1 0,0 0 0,0 1 0,0-1 1,1 0-1,-1 1 0,0-1 0,0 0 0,1 0 1,-1 1-1,0-1 0,0 0 0,1 1 0,0-1-8,-1 1-1,1-1 1,-1 0 0,0 1-1,1-1 1,0 0-1,-1 1 1,1-1-1,-1 0 1,1 1 0,-1-1-1,1 0 1,0 0-1,-1 0 1,1 0-1,-1 0 1,1 0 0,0 0-1,-1 0 1,1 0-1,-1 0 1,1 0-1,0 0 1,-1 0 0,1 0-1,-1 0 1,1-1-1,0 1 1,-1 0-1,1 0 1,-1-1 0,1 1-1,-1 0 1,1-1-1,-1 1 1,1-1-1,-1 1 1,1 0 0,-1-1-1,0 1 1,1-1-1,-1 1 1,0-1 0,1 0-1,-1 1 1,0-1-1,0 1 1,0-1-1,1 0 1,-1 0 2,1 0 1,0 1-1,-1-1 0,1 0 0,-1 0 1,1 0-1,-1 0 0,1 1 1,-1-1-1,0 0 0,1 0 1,-1 0-1,0 0 0,0 0 1,0 0-1,0 0 0,0 0 1,0 0-1,0 0 0,0 0 0,0 0 1,0 0-1,0 0 0,-1 0 1,1 0-1,-1-1 0,0 2-4,0 0 0,0 1 0,0-1-1,1 0 1,-1 1 0,0-1 0,0 1 0,0-1-1,1 1 1,-1-1 0,0 1 0,1 0 0,-1-1-1,1 1 1,-1 0 0,1 0 0,-1-1 0,1 1-1,-1 0 1,1 0 0,0 0 0,-1-1-1,1 1 1,0 0 0,0 0 0,-1 0 0,1 0-1,0 0 1,0 0 0,0 0 0,0 0 0,0-1-1,1 3 1,-1-3 0,0 1 0,0-1 0,0 1 0,0-1 0,0 1 0,0 0 0,0-1 0,0 1 0,0-1 0,0 1 0,0-1 0,0 1-1,0-1 1,1 1 0,-1-1 0,0 0 0,0 1 0,1-1 0,-1 1 0,0-1 0,1 1 0,-1-1 0,1 1 0,0-1 2,-1-1 0,1 1 1,0 0-1,0 0 0,-1-1 1,1 1-1,0 0 0,-1-1 0,1 1 1,0-1-1,-1 1 0,1-1 0,-1 1 1,1-1-1,-1 1 0,1-1 0,-1 0 1,1 1-1,-1-1 0,0 0 1,1 1-1,-1-1 0,1-1 0,4-16 270,-4 13-307,-4 12-801,1-3 343</inkml:trace>
  <inkml:trace contextRef="#ctx0" brushRef="#br0" timeOffset="21626.44">1993 1524 0,'-31'6'744,"26"1"-223,19 2-267,7-13 10,-20 4-257,-1 0-1,1 0 1,-1 0-1,1 0 1,0-1-1,-1 1 1,1 0-1,-1-1 1,1 1-1,-1 0 1,1-1-1,-1 1 1,1-1-1,-1 1 1,1-1-1,-1 1 1,0-1-1,1 1 1,-1-1-1,0 1 1,1-1-1,-1 0 1,0 1-1,0-1 1,0 1-1,0-1 1,1 0-1,-1 1 1,0-1-1,0 1 1,0-2-1,0 2-4,-1-1-1,1 1 1,0 0 0,0-1-1,0 1 1,-1 0-1,1 0 1,0-1 0,0 1-1,-1 0 1,1 0-1,0 0 1,-1-1 0,1 1-1,0 0 1,0 0-1,-1 0 1,1 0 0,0 0-1,-1 0 1,1 0-1,0 0 1,-1-1 0,1 1-1,0 0 1,-1 0-1,1 1 1,0-1 0,-1 0-1,1 0 1,0 0-1,-1 0 1,1 0 0,0 0-1,-1 0 1,1 0-1,0 1 1,-1-1 0,1 0-1,0 0 1,0 0-1,-1 1 1,1-1 0,0 0-1,0 0 1,-1 1-1,1-1 1,0 0 0,0 0-1,0 1 1,-1-1-1,-11 15 81,10-7-68,0 0-1,1-1 0,0 1 0,0 0 0,1 0 0,0 10 0,0-17 2,0 0-1,0 0 0,0 0 0,0-1 0,0 1 0,1 0 0,-1 0 0,0 0 0,0 0 0,1 0 0,-1-1 0,1 1 0,-1 0 0,1 0 0,-1-1 0,1 1 0,-1 0 0,1-1 0,0 1 0,-1 0 0,1-1 0,0 1 0,-1-1 0,1 1 0,0-1 0,0 0 0,0 1 0,0-1 0,-1 0 1,1 1-1,0-1 0,0 0 0,0 0 0,0 0 0,0 0 0,0 0 0,0 0 0,-1 0 0,1 0 0,0 0 0,0 0 0,0 0 0,0-1 0,0 1 0,0 0 0,-1-1 0,1 1 0,0 0 0,0-1 0,-1 1 0,1-1 0,0 0 0,0 1 0,-1-1 0,1 1 0,-1-1 0,1 0 0,0 0 1,-1 1-1,0-1 0,1 0 0,0-1 0,17-35 4691,-16 32-4508,0 0-1,-1-1 0,1 1 0,-1 0 0,0-1 0,0 0 0,-1 1 0,0-1 0,0-8 0,0 13-181,0 1-1,0-1 0,0 0 0,-1 1 0,1-1 0,0 0 1,0 1-1,0-1 0,-1 1 0,1-1 0,0 0 0,0 1 1,-1-1-1,1 1 0,-1-1 0,1 1 0,0-1 0,-1 1 1,1-1-1,-1 1 0,1 0 0,-1-1 0,0 1 0,1 0 1,-1-1-1,1 1 0,-1 0 0,1 0 0,-1-1 0,0 1 1,1 0-1,-2 0 0,0 0 6,0 0 0,0 1 0,1-1 0,-1 1 0,0-1 0,0 1 0,0 0 0,1-1 0,-1 1 0,0 0 0,-1 1 0,-3 3 20,0-1 1,0 1 0,1 0 0,-10 11-1,5 5-40,9-20 1,1-1 0,0 1 0,-1 0 0,1-1 0,0 1 0,0 0 0,0-1 0,0 1 0,0 0 0,0 0 0,0-1 0,0 1 1,0 0-1,0-1 0,0 1 0,0 0 0,0-1 0,1 1 0,-1 0 0,0-1 0,0 1 0,1 0 0,-1-1 0,0 1 0,1-1 0,-1 1 0,1-1 0,-1 1 0,1 0 0,0 0 0,0-1 27,-1 0-1,1 0 1,0 0 0,0 0-1,-1 0 1,1 0-1,0 0 1,0-1 0,-1 1-1,1 0 1,0 0-1,-1 0 1,1-1 0,0 1-1,-1 0 1,1-1-1,0 1 1,-1-1 0,1 1-1,-1-1 1,1 1-1,0-1 1,-1 1 0,0-1-1,1 1 1,-1-1-1,1 0 1,-1 1 0,0-1-1,1 0 1,-1 0-1,16-31 466,-15 29-455,14-34 97,-15 37-129,0-1 0,1 1 0,-1-1 1,0 1-1,0-1 0,0 1 1,1-1-1,-1 0 0,0 1 0,0-1 1,0 1-1,0-1 0,0 1 0,0-1 1,0 1-1,0-1 0,-1 0 0,1 1 1,0-1-1,0 1 0,0-1 1,0 1-1,-1-1 0,1 1 0,-1-1 1,-10 2 47,-10 12-14,16-6-35,0 0 1,0 0-1,1 0 1,-1 1-1,-3 11 0,6-16-4,1 1 0,0 0 0,-1 0 0,1 0 0,1 0-1,-1 0 1,0 0 0,1 1 0,0-1 0,0 0 0,0 0-1,1 0 1,1 6 0,-2-10 0,0 0-1,0 1 1,0-1-1,0 0 1,0 1 0,0-1-1,0 0 1,0 1 0,0-1-1,0 0 1,0 1-1,0-1 1,0 0 0,1 0-1,-1 1 1,0-1-1,0 0 1,0 0 0,1 1-1,-1-1 1,0 0-1,0 0 1,1 1 0,-1-1-1,0 0 1,0 0 0,1 0-1,-1 0 1,0 0-1,1 1 1,-1-1 0,0 0-1,1 0 1,-1 0-1,0 0 1,0 0 0,1 0-1,-1 0 1,0 0-1,1 0 1,-1 0 0,0 0-1,1 0 1,-1 0 0,0 0-1,1 0 1,-1-1-1,0 1 1,1 0 0,-1 0-1,0 0 1,0 0-1,1-1 1,-1 1 0,17-22 107,-7 6-53,-1 5-13,23-31-6,-30 39 3,0 0 0,0-1-1,0 1 1,-1 0-1,0-1 1,1 0 0,-1 1-1,0-1 1,-1 0 0,1 0-1,-1 1 1,1-6 0,-1 9-30,0 0 0,0 0 0,-1-1 0,1 1 0,0 0 0,0 0 0,0-1 0,0 1 0,0 0 0,-1 0 0,1-1 0,0 1 0,0 0 0,0 0 0,-1 0 0,1-1 0,0 1 0,0 0 0,0 0 0,-1 0 0,1 0 0,0 0 0,-1 0 0,1-1 1,0 1-1,0 0 0,-1 0 0,1 0 0,0 0 0,0 0 0,-1 0 0,1 0 0,0 0 0,-1 0 0,1 0 0,0 0 0,0 0 0,-1 1 0,1-1 0,0 0 0,0 0 0,-1 0 0,1 0 0,0 0 0,0 0 0,-1 1 0,1-1 0,0 0 0,0 0 1,0 0-1,-1 1 0,1-1 0,0 0 0,0 0 0,0 1 0,0-1 0,-1 0 0,1 0 0,0 1 0,0-1 0,-16 17 73,3 0-62,7-10-15,1 1-1,-1-1 0,1 1 1,1 0-1,-5 11 1,7-5 511,4-8-1913</inkml:trace>
  <inkml:trace contextRef="#ctx0" brushRef="#br0" timeOffset="23851.27">2449 1643 0,'2'38'97,"-3"-31"256,-1-9-4,2-10 143,2 8-393,-1 0 1,1 0-1,1 1 1,-1-1-1,0 0 1,1 1-1,0-1 0,0 1 1,0 0-1,0 0 1,6-5-1,3-2 0,5-6-384,117-102 7586,-74 74-6516,-39 30-479,-1-1 0,29-27 0,-48 42-282,-1 0 0,0 0 0,1 0 0,-1 0-1,1 0 1,-1 0 0,0 0 0,1 0-1,-1 1 1,0-1 0,1 0 0,-1 0 0,0 0-1,1 1 1,-1-1 0,0 0 0,0 0 0,1 1-1,-1-1 1,0 0 0,0 0 0,1 1-1,-1-1 1,0 0 0,0 1 0,0-1 0,0 0-1,1 1 1,-1-1 0,0 1 0,0-1-1,0 0 1,0 1 0,0-1 0,0 0 0,0 1-1,9 25 401,-8-20-413,4 10 99,-2-1 1,0 1-1,-1 0 0,-1 0 0,0 0 0,-1 0 0,-1 0 0,-4 26 0,-3 1-17,-3 0 0,-1 0 0,-21 47-1,26-74-107,0 0-1,-1-1 0,-1 0 0,0-1 0,-1 0 0,-1-1 1,0 0-1,-1 0 0,0-1 0,-1-1 0,-19 14 1,24-22-917,5-11-4915,6-5 421,0 5 5244,-3 7 278,9-21-1003</inkml:trace>
  <inkml:trace contextRef="#ctx0" brushRef="#br0" timeOffset="24699.47">2960 1220 0,'-1'-1'188,"1"-1"1,-1 1-1,1 0 0,-1 0 1,1 0-1,0 0 0,-1 0 1,1 0-1,0-1 0,0 1 1,0 0-1,0 0 0,0 0 1,0-1-1,0 1 0,0 0 1,0 0-1,1 0 0,-1 0 1,0-1-1,1 1 1,-1 0-1,1 0 0,-1 0 1,1 0-1,0 0 0,-1 0 1,1 0-1,0 0 0,1-1 1,1-1 306,0 1 0,0-1 0,0 1 0,0 0 1,0 0-1,0 0 0,0 0 0,1 1 1,-1-1-1,1 1 0,5-2 0,32-4-289,-40 7-173,1 0 0,-1 0 1,1 0-1,-1 1 1,1-1-1,-1 0 0,1 1 1,-1-1-1,1 1 1,-1-1-1,0 1 0,1 0 1,-1 0-1,0 0 1,1 0-1,-1 0 0,0 0 1,0 0-1,0 0 1,0 0-1,0 0 0,0 0 1,0 1-1,-1-1 1,1 0-1,0 1 0,-1-1 1,1 1-1,-1-1 1,1 2-1,0 0 67,0 0 0,0 0 1,-1 1-1,1-1 0,-1 0 0,0 0 0,0 0 1,0 0-1,0 1 0,0-1 0,-2 6 0,-15 27 154,-2-2-1,-38 56 0,24-40 81,25-38-161,6-10-110,1 0 0,0-1 0,-1 1 0,1 0-1,0 0 1,0 0 0,0 0 0,0 0 0,0 4-1,4-6 121,0 0 0,0 0 0,0-1 0,0 0 0,0 1 0,0-1 0,0 0 0,0 0 0,4-3 0,-6 4-187,10-4-142,0-1 0,0 0 1,-1-1-1,1 0 0,-1 0 0,0-1 0,-1-1 0,1 1 1,-2-2-1,14-14 0,-22 22 207,25-36 403,-13 12-5417,-7-6-3911</inkml:trace>
  <inkml:trace contextRef="#ctx0" brushRef="#br0" timeOffset="135599.79">2221 659 0,'-1'-1'16,"0"1"-1,-1 0 1,1-1-1,0 1 1,0-1-1,0 1 1,0-1-1,0 0 1,0 1-1,0-1 1,0 0-1,0 0 1,0 0-1,1 0 1,-1 0 0,0 0-1,0 0 1,1 0-1,-1 0 1,1 0-1,-1 0 1,1 0-1,-1 0 1,1 0-1,0 0 1,-1-1-1,1 1 1,0-2-1,-1-1 36,1 1-1,-1-1 0,1 0 1,0 1-1,0-1 0,0 0 0,0 0 1,2-4-1,4-8-28,1 1-1,0 0 1,1 0 0,1 1-1,0 0 1,16-18 0,-16 21-17,-8 9-4,1 0 0,-1 0 0,1 0 0,-1 0-1,1 0 1,0 0 0,0 0 0,0 1 0,0-1-1,0 1 1,0-1 0,0 1 0,0 0 0,1 0-1,-1 0 1,1 0 0,-1 0 0,1 0 0,-1 1-1,1-1 1,-1 1 0,4 0 0,-3 0 1,0 1 0,-1 0 0,1 0 1,-1 0-1,1 1 0,-1-1 0,1 0 0,-1 1 0,0 0 1,0-1-1,0 1 0,0 0 0,0 0 0,0 0 1,0 1-1,-1-1 0,1 0 0,2 5 0,-2-4-2,1 1 2,0-1 0,-1 1-1,1 0 1,-1 0-1,1 1 1,-1-1-1,0 0 1,-1 1 0,1-1-1,-1 1 1,0-1-1,0 1 1,-1 0 0,1 0-1,-1-1 1,0 1-1,0 0 1,0 0-1,-1-1 1,-1 6 0,-36 105 103,13-47-45,40-106-48,2 1 1,1 0-1,31-45 0,-45 74-12,4-6 0,1 1 0,0 0 0,13-14 0,-22 26 0,0 1 0,1-1 1,-1 1-1,0 0 0,1-1 0,-1 1 0,0 0 0,1 0 0,-1-1 0,0 1 0,1 0 0,-1 0 0,0-1 1,1 1-1,-1 0 0,1 0 0,-1 0 0,1 0 0,-1 0 0,0 0 0,1-1 0,-1 1 0,1 0 0,-1 0 1,1 0-1,-1 1 0,1-1 0,-1 0 0,0 0 0,1 0 0,-1 0 0,1 0 0,-1 0 0,0 1 0,1-1 1,-1 0-1,1 0 0,-1 1 0,0-1 0,1 0 0,-1 0 0,0 1 0,1-1 0,-1 0 0,0 1 0,0-1 1,1 1-1,-1-1 0,0 0 0,0 1 0,0-1 0,1 1 0,-1-1 0,0 0 0,0 1 0,0-1 0,0 1 1,0 0-1,5 31 8,-4-27-7,4 43-5,-3 0 0,-3 59 0,1-107 4,-1 1 0,1-1 0,0 0 0,0 0 0,0 0 0,0 0 0,0 0 0,0 0 0,0 0 0,0 0 0,0 0 0,0 0 0,0 1 0,0-1 0,0 0 0,0 0 1,0 0-1,0 0 0,0 0 0,0 0 0,0 0 0,0 1 0,0-1 0,0 0 0,0 0 0,0 0 0,0 0 0,0 0 0,0 0 0,0 0 0,0 0 0,0 1 0,0-1 0,0 0 0,0 0 0,0 0 0,0 0 0,0 0 0,1 0 0,-1 0 0,0 0 0,0 0 0,0 0 0,0 0 0,0 0 0,0 0 0,0 0 1,0 1-1,0-1 0,1 0 0,-1 0 0,0 0 0,0 0 0,0 0 0,0 0 0,0 0 0,0 0 0,0 0 0,0 0 0,1 0 0,-1 0 0,0 0 0,0 0 0,0-1 0,7-7 5,8-15 1,10-29-7,-2-1-1,-2 0 0,17-71 1,-41 141 2,1-1 1,1 1-1,1 32 1,1-17-2,-1-24 0,0 17 8,5 46-1,-4-66-6,0 1 1,0-1-1,0 1 0,1-1 0,0 1 0,0-1 1,0 0-1,1 0 0,-1 0 0,1 0 1,0 0-1,1-1 0,-1 0 0,8 7 1,-10-10-3,0 0 1,1 0-1,-1 0 0,1 0 1,-1 0-1,1-1 1,-1 1-1,1-1 1,-1 1-1,1-1 0,-1 0 1,1 1-1,0-1 1,-1 0-1,1 0 1,-1 0-1,1 0 1,0 0-1,-1-1 0,1 1 1,0 0-1,-1-1 1,1 1-1,-1-1 1,1 0-1,-1 1 1,0-1-1,1 0 0,-1 0 1,0 0-1,1 0 1,-1 0-1,0 0 1,1-2-1,5-4-80,0-1 1,-1 0-1,0 0 0,6-13 1,-9 16-4,22-40-371,1-9-1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09:42:28.7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81 763 0,'0'1'24,"-1"0"1,0 0-1,1-1 0,-1 1 1,0 0-1,0-1 0,1 1 1,-1 0-1,0-1 1,0 1-1,0-1 0,0 1 1,0-1-1,0 1 0,0-1 1,0 0-1,0 1 0,0-1 1,0 0-1,0 0 0,0 0 1,0 0-1,0 0 1,0 0-1,0 0 0,0 0 1,0 0-1,0-1 0,0 1 1,0 0-1,0-1 0,0 1 1,0 0-1,-1-2 0,1 2-2,1-1 0,-1 1 0,0-1 0,0 1 0,0 0 0,0-1 0,1 1 0,-1 0 0,0 0-1,0-1 1,0 1 0,0 0 0,0 0 0,0 0 0,0 0 0,0 0 0,1 0 0,-1 1-1,0-1 1,0 0 0,0 0 0,0 0 0,0 1 0,0-1 0,1 1 0,-1-1 0,0 1 0,0-1-1,1 1 1,-1-1 0,0 1 0,1-1 0,-1 1 0,0 0 0,1 0 0,-1-1 0,1 1 0,-1 0-1,1 0 1,-1-1 0,1 1 0,0 0 0,-1 0 0,1 0 0,0 0 0,0 0 0,0 0 0,0-1-1,0 1 1,0 0 0,0 2 0,-1 3-15,0 0 0,1 0 0,0 0-1,0 0 1,1-1 0,2 11 0,-2-8 0,-1-8-5,0 1 0,0 0 0,0 0-1,0 0 1,0 0 0,1 0 0,-1 0 0,0 0 0,1 0 0,-1 0 0,0 0 0,1 0 0,-1-1 0,1 1 0,-1 0 0,1 0 0,0 0-1,-1-1 1,1 1 0,0 0 0,-1-1 0,1 1 0,0-1 0,0 1 0,0-1 0,1 1 0,-1-1 1,0 0 0,0 0-1,0 0 1,1-1 0,-1 1 0,0 0 0,0-1 0,0 1 0,0-1 0,0 1 0,0-1-1,0 1 1,0-1 0,0 0 0,0 0 0,0 1 0,1-2 0,4-4 20,0-1 0,-1 1 0,9-14 0,4-19 144,-17 38-144,0-1-1,-1 1 1,1 0-1,0-1 1,-1 1 0,1 0-1,-1-1 1,0 1-1,1-1 1,-1 1 0,0-1-1,0 1 1,0-1-1,0 1 1,0 0 0,0-1-1,-1 1 1,1-1-1,0 1 1,-1-1 0,1 1-1,-1 0 1,1-1-1,-2-1 1,1 3 69,0-1 0,1 1 1,-1 0-1,1-1 0,-1 1 0,0 0 1,0 0-1,1 0 0,-1 0 0,0 0 1,1 0-1,-1 0 0,0 0 0,1 0 1,-1 0-1,0 0 0,0 0 0,1 0 0,-1 0 1,0 1-1,1-1 0,-1 0 0,1 1 1,-1-1-1,0 0 0,1 1 0,-1-1 1,0 1-1,-18 21 1734,11-11-2169,0-1 376,4-5-18,-1 0 0,1 0-1,-1 1 1,2-1 0,-1 1-1,1 0 1,-1 0 0,2 1-1,-1-1 1,1 0 0,0 1 0,0 0-1,0-1 1,0 10 0,2-15-8,0 0 0,1 0 0,-1 0 1,0 0-1,0 0 0,1 0 1,-1 0-1,0 0 0,1 0 0,-1 0 1,1 0-1,-1 0 0,1-1 0,0 1 1,-1 0-1,1 0 0,0-1 1,0 1-1,-1 0 0,1-1 0,0 1 1,0 0-1,0-1 0,0 1 0,0-1 1,0 0-1,0 1 0,0-1 1,0 0-1,0 0 0,0 1 0,0-1 1,0 0-1,0 0 0,0 0 1,0 0-1,0 0 0,0-1 0,0 1 1,0 0-1,0 0 0,0-1 0,1 1 1,2-1 18,1-1 1,-1 1-1,0-1 1,1 1-1,-1-1 1,0 0-1,0-1 1,6-4-1,-4 2 2,-1-1-1,0 1 0,0-1 0,5-10 0,-8 15-3,-1-1 0,0 0-1,0 0 1,0 1 0,0-1-1,-1 0 1,1 0 0,0 0 0,-1 0-1,1 0 1,-1 0 0,0 0-1,0 0 1,0-1 0,0 1 0,0 0-1,0 0 1,0 0 0,-1 0-1,1 0 1,-2-3 0,1 4-3,1 0-1,-1 1 1,0-1 0,0 0 0,0 1 0,0-1-1,0 0 1,1 1 0,-1-1 0,0 1 0,0 0-1,0-1 1,-1 1 0,1 0 0,0-1 0,0 1-1,0 0 1,0 0 0,0 0 0,0 0-1,0 0 1,0 0 0,0 0 0,0 0 0,0 1-1,0-1 1,0 0 0,0 1 0,0-1 0,0 1-1,0-1 1,0 1 0,0-1 0,0 1 0,0 0-1,0-1 1,-1 2 0,-2 1-15,-1 0-1,1 0 1,0 1-1,0-1 1,0 1 0,-4 6-1,6-6-7,-1-1 0,2 1 1,-1 0-1,0 0 0,1 0 0,0 0 0,0 0 0,0 0 0,0 0 0,1 1 0,-1-1 0,1 0 0,1 5 0,-1-8 2,0 0 0,0 0 0,0 0-1,1 0 1,-1 0 0,0 0-1,1 0 1,-1 0 0,1 0 0,-1 0-1,1 0 1,-1 0 0,1 0-1,0 0 1,-1-1 0,1 1 0,0 0-1,0 0 1,0-1 0,0 1-1,0 0 1,1 0 1,0-1 1,0 0-1,-1 1 0,1-1 0,0 0 1,0 0-1,-1 0 0,1 0 0,0 0 1,0-1-1,-1 1 0,1 0 0,0-1 1,0 1-1,-1-1 0,1 0 0,2-1 1,0 0 43,-1 0 1,1 0-1,0 0 0,-1 0 1,1-1-1,-1 0 1,0 1-1,0-1 1,0-1-1,0 1 0,0 0 1,-1-1-1,0 1 1,1-1-1,-1 0 1,0 1-1,-1-1 1,1 0-1,-1 0 0,0-1 1,0 1-1,0 0 1,0 0-1,-1 0 1,0-1-1,0 1 1,0-7-1,0 11-36,0-1 1,0 1 0,0-1-1,-1 0 1,1 1-1,0-1 1,0 0-1,0 1 1,0-1-1,-1 1 1,1-1-1,0 0 1,-1 1-1,1-1 1,0 1-1,-1-1 1,1 1-1,-1-1 1,1 1-1,-1 0 1,1-1-1,-1 1 1,1-1-1,-1 1 1,1 0-1,-1 0 1,0-1-1,1 1 1,-1 0-1,0-1 1,-1 1 0,0 0 0,0 1 0,1-1 0,-1 0-1,0 0 1,1 1 0,-1-1 0,0 1 0,1-1 0,-1 1 0,-2 1 0,0 0-10,0 1 1,0-1-1,0 1 1,1 0 0,-1 0-1,1 0 1,-1 0-1,-3 6 1,-2 29 33,11-19-26,-2-19-9,0 0 1,0 0-1,1 1 0,-1-1 0,0 0 1,0 0-1,1 1 0,-1-1 0,0 0 1,1 0-1,-1 0 0,0 0 0,1 1 1,-1-1-1,1 0 0,-1 0 0,0 0 1,1 0-1,-1 0 0,0 0 0,1 0 1,-1 0-1,0 0 0,1 0 0,-1 0 1,1 0-1,-1 0 0,0 0 1,1-1-1,-1 1 0,0 0 0,1 0 1,-1 0-1,0 0 0,1-1 0,-1 1 1,0 0-1,1-1 0,0 0 7,1-1 0,-1 0 0,0 0 1,0 1-1,0-1 0,0 0 0,0 0 0,0 0 0,0 0 0,-1 0 0,1 0 1,-1 0-1,0 0 0,1 0 0,-1-4 0,2-6 3,3-24-9,-5 36 0,1-1 1,-1 1 0,0 0 0,0-1-1,0 1 1,0-1 0,0 1 0,0-1-1,0 1 1,0-1 0,0 1 0,0-1-1,0 1 1,0-1 0,0 1 0,0 0-1,0-1 1,-1 1 0,1-1 0,0 1-1,0-1 1,-1 1 0,1 0 0,0-1-1,0 1 1,-1 0 0,1-1 0,0 1-1,-1 0 1,1-1 0,0 1 0,-1 0-1,1 0 1,-1-1 0,1 1 0,0 0-1,-1 0 1,1 0 0,-1 0 0,1-1-1,-1 1 1,1 0 0,-1 0 0,1 0-1,0 0 1,-1 0 0,1 0 0,-1 0-1,1 0 1,-1 1 0,1-1 0,-1 0-1,1 0 1,-1 0 0,0 1 0,-18 13-54,11 3-594,0 11-6702,4-10 5032,-2-2 1481</inkml:trace>
  <inkml:trace contextRef="#ctx0" brushRef="#br0" timeOffset="1974.48">493 816 0,'-15'7'2850,"16"-7"-2784,-1-1-1,0 1 1,0 0 0,0 0 0,0 0 0,0 0-1,0-1 1,0 1 0,0 0 0,0 0-1,0 0 1,0-1 0,0 1 0,0 0 0,0 0-1,0 0 1,0-1 0,0 1 0,0 0-1,0 0 1,0 0 0,0-1 0,0 1-1,0 0 1,0 0 0,0 0 0,0 0 0,0-1-1,0 1 1,-1 0 0,1 0 0,0 0-1,0 0 1,0 0 0,0-1 0,0 1 0,-1 0-1,1 0 1,0 0 0,0 0 0,0 0-1,-1 0 1,1 0 0,0 0 0,0 0-1,0 0 1,0-1 0,-1 1 0,1 0 0,0 0-1,0 0 1,0 0 0,-1 0 0,1 1-1,0-1 1,0 0 0,0 0 0,-1 0 0,1 0-1,0 0 1,0 0 0,0 0 0,-1 0-1,1 0 1,0 0 0,0 0 0,0 1-1,0-1 1,11-9 5081,19 3-4457,-16 3-72,37-2 1118,83 3 1,-93 2-1291,-23 0-313,1 0-1,0 2 1,0 0-1,-1 1 0,1 1 1,-1 0-1,27 11 0,-10-3-76,0-1-1,59 9 1,-61-16-41,63-2 0,-74-2-28,-11-1 16,-1 0 1,0-1-1,0 0 0,0 0 0,0-1 0,13-7 0,-12 6-6,-1 0 0,1 1 0,0 0 0,0 0 0,13 0 0,-11 1 4,-1 0-1,0 0 0,0-1 1,23-9-1,10-3 28,-29 12-23,0 0 0,-1 2 0,1 0 0,0 0 1,1 1-1,29 5 0,-5-1 44,8 0 145,-12-3-23,68 14 0,-91-13-90,0-1 0,1 0 0,-1 0 0,0-2 0,1 0 0,20-4 0,-20 2-1,0 2-1,1-1 1,-1 2 0,0 0 0,21 3 0,-24-2 104,0 0 1,0 0-1,0-2 1,0 1-1,0-1 1,0-1 0,20-5-1,-23 9-161</inkml:trace>
  <inkml:trace contextRef="#ctx0" brushRef="#br0" timeOffset="10241.28">1639 26 0,'-23'7'816,"23"-6"-786,-1-1-1,1 0 0,-1 1 1,0-1-1,1 0 0,-1 0 1,1 0-1,-1 1 0,1-1 0,-1 0 1,0 0-1,1 0 0,-1 0 1,1 0-1,-1 0 0,0 0 0,1 0 1,-1 0-1,1-1 0,-1 1 1,0 0-1,1 0 0,-1 0 1,1-1-1,-1 1 0,1 0 0,-1-1 1,1 1-1,-1 0 0,1-1 1,-1 1-1,1-1 0,-1 1 0,0-1 1,2-1 54,0 1 0,0 0 0,0 0-1,0 0 1,0 1 0,0-1 0,0 0 0,1 0 0,-1 0 0,0 1 0,0-1 0,1 1 0,-1-1 0,0 1 0,1-1 0,-1 1 0,0 0-1,1 0 1,-1-1 0,2 1 0,6-2 590,-1 0-52,34-9 2567,-39 11-3002,0 0 0,-1-1 1,1 1-1,-1 0 1,1 0-1,0 0 0,-1 1 1,1-1-1,-1 1 0,1-1 1,-1 1-1,1 0 0,-1 0 1,1 0-1,3 2 0,-5-1-131,0-1 0,1 0-1,-1 1 1,0-1-1,0 1 1,0-1 0,-1 1-1,1-1 1,0 1-1,-1 0 1,1 0 0,0-1-1,-1 1 1,0 0-1,0 0 1,1-1 0,-1 1-1,0 0 1,0 0 0,-1 0-1,1-1 1,-1 4-1,-13 43 796,9-35-541,1-2-50,1-2 35,-1 0 0,2 0 0,-1 0 0,0 12 0,2-19-233,1 0 0,0 0 0,0-1-1,0 1 1,0 0 0,0 0 0,1 0-1,-1-1 1,0 1 0,1 0-1,-1 0 1,1-1 0,0 1 0,-1-1-1,1 1 1,0 0 0,0-1-1,0 0 1,0 1 0,1-1 0,-1 1-1,0-1 1,0 0 0,1 0-1,-1 0 1,1 0 0,-1 0 0,1 0-1,2 1 1,3 0 10,1 0 0,0 0 0,-1-1-1,1 0 1,0 0 0,0-1 0,0 0 0,-1 0 0,1-1 0,0 0 0,0-1-1,-1 1 1,1-2 0,-1 1 0,1-1 0,-1 0 0,0 0 0,12-8 0,18-14-4580</inkml:trace>
  <inkml:trace contextRef="#ctx0" brushRef="#br0" timeOffset="12215.84">1149 1179 0,'0'-1'51,"0"0"0,0 0 0,0 0 1,0 0-1,0 0 0,0 0 0,0 0 0,1 0 0,-1 0 1,0 0-1,1 0 0,-1 0 0,0 0 0,1 0 0,-1 0 1,1 0-1,0 0 0,-1 0 0,1 0 0,0 0 0,-1 1 0,1-1 1,0 0-1,0 0 0,0 1 0,0-1 0,0 1 0,0-1 1,0 1-1,0-1 0,0 1 0,0 0 0,0-1 0,0 1 1,0 0-1,0 0 0,0 0 0,0 0 0,0 0 0,0 0 0,2 0 1,22-6 606,22-13 3518,63-35-1,-62 29-4075,-44 24-32,0 0-1,0-1 0,0 1 0,0 0 0,1 1 0,-1-1 1,6 1-1,-9 0 552,-11 36-149,-25 60-326,29-84-242,0 0 0,0 0 0,-1 0 0,0-1 1,-1 0-1,-13 14 0,21-25-102,-1 1 0,1-1 0,-1 1-1,1-1 1,-1 1 0,1-1 0,-1 0 0,1 1 0,-1-1 0,1 1 0,-1-1-1,0 0 1,1 0 0,-1 1 0,0-1 0,1 0 0,-1 0 0,0 0 0,1 0-1,-1 0 1,0 1 0,1-2 0,-1 1 0,0 0 0,0 0 0,1 0 0,-1 0-1,0 0 1,1 0 0,-1-1 0,1 1 0,-1 0 0,0-1 0,1 1 0,-2-1-1,-1-11-4718,8 1 5315,9-3-1012</inkml:trace>
  <inkml:trace contextRef="#ctx0" brushRef="#br0" timeOffset="12741.97">1574 984 0,'-3'-12'1134,"3"11"-1124,0 1 0,-1-1 0,1 1 0,0-1 0,0 0 0,0 1 0,-1-1 0,1 0 0,0 1 0,0-1 0,0 0 0,0 1 0,0-1 0,0 0 0,1 1 0,-1-1 0,0 0 0,0 1 0,0-1 0,1 0 0,-1 1 0,0-1 0,1 1 0,-1-1 0,0 0 0,1 1 0,-1-1 1,1 1-1,-1-1 0,1 1 0,-1-1 0,1 1 0,-1 0 0,1-1 0,-1 1 0,1 0 0,0-1 0,-1 1 0,1 0 0,-1 0 0,2-1 0,4-2 6,-1 0 0,1 1 0,-1-1 0,1 1 0,0 0 0,0 0 0,7 0 0,-7 1 3,-5 0-13,-1 1 1,1 0 0,0 0-1,-1 0 1,1 0-1,0 0 1,0 0 0,-1 0-1,1 0 1,0 0-1,-1 0 1,1 0 0,0 0-1,0 0 1,-1 0-1,1 1 1,0-1 0,-1 0-1,1 1 1,-1-1-1,1 0 1,0 1 0,-1-1-1,1 1 1,-1-1 0,1 1-1,-1-1 1,1 1-1,-1-1 1,1 1 0,-1-1-1,0 1 1,1 0-1,-1-1 1,0 1 0,1 0-1,-1-1 1,0 1-1,0 0 1,0-1 0,0 1-1,0 0 1,1-1 0,-1 1-1,0 0 1,-1 0-1,1-1 1,0 1 0,0 0-1,0 1 1,-9 29 249,-15 10 1984,2-4 2862,22-37-5071,0 1 1,0-1-1,0 1 0,0-1 1,0 0-1,0 1 1,0-1-1,0 1 1,0-1-1,0 1 0,0-1 1,0 1-1,0-1 1,1 0-1,-1 1 1,0-1-1,0 1 0,0-1 1,1 0-1,-1 1 1,0-1-1,1 0 1,-1 1-1,0-1 0,1 0 1,-1 1-1,0-1 1,1 0-1,-1 0 1,1 0-1,-1 1 0,0-1 1,1 0-1,-1 0 1,1 0-1,-1 0 1,1 0-1,-1 0 0,0 0 1,1 0-1,-1 0 1,1 0-1,-1 0 1,1 0-1,-1 0 0,1 0 1,30 1-529,-24-2 173,49-2-7492,-28 5 6195</inkml:trace>
  <inkml:trace contextRef="#ctx0" brushRef="#br0" timeOffset="-147426.93">913 449 0,'-2'0'22,"0"-1"0,0 1-1,0-1 1,1 0 0,-1 1 0,0-1 0,1 0-1,-1 0 1,1 0 0,-1 0 0,1-1 0,-1 1-1,1 0 1,0-1 0,0 1 0,-1 0-1,1-1 1,0 1 0,0-1 0,1 0 0,-1 1-1,0-1 1,0 0 0,1 0 0,-1 1 0,1-1-1,0 0 1,-1 0 0,1 0 0,0 0 0,0 1-1,0-1 1,0 0 0,1 0 0,-1 0 0,0 0-1,1 1 1,-1-1 0,1 0 0,0 0-1,-1 1 1,1-1 0,0 0 0,0 1 0,0-1-1,2-2 1,35-27-14,11-13 0,-48 43-8,0 0 1,-1 1 0,1-1-1,0 0 1,0 0 0,-1 1 0,1-1-1,0 0 1,0 1 0,0-1-1,0 1 1,0-1 0,0 1-1,0 0 1,0-1 0,0 1-1,0 0 1,0 0 0,0 0-1,0-1 1,0 1 0,0 0 0,0 1-1,0-1 1,2 0 0,-3 1 1,1 1 0,0-1 0,0 0 1,-1 1-1,1-1 0,-1 1 1,1-1-1,-1 0 0,0 1 1,1-1-1,-1 1 0,0 0 0,0-1 1,0 1-1,0 1 0,0-1 0,-1 131 30,0-126-31,1-3 0,-1-1 0,1 1 0,0 0 0,0-1 0,0 1 0,0-1 0,1 1 0,-1 0 0,1-1 0,0 1 0,0-1 0,0 0 0,0 1 0,3 3 0,11-46 38,16-41-34,28-68 7,-58 147-12,-1 0 0,0 0 0,1 0 0,-1-1 0,1 1 0,-1 0 0,1 0 0,-1 1 0,1-1 0,0 0 0,-1 0 0,1 0 0,0 0 0,0 0 0,0 1 0,0-1 0,0 0 0,-1 1 0,1-1 0,0 1 0,0-1 0,1 1 0,0-1 0,-1 1 0,0 1 0,0-1 0,0 0 0,0 1 0,-1-1 0,1 1 0,0 0 0,0-1 0,0 1 0,-1 0 0,1-1 0,-1 1 0,1 0 0,0 0 0,-1-1 0,1 1 0,-1 0 0,1 0 0,-1 0 0,1 1 0,2 7 0,0-1 0,-1 1 0,0 0 0,2 13 0,-6 43 6,1-53-6,0-1 1,0 1-1,1-1 0,1 1 1,0-1-1,3 15 0,1-24 5,3-9-2,8-17-2,-14 19 0,82-150 12,-47 81-13,-35 73-4,-1 8 2,0 19 1,-4 33 3,2-42 1,-3 71 0,4-80-1,0 1 0,1 0 0,0-1 0,1 1 0,0-1 0,0 1 0,7 13 0,-9-20-1,1-1 0,0 1 0,-1-1 1,1 1-1,0-1 0,0 0 0,0 1 0,0-1 0,0 0 0,0 0 0,1 0 0,-1 0 0,0 0 0,1 0 0,-1 0 0,0 0 0,1 0 0,-1-1 0,1 1 0,-1 0 1,1-1-1,0 0 0,1 1 0,0-1 0,-1 0 1,1-1 0,-1 1-1,0-1 1,1 1 0,-1-1 0,0 0-1,0 0 1,1 0 0,-1 0-1,0 0 1,0-1 0,3-2-1,5-5 7,0-1 0,-1 1 0,0-2 0,9-13-1,-3 1 5,-10 15-10,0 1 0,0-1-1,1 1 1,0 0 0,0 1 0,8-7-1,-13 13-18,0-1-1,0 0 1,0 1-1,0-1 1,1 1-1,-1-1 0,0 1 1,0 0-1,1 0 1,-1 0-1,0-1 1,1 1-1,-1 0 1,0 0-1,0 1 1,1-1-1,-1 0 0,0 0 1,1 1-1,-1-1 1,0 1-1,0-1 1,0 1-1,0-1 1,1 1-1,-1 0 1,0-1-1,0 1 0,0 0 1,0 0-1,1 1 1,9 7-350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35:17.6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67 54 0,'0'-3'43,"0"0"0,-1 0 0,0 0 0,1 0 0,-1 0 0,0 0 0,-1 0 0,1 1 1,0-1-1,-1 0 0,0 1 0,-1-3 0,2 4-25,0 0 1,1 0-1,-1 0 0,0 0 1,0 0-1,0 0 0,0 0 1,0 0-1,0 1 1,0-1-1,0 0 0,0 1 1,-1-1-1,1 1 0,0-1 1,0 1-1,0-1 1,-1 1-1,1 0 0,0 0 1,-1 0-1,1 0 1,0 0-1,0 0 0,-1 0 1,1 0-1,0 0 0,-1 0 1,1 1-1,-2 0 1,2-1-17,0 0 0,1 0 0,-1 1 0,0-1 0,0 0 0,1 1 0,-1-1 0,0 1 0,1-1 0,-1 1 0,0-1 0,1 1 0,-1-1 0,1 1 0,-1-1 0,1 1 0,-1 0 0,1-1 0,-1 1 0,1 0 0,0-1 0,-1 1 0,1 0 0,0 0 0,0-1 0,-1 3 0,2-3 2,-1 1-1,0 0 0,1-1 1,-1 1-1,1-1 0,-1 1 1,1-1-1,-1 1 0,1-1 1,-1 1-1,1-1 1,-1 1-1,1-1 0,-1 0 1,1 1-1,0-1 0,-1 0 1,1 1-1,0-1 0,-1 0 1,2 0-1,16 0 99,-18 0-99,1 0 0,-1 0 1,0 0-1,1-1 0,-1 1 0,0 0 0,0 0 0,1 0 0,-1-1 0,0 1 0,0 0 0,0 0 0,1-1 0,-1 1 0,0 0 0,0-1 1,0 1-1,0 0 0,0 0 0,1-1 0,-1 1 0,0 0 0,0-1 0,0 1 0,0 0 0,0-1 0,0 1 0,0 0 0,0-1 0,0 1 1,0 0-1,0-1 0,-1 1 0,1 0 0,0-1 0,0 1 0,0 0 0,0-1 0,0 1 0,-1 0 0,1 0 0,0-1 0,0 1 1,0 0-1,-1-1 0,1 1-3,0 0 1,0 0-1,0-1 0,-1 1 1,1 0-1,0 0 1,0 0-1,0 0 1,0-1-1,0 1 0,0 0 1,-1 0-1,1 0 1,0 0-1,0-1 1,0 1-1,-1 0 0,1 0 1,0 0-1,0 0 1,0 0-1,-1 0 1,1 0-1,0 0 0,0 0 1,0 0-1,-1 0 1,1 0-1,0 0 1,0 0-1,-1 0 0,1 0 1,0 0-1,0 0 1,0 0-1,-1 0 1,1 0-1,0 0 0,0 0 1,-1 0-1,-5 11 3,-2 23 1,5-22-5,2-8 0,0 0 1,0 1-1,1-1 1,-1 0-1,1 0 1,0 0-1,0 0 1,1 8-1,-1-12 1,0 0 1,0 0-1,0 0 0,0-1 0,0 1 0,0 0 0,0 0 0,0 0 1,0 0-1,0 0 0,0 0 0,1 0 0,-1 0 0,0-1 0,0 1 0,0 0 1,0 0-1,0 0 0,0 0 0,0 0 0,0 0 0,0 0 0,0 0 0,0 0 1,0 0-1,1 0 0,-1 0 0,0 0 0,0 0 0,0 0 0,0-1 1,0 1-1,0 0 0,0 0 0,1 0 0,-1 0 0,0 0 0,0 0 0,0 0 1,0 0-1,0 0 0,0 1 0,0-1 0,0 0 0,1 0 0,-1 0 0,0 0 1,0 0-1,0 0 0,0 0 0,0 0 0,0 0 0,0 0 0,0 0 1,0 0-1,0 0 0,1 0 0,-1 0 0,0 1 0,0-1 0,8-18 18,3-26 12,-10 66-26,5-8 13,-6-14-14,1 0 0,-1 0 0,1 0 0,-1 0-1,0 0 1,1 1 0,-1-1 0,1 0 0,-1 0 0,0 0 0,1 0 0,-1 0 0,1 0 0,-1 0 0,1 0 0,-1 0 0,0-1-1,1 1 1,-1 0 0,1 0 0,-1 0 0,0 0 0,1-1 0,-1 1 0,0 0 0,1 0 0,-1-1 0,0 1 0,1 0-1,-1 0 1,0-1 0,0 1 0,1 0 0,-1-1 0,1 0 19,0 0 0,-1 0 0,1 1-1,-1-1 1,1 0 0,-1 0 0,1 0 0,-1 0 0,1 0-1,-1 0 1,0 1 0,0-1 0,1 0 0,-1 0 0,0 0-1,0 0 1,0 0 0,0 0 0,0-2 0,-2 4 39,0 14-72,2-15 12,0 1 0,0 0 0,0 0 0,0 0 0,0-1 0,0 1 1,0 0-1,0 0 0,1-1 0,-1 1 0,0 0 0,0 0 0,1-1 0,-1 1 0,0 0 1,1-1-1,-1 1 0,1 0 0,-1-1 0,1 2 0,0-2 2,-1-1 1,1 1-1,-1 0 1,1 0-1,-1 0 0,0 0 1,1-1-1,-1 1 1,1 0-1,-1 0 0,0-1 1,1 1-1,-1 0 1,0-1-1,1 1 0,-1 0 1,0-1-1,0 1 1,1 0-1,-1-1 0,0 1 1,0-1-1,0 1 1,1 0-1,-1-1 0,0 1 1,0-1-1,0 1 1,0-1-1,0 1 0,0-1 1,0 1-1,0-1 0,1-2 100,4-19 260,-4 13-104,-4 8 135,1 6-360,0-1-1,0 1 1,1-1-1,-1 1 1,1-1-1,0 1 1,0 0-1,1 0 1,0-1-1,0 11 0,3-37 5322,-2 19-5214,0 0-1,0 1 1,0-1 0,-1 1 0,0-1 0,1 0-1,-1 1 1,0-1 0,0 0 0,-1 0 0,1 1 0,0-1-1,-1 0 1,0 1 0,1-1 0,-1 1 0,0-1-1,-2-3 1,3 6-140,0 0 0,0 0 0,-1 0 0,1 0 0,0-1 1,0 1-1,0 0 0,0 0 0,0 0 0,0 0 0,-1 0 0,1 0 0,0 0 0,0-1 0,0 1 0,0 0 0,0 0 0,-1 0 0,1 0 0,0 0 0,0 0 0,0 0 0,0 0 0,-1 0 0,1 0 1,0 0-1,0 0 0,0 0 0,0 0 0,-1 0 0,1 0 0,0 0 0,0 0 0,0 0 0,0 0 0,-1 0 0,1 0 0,0 1 0,0-1 0,0 0 0,0 0 0,0 0 0,-1 0 0,1 0 0,0 0 1,-7 11-16,0 11 67,9-13 27,1-14 31,2-14 125,-5 18-225,0 0 1,0 1-1,0-1 0,0 0 0,0 0 1,0 1-1,0-1 0,0 0 0,0 1 1,0-1-1,0 0 0,0 0 1,0 1-1,0-1 0,-1 0 0,1 1 1,0-1-1,-1 0 0,1 1 1,0-1-1,-1 1 0,1-1 0,-1 0 1,1 1-1,-1-1 0,1 1 1,-1-1-1,0 1 0,1 0 0,-1-1 1,0 1-1,0 0-8,0 0 0,0 0 0,0 1 0,1-1-1,-1 1 1,0-1 0,0 1 0,1-1 0,-1 1 0,0 0 0,1-1 0,-1 1 0,0 0 0,1-1-1,-1 1 1,1 0 0,-1 0 0,1 0 0,0-1 0,-1 1 0,1 0 0,0 0 0,0 0-1,-1 1 1,0 0 166,2-8-2,0-9 99,-12 34-202,10-17-133,-2 7-454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4:43.1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19 967 0,'-13'-9'370,"8"4"295,13-6-300,46-35-276,-42 36-75,0 0 0,0-1 0,12-15 1,135-142 383,-147 155-367,-1-1-1,-1 0 0,0 0 0,0-1 1,11-26-1,-25 126 106,-5 3-121,5-62-16,2 0 0,0 0 0,3 27-1,1 1 2,-9 88-1,3-101 4,2-1-1,1 0 1,2 1 0,8 49-1,-6-76-6,1-1 0,10 26 0,-13-35 4,1 0 0,0-1 0,-1 1 0,2 0 1,-1 0-1,0-1 0,1 0 0,0 1 0,0-1 0,0 0 0,0 0 0,0 0 1,0-1-1,5 3 0,-7-5 0,0 1 0,0-1 0,0 0 0,1 1 0,-1-1 0,0 0 0,0 0 0,0 0 0,0 0 0,1 0 0,-1-1 0,0 1 0,0 0 0,0 0 0,0-1 0,1 1 0,-1-1 0,0 1 0,0-1 0,0 1 0,0-1 0,0 0 0,0 0 0,0 1 0,-1-1 0,1 0 0,0 0 0,0 0 0,0 0 0,-1 0 0,1 0 0,-1 0 0,2-1 0,16-41 11,-16 37-9,41-114 4,64-195 171,-36 83-41,-34 130-59,-40 117 5713,-6 49-5875,5-21 96,3 77-1,1-24 4,-8 27-3,1-25 8,7 118-1,1-205-12,0 1 1,1-1-1,0 0 1,0 0-1,1 0 0,1-1 1,0 1-1,0-1 0,9 14 1,-11-21-12,0 1-1,1-1 1,-1 0 0,1 0 0,0-1 0,0 1 0,0 0 0,0-1-1,0 0 1,1 0 0,-1 0 0,1 0 0,0 0 0,-1-1 0,1 1 0,0-1-1,0 0 1,0-1 0,0 1 0,0 0 0,0-1 0,0 0 0,0 0-1,0 0 1,0-1 0,0 1 0,0-1 0,5-2 0,-2 1-412,-1 0 0,0-1 1,0 1-1,0-2 0,0 1 0,0 0 1,-1-1-1,0 0 0,1-1 1,-1 1-1,-1-1 0,1 0 0,-1 0 1,0 0-1,0-1 0,5-9 1,17-37-278</inkml:trace>
  <inkml:trace contextRef="#ctx0" brushRef="#br0" timeOffset="1461.98">1508 47 0,'0'-1'45,"0"-1"-1,0 0 1,1 1 0,-1-1-1,0 0 1,-1 1 0,1-1 0,0 0-1,0 1 1,-1-1 0,1 0-1,-1 1 1,0-4 0,-15 28 809,8-11-783,-11 21 174,-26 59-1,1 11-46,-9 23-22,47-106-124,0-1 0,2 1 0,0-1 0,-2 39 0,13 202 4440,0-48-2017,3 83-791,-5-243-1257,2-1-1,3 0 0,28 85 1,-36-128-389,1 0-1,0 0 1,1 0 0,0 0-1,0-1 1,1 1 0,0-1 0,0 0-1,0 0 1,1-1 0,0 0-1,1 0 1,12 9 0,-14-13 1356,-4-23-15883</inkml:trace>
  <inkml:trace contextRef="#ctx0" brushRef="#br0" timeOffset="2316.66">1892 816 0,'0'-6'45,"-2"-20"1036,2 26-1066,0 0 0,-1-1 1,1 1-1,0 0 0,0 0 0,0 0 0,0 0 0,0 0 0,0-1 1,-1 1-1,1 0 0,0 0 0,0 0 0,0 0 0,0 0 0,0 0 1,-1 0-1,1 0 0,0 0 0,0 0 0,0 0 0,-1 0 1,1 0-1,0 0 0,0 0 0,0 0 0,0 0 0,-1 0 0,1 0 1,0 0-1,0 0 0,0 0 0,0 0 0,-1 0 0,1 0 0,0 0 1,0 0-1,0 0 0,0 1 0,-1-1 0,-12 14 304,-24 40-180,23-32 1795,1 1-1,1 0 0,-18 49 0,23-51-1728,2 1-1,0-1 1,2 1-1,1 0 1,0 0 0,1 0-1,2 0 1,0-1-1,8 42 1,-6-48-78,1 1 0,1-1 0,0-1 0,1 1 1,1-1-1,0 0 0,0-1 0,2 1 0,0-1 0,0-1 0,1 0 1,0 0-1,1-1 0,23 18 0,-23-21-14,1 0-1,0-1 1,0 0 0,0-1 0,0-1-1,1 0 1,0 0 0,0-1 0,1-1-1,23 3 1,-34-6-113,0-1 1,0 1-1,-1-1 0,1 1 0,0-1 0,0 0 1,-1 0-1,1 0 0,0 0 0,-1-1 0,1 1 0,-1-1 1,0 0-1,0 1 0,1-1 0,-1 0 0,0 0 1,0-1-1,-1 1 0,1 0 0,2-4 0,3-7-756,0 0 0,0-1 1,4-15-1,7-14-7770,0 15 6198,2 2 1486</inkml:trace>
  <inkml:trace contextRef="#ctx0" brushRef="#br0" timeOffset="3194">2309 7 0,'1'-7'127,"3"13"169,6 23 299,-8-21-537,97 379 672,-54-196-385,-32-140-912,42 199 4691,-50-209-3062,-1-1-1,-1 1 0,-3-1 0,-6 56 0,-4-29-646,-29 103 0,-36 61-319,27-87-460,39-120-1591,3-12-1073,6-12 2929,0 0 0,0 0 0,0 0 0,0 1 0,-1-1 0,-2 1-2967,3-1 2967,0 0 1,0 0-1,-1 0 0,1 0 0,-6-13-1828</inkml:trace>
  <inkml:trace contextRef="#ctx0" brushRef="#br0" timeOffset="4486.35">2819 738 0,'-3'3'37,"0"-2"29,2 1-1,-1-1 0,0 1 0,0 0 0,0 0 1,1 0-1,-1 0 0,1 0 0,-1 0 0,1 0 1,0 0-1,0 0 0,0 0 0,0 1 1,0-1-1,1 1 0,-1-1 0,1 0 0,-1 5 1,4-7 0,0 1 1,0-1 0,-1 0-1,1 0 1,0 0 0,0 0 0,0 0-1,0-1 1,4-1 0,9 0 12,54-1-649,43 5 3999,33-1 127,-133 0-4644,-10 0 449,-1-1 0,1 0 1,-1 1-1,1-1 0,-1 0 0,1 0 0,-1-1 0,1 1 1,2-1-1,-5 0 20</inkml:trace>
  <inkml:trace contextRef="#ctx0" brushRef="#br0" timeOffset="5088.96">2786 1135 0,'-18'-4'539,"12"2"94,19 4-278,79 7 72,125 1 7945,-139-10-8478,-72 0-1385,0 1 0,1 0 1,-1 0-1,0 0 1,12 4-1,-2 1 727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4:51.4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25 737 0,'-1'1'47,"0"-1"0,0 0 0,0 1 0,0-1 0,0 1-1,0-1 1,0 0 0,0 0 0,0 0 0,0 0 0,0 0 0,0 0 0,0 0 0,0 0 0,0 0 0,-2-1 0,-2-3 517,12-3-275,7 2-212,1-1 0,-1 2 0,1 0 0,20-3 0,-26 6-46,34-6 747,80 0 1,-34 3 4552,8 1-2343,-97 3-2943,1 0 0,-1 0 0,0 0 0,1 0 0,-1 0 0,0 0 0,1 0 0,-1 0 0,0 0 1,1 0-1,-1 0 0,0 0 0,1 1 0,-1-1 0,0 0 0,1 0 0,-1 0 0,0 0 0,0 1 0,1-1 1,-1 0-1,0 0 0,0 0 0,1 1 0,-1-1 0,0 0 0,0 1 0,0-1 0,1 0 0,-1 0 1,0 1-1,4 17-146,-2-5 220,8 65-89,1 134 0,-5-35-15,-3-138 2,31 311-37,-33-342 153,0 0-1,-1 1 0,0-1 1,0 0-1,-1 1 1,-3 12-1,5-32 518,-2 6-651,1 0-1,1-1 0,-1 1 1,1 0-1,0 0 0,1-7 1,17-67 300,-3-1 0,5-97 0,8-27 360,5-74-313,17-295-213,-46 522-136,-2-74-1,-3 116-2,0-3 12,-2 23-6927,1 2-982,0-5 6185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4:56.1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130 4 0,'-3'-2'307,"1"1"382,-3 11-286,2 3-323,-1 0 0,2 1-1,0 0 1,-1 15 0,2-17-19,0 0 1,0-1-1,-1 1 1,-1 0 0,-5 15-1,-5 12 260,-13 65 1,3-9 1353,15-65-157,1 0-1,-2 40 1,5-18-1237,8 95-1,0-82-157,4 56 1245,27 140-1,-31-242-1207,8 36 1247,5 69 0,-18-104-1152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4:59.3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12 667 0,'-12'6'1295,"13"-7"-1151,0 1 1,0-1-1,-1 0 1,1 1-1,0-1 1,0 1-1,0-1 1,0 1-1,0-1 1,0 1-1,0 0 1,0-1-1,0 1 1,0 0-1,0 0 1,2 0-1,40-7 5309,27-5-3347,-56 10-1828,-1 1-1,1 0 1,-1 1-1,1 0 1,16 4-1,23-1 440,51-10 1104,-87 5-1479,-8 2-205,-1 0 0,1 1 0,-1 0-1,1 0 1,-1 1 0,0 0 0,10 3 0,-8-1-26,1-1 1,0-1 0,17 2 0,27-2 229,67 6 61,-99-7-305,1 0 1,0-1-1,46-6 1,6-1-27,69 14 468,-81-6-212,98-5 285,-13-3-392,-129 6-193,-1 0-1,1-2 1,24-6 0,-35 7-1688,19-1 5127,-19 2-4892</inkml:trace>
  <inkml:trace contextRef="#ctx0" brushRef="#br0" timeOffset="1797.61">422 350 0,'4'-24'1607,"-3"21"-1041,-1 0 1,1 0-1,-1 0 0,1 0 0,-1 0 0,0 0 1,0 0-1,0 0 0,-2-4 0,2 6-451,-1 0 0,0 0 0,1 0 0,-1 0 1,0 0-1,0 0 0,0 0 0,0 1 0,0-1 0,0 0 0,0 1 0,0-1 0,0 1 0,0-1 0,0 1 0,0-1 0,0 1 0,0 0 0,0-1 0,-1 1 0,1 0 0,0 0 0,0 0 0,0 0 0,-1 0 0,1 0 0,0 0 1,0 1-1,0-1 0,-3 1 0,-12 2 251,-1 1 1,1 0-1,-1 1 1,1 1 0,1 0-1,-1 1 1,-22 15-1,33-18-333,1 0-1,0 0 1,0 1-1,0-1 1,0 1 0,1 0-1,-1 0 1,2 0-1,-1 1 1,0-1-1,1 1 1,0-1-1,0 1 1,1 0 0,0 0-1,0-1 1,-1 10-1,1-5-28,1 1 0,0-1-1,0 0 1,1 1 0,0-1-1,1 0 1,0 0 0,1 0-1,5 13 1,-6-20-2,-1 0 0,2-1 0,-1 1 0,0 0 1,1-1-1,-1 0 0,1 1 0,0-1 0,-1 0 0,1 0 0,0-1 0,0 1 0,0-1 0,1 1 0,-1-1 1,0 0-1,1 0 0,-1 0 0,0-1 0,1 1 0,-1-1 0,1 0 0,5 0 0,-1 0 5,0 0 0,0-1 0,0 0 0,0 0-1,0-1 1,0 0 0,-1 0 0,1-1 0,7-3 0,-8 2-5,0-1 0,-1 0 0,1 0 0,-1-1 0,-1 0 0,1 0 0,-1 0 0,0-1 0,0 1 0,-1-1 0,0 0 1,5-11-1,3-12 7,16-57 0,-19 56 2,-6 21-5,0 1 0,-1-1 1,-1 0-1,0-1 0,1-18 1,-3 24-9,1-1 1,-1 1-1,0 0 1,0 0-1,-1-1 1,0 1-1,0 0 1,0 0-1,0 1 1,-1-1-1,1 0 1,-6-6-1,1 3 23,-21-23 27,26 30-38,0 0 0,1 0 0,-1 0 0,0 0 0,0 0 0,0 0 0,0 1 0,0-1 0,0 1 0,-1-1 0,1 1 0,0 0 0,0 0 0,0 0 0,0 0 0,0 0 0,-4 1-1,-5 0 104,1-1 0,-1 0 0,0-1 0,-22-3 0,12 1-95,-3-1 6,21 3-23,0 0-1,0 0 1,0 0 0,0 1 0,0-1-1,0 1 1,0 0 0,0 0-1,0 0 1,0 0 0,0 0 0,0 1-1,0-1 1,0 1 0,0 0-1,0 0 1,0 0 0,0 0 0,1 1-1,-6 2 1,-44 34-2005,14-15-8477,36-21 9042,-8 5 581</inkml:trace>
  <inkml:trace contextRef="#ctx0" brushRef="#br0" timeOffset="4729.14">1087 223 0,'0'-2'406,"0"0"1,0 0-1,0 0 1,-1 0-1,1 0 1,0 0-1,-1 0 1,1 0-1,-1 0 1,1 0-1,-1 0 1,0 0-1,-2-3 1,2 4-195,0 0 0,0 1 0,0-1-1,-1 0 1,1 1 0,0-1 0,0 1 0,0 0 0,-1-1 0,1 1 0,0 0-1,0 0 1,-1 0 0,1 0 0,0 0 0,-1 0 0,1 0 0,0 0 0,0 0 0,-1 1-1,1-1 1,0 0 0,0 1 0,0-1 0,-1 1 0,0 0 0,0 0-202,0 0 1,0 0-1,0 1 0,0-1 1,0 0-1,0 1 0,1 0 1,-1-1-1,1 1 1,-1 0-1,1 0 0,-1-1 1,-1 5-1,-5 6-2,4-6-2,-9 12 17,0 1-1,-15 31 0,21-33-17,0 1-1,1-1 0,0 1 1,2 0-1,0 0 0,-2 26 1,6-39 37,0 0 1,0 0 0,0 0 0,1 0-1,0 0 1,0 0 0,0 0 0,0-1-1,1 1 1,0 0 0,0-1 0,4 7-1,-4-7 61,1-1 1,0-1-1,0 1 0,0 0 0,0-1 0,0 1 1,0-1-1,1 0 0,-1 0 0,1 0 0,0 0 1,-1-1-1,1 0 0,0 1 0,0-1 0,0-1 0,7 2 1,5 0 63,0-1 1,0 0 0,0-1 0,1-1-1,-1 0 1,0-1 0,-1-1 0,25-7-1,-30 3-2814,-4-9-7308,-6 5 7654</inkml:trace>
  <inkml:trace contextRef="#ctx0" brushRef="#br0" timeOffset="6854.2">402 1107 0,'2'-4'569,"0"0"1,0 0-1,0 0 0,-1 0 1,0-1-1,1 1 0,-1-1 1,-1 1-1,1-6 1,-1 9-392,0 0 1,-1-1 0,1 1 0,0-1 0,-1 1 0,1 0 0,-1-1-1,0 1 1,0 0 0,1 0 0,-1-1 0,0 1 0,0 0 0,0 0-1,0 0 1,0 0 0,0 0 0,0 0 0,-1 0 0,1 1 0,0-1-1,0 0 1,-1 0 0,1 1 0,0-1 0,-1 1 0,1 0 0,-1-1 0,1 1-1,-1 0 1,-2 0 0,-4-1-154,-1 1-1,1 0 0,-1 0 1,1 1-1,0 0 1,-15 5-1,20-6-22,-3 2 8,0 0 0,0 0 0,0 0 0,1 0 0,-1 1 0,0 0 0,1 0-1,0 1 1,0 0 0,0 0 0,0 0 0,1 0 0,0 1 0,-1-1-1,2 1 1,-1 0 0,0 0 0,1 1 0,0-1 0,0 1 0,1 0 0,0-1-1,0 1 1,0 0 0,1 1 0,-1-1 0,1 0 0,0 12 0,1-10-7,0 0 0,0 0 1,1 0-1,0 0 1,0 0-1,1 0 0,0 0 1,1 0-1,-1 0 1,2-1-1,-1 1 0,1-1 1,0 0-1,0 0 1,1-1-1,0 1 0,0-1 1,1 0-1,-1 0 0,13 9 1,-16-14-9,1 1 0,0 0 0,0-1 1,0 0-1,0 1 0,0-1 0,0 0 0,0-1 1,0 1-1,0-1 0,0 1 0,1-1 0,-1 0 1,0 0-1,0 0 0,0-1 0,4 0 0,-1 0 0,-1-1 0,0 0 0,1 0 0,-1-1 0,0 0 0,-1 0 0,1 0 0,0 0 0,4-5 0,3-4 14,0 0 1,-1-1 0,0-1 0,-1 0-1,12-20 1,-12 17 106,-1 0 1,-1 0-1,-1-1 0,0 0 0,-1 0 0,-1-1 1,0 0-1,-2 1 0,0-2 0,-1 1 0,-1 0 1,-1 0-1,-1 0 0,0-1 0,-7-27 0,8 44-28,-1 1 0,0-1 0,0 1 1,-1-1-1,1 1 0,0-1 0,-1 1 0,1 0 0,-1 0 0,0 0 0,0 0 0,0 0 0,0 0 0,0 0 0,0 1 0,0-1 1,-1 1-1,1-1 0,-1 1 0,1 0 0,-4-1 0,-6-1-52,1 0-1,-1 0 1,-20-1-1,0 0-25,25 3-147,0 0 0,0 0-1,0 0 1,-1 1 0,1 0 0,0 1-1,0 0 1,-1 0 0,1 0 0,-13 5-1,-14 3-5650,3-1-989,10 0 5691,-4 4 429</inkml:trace>
  <inkml:trace contextRef="#ctx0" brushRef="#br0" timeOffset="19814.73">907 1344 0,'0'-1'216,"0"1"1,0-1-1,0 1 1,0 0-1,1-1 1,-1 1-1,0-1 1,0 1-1,0-1 1,0 1-1,0 0 0,0-1 1,0 1-1,0-1 1,-1 1-1,1-1 1,0 1-1,0-1 1,0 1-1,0 0 0,0-1 1,-1 1-1,1-1 1,0 1-1,0 0 1,-1-1-1,1 1 1,0 0-1,-1-1 1,1 1-1,0 0 0,-1 0 1,1-1-1,0 1 1,-1 0-1,1 0 1,-1 0-1,1-1 1,-1 1-1,1 0 0,0 0 1,-1 0-1,1 0 1,-1 0-1,1 0 1,-1 0-1,1 0 1,-1 0-1,1 0 1,0 0-1,-1 0 0,1 0 1,-1 0-1,1 1 1,-1-1-1,7-8 177,1 1 0,0 0 0,0 0-1,1 1 1,10-7 0,-11 8-254,-1 0 0,1 0 0,-1-1 0,0 0 0,0 0 0,9-13 0,3-9 208,-2 0-1,-1-1 1,-1 0 0,-2-1-1,0-1 1,-2 0-1,10-61 1,-18 85-336,-2 0 1,1 0-1,-1 0 0,0-1 1,-1 1-1,1 0 0,-1 0 1,-1 0-1,0 0 0,0 0 1,-4-10-1,6 17-10,-1 0-1,1-1 1,-1 1-1,1 0 1,-1 0-1,1 0 1,-1-1 0,1 1-1,0 0 1,-1 0-1,1 0 1,-1 0-1,1 0 1,-1 0 0,1 0-1,-1 0 1,1 0-1,-1 0 1,1 0 0,-1 0-1,1 1 1,-1-1-1,1 0 1,-1 0-1,1 0 1,0 1 0,-1-1-1,1 0 1,-1 0-1,1 1 1,0-1 0,-1 0-1,1 1 1,0-1-1,-1 0 1,1 1-1,0-1 1,0 1 0,-1 0-1,-13 17-28,5 1 26,1 0 1,2 1-1,0 0 1,0 0-1,-1 24 1,-7 110-4,8-57-7,0-6-10,4-51-35,-1 1 1,-13 57-1,13-90-3994,0-37-11954,4 16 18504,9-40-3063</inkml:trace>
  <inkml:trace contextRef="#ctx0" brushRef="#br0" timeOffset="20236.93">963 1164 0,'-19'-8'1130,"17"5"-471,13 1-26,12 5 4357,5 7-2489,-23-8-2310,0 0-1,0 0 1,0-1 0,1 1-1,-1-1 1,0 0 0,11 0-1,-10-2-113,-1 0-1,1 0 1,-1-1 0,1 1-1,-1-1 1,0-1-1,0 1 1,0-1-1,0 0 1,0 0-1,-1 0 1,1 0-1,-1-1 1,0 0-1,0 0 1,6-8-1,10-7-3785,-7 14-4505</inkml:trace>
  <inkml:trace contextRef="#ctx0" brushRef="#br0" timeOffset="22251.49">1861 691 0,'1'-1'25,"-1"1"0,0-1 1,0 1-1,1-1 0,-1 1 0,0-1 1,0 1-1,0-1 0,1 1 0,-1-1 0,0 1 1,0-1-1,0 1 0,0-1 0,0 0 1,0 1-1,0-1 0,0 1 0,0-1 0,-1 1 1,1-1-1,0 1 0,0-1 0,0 1 1,-1-1-1,1 1 0,0-1 0,0 1 1,-1-1-1,1 1 0,-1-1 0,-5-1 536,1 14-293,1 55-137,8-49-46,-3-18-78,-1 0-1,0 0 1,0 0 0,1 0-1,-1 0 1,0 0 0,1 0-1,-1 0 1,0 0 0,1 0-1,-1 0 1,0 0 0,0-1-1,1 1 1,-1 0 0,0 0-1,1 0 1,-1 0 0,0 0-1,0-1 1,1 1 0,-1 0-1,0 0 1,0 0 0,0-1-1,1 1 1,-1 0 0,0 0-1,0-1 1,0 1 0,1 0 0,18-33 346,-18 29-351,20-39 160,-20 42-115,0 0-1,-1 0 0,1 0 0,-1 0 1,1 0-1,-1-1 0,0 1 1,1 0-1,-1 0 0,0 0 0,0-1 1,0 1-1,0 0 0,0-1 1,0 1-1,0 0 0,0 0 0,0-1 1,-1 1-1,1 0 0,0 0 1,-1 0-1,1-1 0,-1 1 0,1 0 1,-1 0-1,0 0 0,-1-2 1,1 3 30,0 0 0,1 0-1,-1 0 1,0-1 0,0 1 0,1 0 0,-1 0 0,0 0 0,1 1 0,-1-1 0,0 0 0,0 0 0,1 0 0,-1 0 0,0 1 0,1-1 0,-1 0 0,0 1 0,1-1 0,-1 0 0,0 1 0,1-1 0,-1 1 0,1-1 0,-1 1 0,1-1 0,-1 1 0,1 0 0,-1-1 0,1 1 0,0 0 0,-1-1 0,1 1 0,0 0 0,-1-1 0,1 1 0,0 0 0,0-1 0,0 1 0,0 1 0,-10 22-137,8-20 43,0 1 0,0-1 0,1 1 0,-1-1 0,1 1-1,0-1 1,1 1 0,-1 0 0,1-1 0,0 10-1,5-2 170,3-19 189,7-28 228,0-11-344,-14 45-175,-1-1-1,1 1 1,-1-1-1,0 1 0,1-1 1,-1 0-1,0 1 0,0-1 1,0 1-1,0-1 1,0 0-1,0 1 0,-1-1 1,1 1-1,-1-1 1,1 1-1,-1-1 0,1 1 1,-1-1-1,0 1 0,-1-2 1,2 3-22,0-1 1,-1 1 0,1 0-1,0 0 1,0 0 0,-1 0-1,1 0 1,0-1 0,-1 1-1,1 0 1,0 0-1,-1 0 1,1 0 0,0 0-1,0 0 1,-1 0 0,1 0-1,0 0 1,-1 0-1,1 0 1,0 0 0,-1 0-1,1 1 1,0-1 0,-1 0-1,1 0 1,0 0 0,0 0-1,-1 0 1,1 1-1,-10 14 574,9-9-605,-2-1-25,1 1 1,1 0 0,-1-1-1,1 1 1,0 0-1,0 0 1,1-1 0,-1 1-1,1 0 1,2 9 0,-1-7-1226,5 1-6475</inkml:trace>
  <inkml:trace contextRef="#ctx0" brushRef="#br0" timeOffset="24412.05">1953 1103 0,'-7'7'309,"-1"1"1077,17-16-360,29-24 3629,-20 18-3697,-1-1 1,26-31 0,-23 22-541,-2-1 0,0-1 0,-2-1 0,-1 0 0,-1-1 0,-2 0 0,0-1 0,-2 0 0,-2-1 0,6-31 0,7-26 45,-21 96-367,-1 0 0,1 0 1,1 0-1,2 15 0,0 5-76,-4 13-12,-2 1 0,-2-1 1,-11 42-1,-5 52-6,19-118-7,1 1 1,2 0 0,0-1 0,0 1 0,6 23-1,-5-35 1,1 1 0,-1-1 0,1 1 0,1-1 0,-1 0 0,6 7 0,-8-12 4,0-1-1,0 1 0,0-1 0,0 1 0,0-1 1,0 0-1,0 1 0,0-1 0,0 0 0,1 0 1,-1 0-1,1 0 0,-1 0 0,1 0 0,-1 0 1,1-1-1,-1 1 0,1 0 0,0-1 0,-1 1 0,1-1 1,0 0-1,-1 0 0,1 1 0,0-1 0,0 0 1,-1 0-1,1-1 0,0 1 0,-1 0 0,1 0 1,2-2-1,-1-1-2,0 0 1,0 0 0,0-1-1,-1 1 1,0-1 0,1 0-1,-1 1 1,-1-1-1,1 0 1,0-1 0,-1 1-1,0 0 1,1-8 0,2-2-4,22-71-12,78-261-39,-94 315 96,-6 21-17,-1 0 1,0 0-1,0 0 1,1-21-1,-12 49 55,-14 107-39,14-88-30,-2 13-1,1 0 0,3 1 0,1 0 1,4 53-1,1-95 0,2-1 0,-1 1 0,1 0 0,0-1-1,1 0 1,0 1 0,0-1 0,8 13 0,-10-19-34,1 0 1,-1 0-1,0-1 0,0 1 0,1-1 0,-1 1 0,1-1 1,-1 1-1,1-1 0,-1 0 0,1 1 0,0-1 1,0 0-1,0 0 0,0-1 0,0 1 0,0 0 0,0 0 1,0-1-1,0 0 0,0 1 0,0-1 0,0 0 0,0 0 1,0 0-1,0 0 0,0 0 0,0-1 0,1 1 0,-1 0 1,0-1-1,0 0 0,0 1 0,-1-1 0,1 0 0,0 0 1,0 0-1,0 0 0,-1-1 0,1 1 0,1-2 1,2-1-1193,-1 1 1,0-1 0,0-1-1,0 1 1,-1 0 0,1-1-1,-1 0 1,0 0 0,-1 0 0,3-6-1,1-5 695,-3-12-451</inkml:trace>
  <inkml:trace contextRef="#ctx0" brushRef="#br0" timeOffset="26118.56">2807 201 0,'12'-93'11566,"-25"125"-8942,-15 92-1275,4-19-911,-16 145 1,38-181-164,12 135 1,0-77 107,-8-89-279,-2 8 76,3-1 1,2 0-1,2 0 0,17 61 0,-24-105-324,-4-37-17955</inkml:trace>
  <inkml:trace contextRef="#ctx0" brushRef="#br0" timeOffset="27119.74">2879 1150 0,'0'1'55,"0"0"-1,0 0 1,-1 0-1,1 0 1,0 0 0,0-1-1,0 1 1,0 0 0,0 0-1,0 0 1,0 0-1,1 0 1,-1 0 0,0 0-1,0 0 1,1 0-1,-1-1 1,0 1 0,1 0-1,-1 0 1,1 0 0,-1-1-1,1 1 1,0 0-1,-1 0 1,1-1 0,0 1-1,-1-1 1,1 1-1,0-1 1,1 2 0,1-3 414,0 0 1,0 0 0,1 0 0,-1 0 0,0-1 0,-1 1-1,1-1 1,0 1 0,0-1 0,-1 0 0,4-3 0,7-5 184,-1 0 1,0-1-1,-1 0 0,0-1 1,-1 0-1,0 0 1,12-21-1,58-145 279,-65 143-821,-5 3 99,-1-1 0,-1 0 1,-2 0-1,4-64 0,1-7 641,-8 86-706,-1 13-65,-1 0 0,0 0 0,0 0 0,-1 0 0,0 0 0,1 0 0,-2-1 0,1 1 0,-1 0 0,-1-5 1,2 9-69,0 1 0,0 0 0,0 0 0,0 0 0,0-1 0,0 1 1,0 0-1,0 0 0,-1 0 0,1-1 0,0 1 0,0 0 0,0 0 1,-1 0-1,1 0 0,0-1 0,0 1 0,0 0 0,-1 0 0,1 0 0,0 0 1,0 0-1,-1 0 0,1 0 0,0 0 0,0 0 0,0 0 0,-1 0 1,1 0-1,0 0 0,0 0 0,-1 0 0,1 0 0,0 0 0,0 0 1,-1 0-1,1 0 0,0 0 0,0 0 0,-1 0 0,1 0 0,0 1 1,0-1-1,0 0 0,-1 0 0,1 0 0,0 0 0,0 0 0,0 1 1,-1-1-1,-9 15 150,-5 23 1,2 2 0,-11 56 0,-10 92 258,33-181-417,-20 149 56,-2 269-1,22-418 500,-8-48-19149</inkml:trace>
  <inkml:trace contextRef="#ctx0" brushRef="#br0" timeOffset="27515.6">2914 883 0,'21'10'3946,"6"4"1149,-10-6-3944,0 0 0,1-1 1,0-1-1,37 7 1,-43-10-827,0-2 0,0 0 0,1-1 0,-1 0 0,15-2 0,-22 1-394,-1 0-1,0 0 1,0 0-1,0-1 1,0 1-1,0-1 1,7-4-1,-8 3-331,0 1 0,0-1 1,-1 1-1,1-1 0,-1 0 1,1 0-1,-1 0 0,0 0 0,0-1 1,2-3-1,6-16-7823,-4 8 6042,-1-2 1116</inkml:trace>
  <inkml:trace contextRef="#ctx0" brushRef="#br0" timeOffset="28343.53">3343 356 0,'-8'-41'934,"8"40"-877,0-1 1,0 0-1,0 1 0,-1-1 0,1 0 1,1 1-1,-1-1 0,0 1 0,0-1 1,1 0-1,-1 1 0,1-1 0,-1 1 1,1-1-1,0 1 0,-1-1 1,1 1-1,0-1 0,0 1 0,0 0 1,0 0-1,7-1 6376,-2 10-3748,1 7-1204,0 3-1036,-2 1-1,0 0 0,-1 0 1,0 0-1,0 20 0,8 233 1760,-13-216-1809,-3-1 0,-20 104 0,22-150-379,-110 445-483,110-448-934</inkml:trace>
  <inkml:trace contextRef="#ctx0" brushRef="#br0" timeOffset="29751.92">3483 196 0,'-1'-11'162,"2"-15"1259,-1 25-1409,0 1-1,0 0 1,0 0 0,0 0-1,0 0 1,0 0-1,0 0 1,0 0 0,0 0-1,1 0 1,-1-1-1,0 1 1,0 0 0,0 0-1,0 0 1,0 0 0,0 0-1,0 0 1,0 0-1,0 0 1,0 0 0,0 0-1,0 0 1,0 0-1,0 0 1,1 0 0,-1 0-1,0 0 1,0 0 0,0-1-1,0 1 1,0 0-1,0 0 1,0 0 0,0 0-1,0 0 1,1 0-1,-1 0 1,0 0 0,0 0-1,0 1 1,0-1 0,0 0-1,0 0 1,0 0-1,0 0 1,0 0 0,0 0-1,1 0 1,-1 0-1,0 0 1,0 0 0,0 0-1,0 0 1,0 0 0,0 0-1,0 0 1,0 0-1,0 0 1,0 1 0,0-1-1,0 0 1,0 0-1,9 16 394,5 23 2604,-1 0-1,10 57 1,6 89-937,-23-149-1779,-1 8 85,-2-1 0,-1 1 0,-3 0 0,-1 0 1,-2-1-1,-20 86 0,-90 367 1729,111-485-3269,-6 13 3705,4-13-4791,14-41-14937</inkml:trace>
  <inkml:trace contextRef="#ctx0" brushRef="#br0" timeOffset="30756.83">3619 59 0,'0'-1'34,"0"-2"156,0 0 1,0 0 0,0 0-1,0-1 1,1 1 0,-1 0 0,1 0-1,0 0 1,-1 0 0,4-5 0,-3 7 128,1-1 0,-1 1 0,1-1 0,0 1 1,0 0-1,0 0 0,0-1 0,0 1 0,0 1 1,0-1-1,0 0 0,0 0 0,1 1 0,-1-1 1,0 1-1,0 0 0,1 0 0,3 0 0,34-3 567,-39 3-788,1 0 0,0 0 0,0 1 0,0-1 0,0 0 0,-1 1 0,1-1 0,0 1 0,0-1 0,-1 1 0,1 0 0,0 0 0,-1 0 0,1 0 0,-1 0 0,1 0 0,-1 0 0,1 0 0,-1 0 0,0 1 0,0-1 0,1 1 0,-1-1 0,0 1 0,0-1 0,-1 1 0,1 0 0,0-1 1,0 1-1,-1 0 0,1 0 0,-1 3 0,1 0 218,0 1 0,-1-1 1,0 1-1,0-1 1,0 1-1,-1-1 1,0 1-1,-2 8 1,-4 4 176,0-1 1,-1 1-1,-1-1 0,-12 16 1,9-13-205,12-19-267,-1-1 1,1 1-1,-1-1 0,1 1 0,-1-1 0,1 1 1,0-1-1,-1 1 0,1 0 0,0-1 0,-1 1 1,1-1-1,0 1 0,0 0 0,0-1 0,-1 1 1,1 0-1,0 0 0,0-1 0,0 1 0,0 0 1,0-1-1,0 1 0,1 0 0,-1-1 0,0 1 1,0 0-1,0-1 0,1 1 0,-1 0 0,0-1 1,0 1-1,1-1 0,-1 1 0,1-1 0,-1 1 1,1 0-1,-1-1 0,1 0 0,-1 1 0,1-1 1,-1 1-1,1-1 0,-1 0 0,1 1 0,0-1 1,-1 0-1,1 1 0,0-1 0,5 1 123,1 0 0,-1 0-1,0-1 1,13 0-1,-4 0-288,-7 0-516,69-2 1761,-35-5-5033,-38 6 2073,0 0 0,0-1 1,1 1-1,-1-1 0,-1 0 0,6-4 0,2-5-752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5:33.5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129 359 0,'3'-13'88,"-1"-4"460,2 0 0,0 0 0,1 1 0,13-27 6695,-19 49-4645,-1 9-2436,-14 153 606,-1 61 233,23-178-753,-4-41-204,-1-1 0,0 1 0,-1 0-1,0 19 1,-1-26-969,2-19-12437</inkml:trace>
  <inkml:trace contextRef="#ctx0" brushRef="#br0" timeOffset="652.21">47 521 0,'-14'6'502,"-18"17"9331,47-20-8748,116-1 1446,-79-1-1227,83 14 1,-124-13-1138,1 0 0,-1-1 0,0-1 0,0 0 0,0 0 0,15-4 0,-19 3-90,0-1-1,-1 0 0,1-1 0,-1 0 0,0 0 1,0 0-1,0 0 0,-1 0 0,1-2 1,-1 1-1,8-8 0</inkml:trace>
  <inkml:trace contextRef="#ctx0" brushRef="#br0" timeOffset="2960.62">894 32 0,'0'-8'160,"-2"-16"2926,-4 25-1032,-4 12-390,-10 17 450,-29 64 1,30-46-1552,1 0 0,-12 59 0,-26 244 371,54-339-751,-2 28 262,2-1 0,2 1 0,9 76 0,2-44 561,27 83-1,-32-140-860,0-1 0,1-1-1,0 1 1,1 0 0,0-1-1,1 0 1,1-1-1,14 14 1,-20-21-5,-6-7-601,-2-6-4256,2-9-8865</inkml:trace>
  <inkml:trace contextRef="#ctx0" brushRef="#br0" timeOffset="11341.05">973 711 0,'-58'-12'1419,"47"8"-134,15 3 2358,28 0 1792,-22 1-6341,38-1 1528,78 0 2016,103 4 662,-132-4-2293,-68 0-652,0-2 1,-1-1-1,43-12 1,-47 10-204,0 0-1,1 2 1,0 0 0,0 2-1,28 1 1,32 6 552,1-3 0,118-12 1,-128 3-429,-73 4-150,-11-1-4745,-21-1-8926,-25 2 9443</inkml:trace>
  <inkml:trace contextRef="#ctx0" brushRef="#br0" timeOffset="12586.56">1111 423 0,'1'0'33,"-1"1"-1,1-1 1,-1 0-1,0 1 1,1-1-1,-1 0 1,1 0-1,-1 0 1,1 0-1,-1 0 1,1 0-1,-1 0 1,1 0-1,-1 0 1,1 0 0,0 0-1,-1 0 1,1 0-1,-1 0 1,1 0-1,-1 0 1,1 0-1,-1 0 1,1 0-1,-1 0 1,1 0-1,-1 0 1,1 0 0,-1-1-1,0 1 1,1 0-1,-1-1 1,1 1-1,-1 0 1,1-1-1,0 0 1,-1 1 0,1 0-1,0-1 1,-1 1-1,1 0 1,-1-1 0,1 1-1,-1-1 1,1 1 0,-1-1-1,1 1 1,-1-1-1,0 1 1,1-1 0,-1 1-1,0-1 1,1 0 0,-1 1-1,0-1 1,0 0 0,0 1-1,1-1 1,-1 0-1,0 1 1,0-1 0,0 0-1,0 1 1,0-1 0,0 0-1,0 1 1,0-1-1,-1 0 1,1 1 0,0-1-1,0 1 1,0-1 0,-1 0-1,1 1 1,-1-2 0,-10-5 6502,-5 5-4300,-22 14-1729,29-9-443,1 1 1,0 1-1,0-1 0,1 1 1,-11 9-1,14-11-45,1 0 1,0 0-1,0 1 1,0-1-1,1 1 1,-1 0-1,1-1 1,0 1-1,0 0 0,0 1 1,1-1-1,0 0 1,-1 0-1,1 0 1,0 9-1,0-6-13,1-1 1,0 1-1,0 0 1,1 0-1,0 0 0,0-1 1,1 0-1,0 1 1,0-1-1,0 0 0,1 1 1,0-1-1,4 7 1,-4-9-3,-1-1 0,1 0 1,0 0-1,0-1 0,0 1 1,0-1-1,0 0 0,0 0 1,1 0-1,-1 0 0,1 0 0,0 0 1,0-1-1,-1 0 0,1 0 1,0 0-1,0 0 0,0 0 1,0-1-1,0 0 0,0 0 1,0 0-1,0 0 0,6-1 1,-4 0 4,1 0 0,0-1 1,-1 1-1,1-1 1,0 0-1,-1-1 0,0 0 1,0 0-1,0 1 0,0-2 1,0 0-1,-1 0 1,1 0-1,7-9 0,-8 6 0,1 0-1,-1 0 0,-1-1 1,1 1-1,-1 0 1,-1-1-1,0-1 0,0 1 1,0-1-1,0-8 0,1-13 318,-1-2-1,-2 2 0,-1-2 1,-1 1-1,-7-36 0,6 53-238,2 3 101,-1 0 1,0 1-1,-2-1 0,1 0 0,-1 1 0,-5-11 0,7 19-166,0-1 0,-1 1-1,1 0 1,0 0-1,-1 0 1,0 1-1,1 0 1,-1-1-1,0 0 1,0 1 0,0-1-1,0 1 1,0 0-1,0-1 1,-1 1-1,1 0 1,0 0-1,-1 1 1,1-1 0,0 0-1,-1 1 1,1-1-1,-1 1 1,1 0-1,-1 0 1,1 0-1,-1 0 1,1 0 0,-1 1-1,1-1 1,-1 1-1,1 0 1,-3 0-1,0 1-48,0 0 1,0 0-1,0 0 0,0 1 0,1 0 1,-1-1-1,1 1 0,-1 0 0,1 1 1,-5 6-1,7-8-780,1-1-1,-1 1 1,1 0 0,0 0-1,-1 1 1,1-1 0,0 0-1,1 0 1,-2 4 0,3 2-5112,3-1 3938</inkml:trace>
  <inkml:trace contextRef="#ctx0" brushRef="#br0" timeOffset="14191.92">1127 1084 0,'5'8'422,"-5"-15"527,-8-16 621,7 21-1224,0 1 1,1 0 0,-1-1 0,0 1-1,0 0 1,0 0 0,0 0 0,-1 0 0,1 0-1,0 0 1,0 0 0,0 0 0,-1 0-1,1 0 1,-1 1 0,1-1 0,0 1-1,-1-1 1,1 1 0,-1-1 0,1 1-1,-1 0 1,0 0 0,-2 0 0,2 0-207,0 1 0,-1 0 1,1 0-1,0 0 0,-1 0 1,1 0-1,0 0 1,0 1-1,0-1 0,0 1 1,0-1-1,0 1 0,-2 3 1,-3 4-224,-1-1 0,2 2 1,-1 0-1,-5 13 0,10-19 86,0 1 0,1-1 0,-1 0 0,1 0 0,0 0-1,0 0 1,0 1 0,0-1 0,1 1 0,0-1 0,0 1-1,0-1 1,1 1 0,-1-1 0,1 1 0,0-1-1,0 1 1,1-1 0,-1-1 0,1 2 0,0-1 0,0 0-1,1 0 1,-1-1 0,1 1 0,0 0 0,0-1-1,0 0 1,0 1 0,0-1 0,1-1 0,-1 1 0,1 0-1,0-1 1,0 0 0,0 0 0,0 0 0,0 0 0,1 0-1,-1-1 1,1 0 0,6 1 0,-4-1 5,-1-1-1,1 1 1,0 0 0,0-1-1,-1 0 1,1-1 0,0 1-1,0-1 1,-1 0 0,1 0 0,-1-1-1,12-5 1,-13 5 5,-1-1-1,0 0 1,1 0-1,-1 0 1,0-1-1,0 0 1,-1 1 0,1-1-1,-1-1 1,-1 1-1,1 0 1,0-1 0,-1 1-1,1 0 1,-1-1-1,0 0 1,1-5 0,1-4 157,0-1 0,0 1 0,-1 0 0,-1 0 0,-1-1 1,0 0-1,-1 1 0,0-1 0,-1 0 0,-1 1 0,-1-1 0,0 1 1,0 0-1,-2 0 0,0 0 0,0 1 0,-1-1 0,0 1 1,-1 0-1,-1 0 0,-12-13 0,17 23-151,1 1-1,0 0 1,-1 0 0,0 0-1,1 1 1,-1-1 0,0 1-1,0-1 1,0 1-1,0 0 1,0 0 0,0 0-1,-1 0 1,1 1 0,0 0-1,0-1 1,0 1 0,-1 0-1,1 0 1,0 1-1,0-1 1,0 1 0,-1-1-1,1 1 1,0 0 0,0 0-1,0 1 1,-4 1 0,-9 5-437,0 1 0,1 0 1,-25 18-1,40-27 388,-3 3 111,1-3-808,1 1 1,0 0 0,0-1-1,0 1 1,0 0 0,0 0-1,0 0 1,0 0-1,0 0 1,0 0 0,0 0-1,0 0 1,1 0 0,-1 0-1,0 1 1,1-1 0,-1 0-1,1 0 1,-1 1 0,1 1-1,3 2-61</inkml:trace>
  <inkml:trace contextRef="#ctx0" brushRef="#br0" timeOffset="17052.14">1744 284 0,'2'-3'877,"19"-30"-1264,-13 14 3092,-7 6 7551,-2 12-10130,1 1 0,-1-1 0,1 0 0,-1 1 0,0-1 0,1 1 0,-1-1 0,0 1 0,0-1 1,1 1-1,-1 0 0,0-1 0,0 1 0,0 0 0,1 0 0,-1-1 0,0 1 0,0 0 0,0 0 0,0 0 0,0 0 0,1 0 0,-1 0 0,0 0 0,0 1 1,0-1-1,0 0 0,0 0 0,1 1 0,-1-1 0,0 0 0,0 1 0,0 0 0,-5 1-4,0 0-1,1 1 1,0 0 0,-11 5-1,7-1-13,1 0 1,-1 1-1,1-1 0,1 2 0,0-1 0,0 1 0,0 0 1,-9 17-1,11-14-80,-1 0 1,2 1-1,-1-2 1,2 2 0,0 0-1,0 1 1,0 14-1,3-18-21,0-1 0,0 1 0,1 0 0,1-1 0,0 0 0,0 0 0,1 0 0,0 0 0,0 0 0,10 17 0,-12-25-2,0 0 1,0 1-1,0-1 0,0 1 0,0-1 1,0 0-1,0 1 0,0-1 0,1 0 0,-1 0 1,0 0-1,1 0 0,-1 0 0,1 0 1,0 0-1,-1-1 0,1 1 0,0-1 0,-1 1 1,1-1-1,0 1 0,2-1 0,0 0 10,-1 0 0,1-1-1,-1 1 1,1-1-1,-1 0 1,1 0-1,-1 0 1,1 0 0,-1-1-1,5-2 1,5-5-182,1 1 0,-2-2 0,23-22 0,-33 29 139,30-31-3968,-29 30 2251,0 1 1,0-1 0,-1 0-1,1 0 1,-1 0-1,0 0 1,3-9 0,-6 6 854</inkml:trace>
  <inkml:trace contextRef="#ctx0" brushRef="#br0" timeOffset="19135.75">1589 948 0,'-5'-42'10083,"-6"52"-8800,-9 25-1100,1 3-1,2-2 0,3 3 0,1-1 0,1 2 0,-7 41 0,21-80-52,1 0-1,-1 0 1,0 0-1,0-1 0,1 1 1,-1-1-1,1 1 1,-1-1-1,0 0 1,1 0-1,-1 0 0,5-1 1,17 2 245,21 0-78,-14-1-33,-1 2 0,34 6-1,-53-7-239,-1 0-1,1 0 0,19-2 1,-6 0 261,-24 0-255,1 1 0,-1-1 1,1 1-1,-1-1 0,0 1 0,1-1 0,-1 1 0,0-1 0,0 0 1,1 1-1,-1-1 0,0 0 0,0 1 0,0-1 0,0 0 0,0 1 1,0-1-1,0 0 0,0 1 0,0-1 0,0 0 0,0 1 0,0-1 1,0 0-1,-1 0 0,-3-18 13,-59-144 12,56 147-35,2 2-10,-1 1 1,0-1 0,-1 0 0,-1 1 0,0 1 0,-12-15 0,20 27-2,0 0 1,0 0 0,0 0-1,0-1 1,0 1 0,0 0-1,-1 0 1,1 0 0,0 0 0,0 0-1,0 0 1,0 0 0,-1 0-1,1 0 1,0 0 0,0 0-1,0 0 1,0 0 0,0 0-1,-1 0 1,1 0 0,0 0 0,0 0-1,0 0 1,0 0 0,-1 0-1,1 0 1,0 0 0,0 0-1,0 0 1,0 0 0,0 0-1,-1 0 1,1 0 0,0 0 0,0 1-1,0-1 1,0 0 0,0 0-1,0 0 1,-1 0 0,1 0-1,0 0 1,0 1 0,0-1-1,0 0 1,0 0 0,-5 12-5016,1 11-6461,4-13 10755</inkml:trace>
  <inkml:trace contextRef="#ctx0" brushRef="#br0" timeOffset="19774.18">1844 941 72,'17'-21'1461,"-15"17"-631,0 1-1,0 0 1,1 0-1,-1 0 1,1 0-1,0 0 1,0 1-1,0-1 1,0 1-1,5-3 1,-6 5-667,1-1 1,-1 1-1,0 0 1,1 0 0,-1-1-1,0 2 1,1-1-1,-1 0 1,0 0 0,0 1-1,1 0 1,-1-1-1,0 1 1,0 0-1,0 0 1,1 0 0,-1 0-1,0 0 1,-1 1-1,1-1 1,0 1-1,0-1 1,-1 1 0,3 2-1,7 5-27,-6-6-85,-1 1 1,1-1 0,-1 1 0,-1 0 0,1 0 0,0 1 0,-1-1-1,0 0 1,0 0 0,0 1 0,-1 0 0,3 7 0,34 100 1036,10 27 482,-48-136-1397,1 0 0,-1 1 0,1-1 0,0 0 0,0 0 0,0 0 0,0-1 0,5 6 0,-12-16-1563,-1-17-16578,5 17 18166,0-9-810</inkml:trace>
  <inkml:trace contextRef="#ctx0" brushRef="#br0" timeOffset="20176.75">2150 898 0,'1'-9'408,"-5"-10"4549,-4 29 1843,-134 245-1185,124-222-5263,-25 37 0,17-31-339,23-31 160</inkml:trace>
  <inkml:trace contextRef="#ctx0" brushRef="#br0" timeOffset="20884.46">2137 1404 16,'-3'-2'-105,"-7"-13"9503,15 7-3564,4 0-6483,106-87 2979,-65 59-938,-68 84-1007,-86 155-1233,96-195-2147</inkml:trace>
  <inkml:trace contextRef="#ctx0" brushRef="#br0" timeOffset="21354.21">2301 1106 288,'-1'-12'1365,"9"-3"11556,4 18-12687,-1 1 0,0-2 0,1 0 0,0 0 0,0-1 0,0-1 0,0 0 0,0 0 0,16-4 0,-26 4-767,17-2-884,-14 0-2316</inkml:trace>
  <inkml:trace contextRef="#ctx0" brushRef="#br0" timeOffset="21898.52">2268 1413 0,'2'-1'995,"1"0"0,-1 0 0,0-1 0,0 1 0,1-1-1,-1 1 1,0 0 0,0 0 0,-1-1 0,4-3 0,17-16-132,-14 15-797,29-25 218,-33 29-242,-1 0-1,1-1 0,0 1 0,-1 1 0,1-1 0,0 0 0,0 1 0,0 0 0,0 0 0,9-1 0,-12 2-34,-1 0-1,1 0 0,0 0 1,-1 0-1,1 0 1,0 1-1,0-1 0,-1 0 1,1 0-1,0 0 0,-1 1 1,1-1-1,0 0 1,-1 1-1,1-1 0,-1 0 1,1 1-1,0-1 0,-1 1 1,1-1-1,-1 1 1,1-1-1,-1 1 0,1-1 1,-1 1-1,0 0 0,1 0 1,0 1 7,-1 0 1,0 0 0,1 0-1,-1-1 1,0 1 0,0-1-1,0 1 1,0 0-1,-1 0 1,0 3 0,-16 40 244,4-23-174,-11 23-38,25-55 31,9-19-32,-9 24-44,3-3-12,0 0-1,0 0 0,1 0 0,10-15 1,-13 21 12,0 0 1,-1 0-1,1 1 1,0-1-1,0 0 1,0 1-1,1-1 1,-1 1-1,0-1 1,1 1-1,-1 0 1,0 0-1,1 0 1,-1 1-1,1-1 1,0 0-1,-1 1 0,1 0 1,0-1-1,-1 1 1,1 0-1,-1 1 1,1-1-1,5 1 1,17 7 261,-21-7-152,0 1 0,0-1 0,0 0 0,0 0 0,0 0 0,0 0 1,0-1-1,0 1 0,0-1 0,0 0 0,0-1 0,1 1 0,-1-1 0,0 0 0,0 0 0,0 0 1,0 0-1,6-3 0,9-7-277,3-1-2956,-1 4-6181,-5 8 6813</inkml:trace>
  <inkml:trace contextRef="#ctx0" brushRef="#br0" timeOffset="23328.29">2217 731 0,'-15'-38'15756,"23"36"-14563,8 2-973,104-5 1335,-87 2-1249,0 1 0,0 2 0,0 2 0,51 7 0,-49-2-114,-23-4-79,2 0 0,-1-1 0,1 0 0,0-1 0,-1 0 0,1-1 0,16-2 0,-27 1-1794,5-2 5331</inkml:trace>
  <inkml:trace contextRef="#ctx0" brushRef="#br0" timeOffset="26274.79">3018 757 0,'-2'-2'112,"1"0"0,0 0 0,-1 0 0,1 0 1,-1 0-1,0 0 0,0 0 0,0 0 0,0 0 0,0 0 0,0 1 0,0-1 0,0 1 1,-4-2-1,6 3-10,25 23 1071,-23-23-631,0 1 0,-1-1 1,1 1-1,0-1 1,-1 0-1,1 1 1,0-1-1,0 0 0,0 0 1,-1 0-1,4-1 1,-5 1-502,1 0 0,-1 0 1,1 0-1,-1 0 0,0 0 0,1 0 1,-1 0-1,1 0 0,-1-1 1,0 1-1,1 0 0,-1 0 1,0 0-1,1 0 0,-1-1 0,0 1 1,1 0-1,-1 0 0,0 0 1,1 0-1,-1 0 0,0-1 1,0 1-1,1 0 0,-1-1 0,0 1 1,0-1-1,0 1 0,0 0 1,0-1-1,1 1 0,-1-1 1,0 1-1,0 0 0,0-1 0,0 1 1,0-1-1,0 1 0,0 0 1,0-1-1,0 1 0,-1-1 1,1 1-1,0 0 0,0-1 0,0 1 1,0 0-1,-1-1 0,1 1 1,0 0-1,0-1 0,0 1 1,-1 0-1,0-1 0,1 1-40,0-1 0,0 1 0,0 0 0,0 0 0,0 0 0,0 0 0,0-1 0,0 1 0,-1 0 0,1 0 0,0 0-1,0 0 1,0 0 0,0-1 0,0 1 0,-1 0 0,1 0 0,0 0 0,0 0 0,0 0 0,0 0 0,-1 0 0,1 0 0,0 0 0,0 0 0,0 0 0,-1 0 0,1 0-1,0 0 1,0 0 0,0 0 0,-1 0 0,1 0 0,0 0 0,0 0 0,0 0 0,-1 0 0,1 0 0,0 0 0,0 0 0,0 0 0,0 1 0,-1-1 0,1 0-1,0 0 1,-7 12 113,1 11 352,6-23-423,-1 1 0,1-1 1,0 1-1,0-1 0,0 1 1,0-1-1,0 1 0,0 0 0,0-1 1,0 1-1,0-1 0,0 1 0,0-1 1,0 1-1,0-1 0,0 1 0,0-1 1,1 1-1,-1-1 0,0 1 0,0-1 1,0 1-1,1-1 0,-1 0 0,0 1 1,1-1-1,-1 1 0,1-1 0,-1 0 1,0 1-1,1-1 0,-1 0 1,1 1-1,-1-1 0,1 0 0,0 0 40,0 0-1,0-1 0,0 1 1,0-1-1,-1 0 0,1 1 1,0-1-1,0 0 0,-1 1 1,1-1-1,0 0 0,-1 0 1,1 0-1,-1 1 0,1-1 1,-1-1-1,5-18 909,-5 19-983,0 1 0,0-1-1,0 1 1,-1-1 0,1 1 0,0 0 0,0-1 0,0 1 0,-1 0 0,1 0-1,0 0 1,-1 0 0,1-1 0,0 1 0,-1 0 0,1-1 0,0 1-1,-1 0 1,1 0 0,0-1 0,-1 1 0,1 0 0,-1 0 0,1 0 0,0 0-1,-1 0 1,1 0 0,-1 0 0,1-1 0,-1 1 0,1 0 0,-1 0-1,1 1 1,0-1 0,-1 0 0,1 0 0,-1 0 0,1 0 0,-1 0-1,1 0 1,-1 1 0,0 0-5,0 0 0,-1-1 0,1 1 0,0 0 0,0 0 0,0 0 0,0 0 0,1 0 0,-1 1 0,0-1 0,0 0 0,1 1 0,-1-1 0,1 0 0,-1 1 0,1-1 0,-1 1 0,1-1 0,0 1 0,0-1 0,0 1 0,0-1 0,0 1 0,0-1 0,0 1 0,0-1 0,1 1 0,-1-1 0,1 0 0,-1 1 0,2 1 0,-2-2 12,0 0 1,0 0-1,0-1 1,1 1-1,-1 0 1,0-1 0,1 1-1,-1 0 1,1-1-1,-1 1 1,1 0-1,-1-1 1,1 1 0,-1-1-1,1 1 1,-1-1-1,1 1 1,0-1-1,-1 1 1,1-1 0,0 0-1,-1 1 1,1-1-1,1 1 1,-1-2 16,0 1 0,0-1-1,0 1 1,1-1 0,-1 1 0,0-1 0,0 1 0,0-1 0,0 0 0,0 0-1,0 1 1,-1-1 0,1 0 0,0 0 0,0 0 0,-1 0 0,1 0-1,0 0 1,-1 0 0,1 0 0,-1 0 0,1-3 0,0 3-1,-1 0-1,1 0 1,-1 0 0,0 0 0,1 0-1,-1 0 1,0 0 0,1 0 0,-1 0-1,0 0 1,0 0 0,0 0 0,0 0 0,0 0-1,0 0 1,-1 0 0,1-1 0,0 1-1,-1-1 1,1 2-29,-1-1-1,1 1 1,-1 0-1,1 0 1,0-1-1,-1 1 1,1 0-1,-1 0 1,1 0 0,-1-1-1,1 1 1,-1 0-1,1 0 1,-1 0-1,1 0 1,-1 0-1,1 0 1,-1 0-1,1 0 1,-1 0-1,1 0 1,0 0 0,-1 0-1,1 1 1,-1-1-1,1 0 1,-1 0-1,1 0 1,-1 1-1,1-1 1,0 0-1,-1 0 1,1 1-1,-1-1 1,1 0 0,0 1-1,-1-1 1,1 1-1,0-1 1,0 0-1,-1 1 1,1 0-1,0-1-5,1 0 45,0-1 0,0 0 1,0 0-1,0 0 0,0 0 0,0 0 0,-1-1 0,1 1 0,0 0 0,0 0 0,-1-1 0,1 1 0,-1 0 0,1-1 1,-1 2-1,0-1 0,1-1 0,-1 1 0,0 0 0,0-1 0,0 1 0,0-1 0,0 1 0,0 0 0,-1-1 0,1 1 1,0-1-1,-1 1 0,1 0 0,-2-3 0,2 4-76,-1 0 0,1-1 1,-1 1-1,1 0 0,-1 0 0,1 0 1,-1 0-1,1 0 0,-1 0 0,1 0 1,-1 0-1,1 0 0,-1 1 0,1-1 1,-1 0-1,1 0 0,-1 0 0,1 0 0,-1 1 1,1-1-1,0 0 0,-1 0 0,1 1 1,-1-1-1,1 0 0,0 1 0,-1-1 1,1 1-1,0-1 0,-1 0 0,1 1 1,0-1-1,0 1 0,-1-1 0,1 1 1,0-1-1,0 1 0,0-1 0,0 1 1,0-1-1,0 1 0,-3 12-4803,3 3-8127</inkml:trace>
  <inkml:trace contextRef="#ctx0" brushRef="#br0" timeOffset="28332.39">3253 1009 0,'-11'20'50,"-13"20"615,21-24 10231,11-22-7749,100-129-611,-100 121-2296,-1 0-1,0 0 0,-1-1 0,9-27 1,-9 23 97,0 1 0,13-24 0,43-63 1096,-61 117-1414,-4 21-9,-17 53-19,10-50-8,-8 74 0,17-101 15,1 1 1,0 0-1,0 0 1,1 0-1,0 1 0,0-1 1,2-1-1,-1 1 1,1-1-1,0 1 1,0-1-1,7 12 0,-7-18 0,-1 1-1,1 0 0,0 0 1,0 0-1,0-1 0,0 0 1,1 1-1,0-1 0,-1-1 1,6 4-1,-8-5 2,1 0 0,0-1 0,-1 1-1,1-1 1,-1 1 0,1-1 0,0 1-1,-1-1 1,1 0 0,0 0 0,0 0 0,-1 0-1,1 0 1,0 0 0,-1-1 0,1 1 0,0 0-1,-1-1 1,1 0 0,-1 1 0,1-1 0,0 0-1,-1 0 1,0 1 0,1-1 0,-1 0 0,1-1-1,-1 1 1,0 0 0,2-2 0,12-17 0,-1 1-1,-1-1 1,-1-2 0,-1 1 0,0-1 0,9-30 0,4-6 1,26-70 520,-44 111-330,-5 13-108,-5 12 11,2 2-55,0 0 0,0 0-1,0 0 1,1 1 0,0 11-1,-1 2-1,-6 21 13,0 3 1,-1 54 0,8-88-36,1-1 0,1 1 1,0-1-1,1 0 0,1 0 0,0 1 1,1-1-1,8 19 0,-11-29-13,0 0 1,0-1-1,0 1 0,1-1 0,-1 0 1,1 1-1,-1-1 0,1 0 0,-1 0 1,1 0-1,0 0 0,0 0 0,0 0 1,1-1-1,-1 1 0,0-1 0,1 0 1,-1 1-1,1-1 0,-1 0 0,1 0 1,0-1-1,2 2 0,-2-3-61,-1 1 0,1-1 0,-1 1-1,0-1 1,0 0 0,1 0 0,-1 0 0,0 0 0,0 0-1,0-1 1,0 1 0,0 0 0,0-1 0,0 0-1,-1 1 1,1-1 0,0 0 0,-1 0 0,0 0 0,1 0-1,-1 0 1,0 0 0,0 0 0,0-1 0,0 1-1,-1 0 1,2-4 0,12-40-439,-3 11-3506,4-10-596</inkml:trace>
  <inkml:trace contextRef="#ctx0" brushRef="#br0" timeOffset="30874.95">4104 124 0,'4'-31'1680,"-3"31"-1622,-1 0 0,-1 2 1334,1-2-1335,0 0 1,-1 0 0,1 0 0,0 0 0,0 0 0,0 0 0,0 0 0,0 0 0,0 0 0,0 0 0,0 0 0,-2-1 1333,2 1-1333,-8 18 6092,-1 10-5231,1-1 0,1 1 0,-4 35 0,6-35-197,-2-3 1,-18 46-1,17-49-432,0 0 0,1 1 1,1 0-1,-3 29 0,-16 218 1418,23-228-1492,1 0 0,2 0 0,2 0 0,1 0 0,3-1 0,0 0 0,23 65-1,-27-97-156,0-1 0,1 1 0,0 0 0,1-1 0,0 1-1,0-1 1,8 10 0,-29-57-21865,2-13 20930</inkml:trace>
  <inkml:trace contextRef="#ctx0" brushRef="#br0" timeOffset="40078.24">4349 724 0,'31'-68'1719,"-21"48"-1431,-16 32 7979,-2 0-6353,-12 21-1610,-57 116 2987,61-111-2806,-3 10-372,1 1-1,2 0 1,-11 58-1,11-42-80,15-62-32,0 1-1,0-1 1,-1 0 0,0 1 0,1-1 0,-1 1 0,0-1 0,-1 0-1,1 0 1,-1 0 0,1 0 0,-1 0 0,0-1 0,-4 4 0,-4 2 25,23-6-58,4 0 31,31 5 25,-8 0 292,-1-2 0,2-1-1,67-2 1,-61-2 285,6-2 173,-51 2-756,1 0-1,-1 0 1,0 0-1,0-1 1,1 1-1,-1 0 1,0-1-1,1 1 1,-2 0-1,1-1 1,0 0-1,0 1 1,0-1-1,0 0 1,0 0-1,0 1 1,0-1-1,0 0 1,0 1-1,1-3 1,-2 1-17,1 0 0,-1-1 0,0 1 1,-1-1-1,1 1 0,0 0 0,-1-1 0,1 1 1,-1 0-1,-1-4 0,-3-14-3,-9-46 2,5 21-4,-2 0-1,-34-88 1,-35-45-43,80 181-1729,-4 18-16120</inkml:trace>
  <inkml:trace contextRef="#ctx0" brushRef="#br0" timeOffset="41542.47">4583 899 0,'2'-10'534,"7"-20"3933,-8 28-4267,-1 1-1,1-1 1,0 1 0,-1-1 0,1 1-1,0 0 1,0 0 0,0-1 0,0 1-1,0 0 1,0 0 0,0 0 0,0 0-1,1 0 1,-1 0 0,0 1 0,3-2 0,-2 3 76,0 0 0,0 0 0,0 0 0,0 1 0,0-1 0,0 1 0,-1-1 0,1 1 0,0 0 0,-1-1 0,0 1 0,1 0 0,-1 0 0,0 0 0,0 0 0,1 3 0,9 10 291,13 19 326,-1 0 0,24 52 1,-6 15 348,16 36 464,-52-129-1483,0 1 1,0 0-1,1 0 0,7 8 0,-12-17-113,-15-23-19686,5 2 18762</inkml:trace>
  <inkml:trace contextRef="#ctx0" brushRef="#br0" timeOffset="41934.01">4878 825 0,'1'-8'302,"0"-2"403,-6 20 5626,-12 33-1464,5-16-3560,-22 37 0,-33 64 88,-31 51-1207,93-168-347,0-3-38</inkml:trace>
  <inkml:trace contextRef="#ctx0" brushRef="#br0" timeOffset="42659.65">4866 1502 184,'-4'9'-777,"6"8"11381,9-23-7231,11-13-2784,-1-1-1,-2 1 0,0-3 1,17-23-1,-36 45-583,18-27 527,-14 20-394,0 1 1,1-1-1,-1 1 0,2 1 1,10-12-1,-21 62 745,3-33-868,-1 1 1,0-1-1,-1-2 1,0 2 0,-8 17-1,-66 142-1076,72-165-2010,4-12-1257,3-18-3263,6-3 5680,4-3 1204</inkml:trace>
  <inkml:trace contextRef="#ctx0" brushRef="#br0" timeOffset="43055.18">5014 1254 64,'-2'-7'464,"2"1"16,4 5 96,-2 1-216,5 0 4297,-2 0-1376,9 0-1841,3 1-871,40 8-321,-42-7-737,0-4-2783,-5-4-2978,-4-3 5242,-6-5 248</inkml:trace>
  <inkml:trace contextRef="#ctx0" brushRef="#br0" timeOffset="43454.28">5062 1528 312,'-4'7'1813,"5"-14"2982,4-11-103,0 5-5059,-1 3 521,30-55 897,-32 60-997,1 1-1,0 0 1,0 0 0,0 2 0,0-2-1,1 1 1,-1-1 0,1 1 0,0 0 0,0 0-1,0 1 1,0-1 0,9-2 0,-13 4-46,1 1 1,-1 0-1,1 0 1,0 0-1,-1 0 1,1 0-1,0 0 0,-1 0 1,1 0-1,0 0 1,-1 0-1,1 0 1,0 0-1,-1 0 1,1 1-1,0-1 0,-1 0 1,1 0-1,0 1 1,-1-1-1,1 0 1,-1 1-1,1-1 1,-1 1-1,1-1 0,-1 1 1,1-1-1,-1 1 1,0-1-1,1 2 1,7 24 287,-10 31 317,2-55-573,-7 44 1231,-17 63 1,33-141-1135,1-1 1,27-59-1,-36 90-129,0 0-1,0 0 0,0 0 1,0 1-1,0-1 1,0 0-1,1 0 1,-1 1-1,0-1 1,1 1-1,0-1 1,-1 1-1,1 0 1,0-1-1,-1 1 1,1 0-1,0 0 1,0 0-1,0 1 1,3-2-1,0 2 92,-1-1 1,1 1-1,-1 1 0,1-1 1,-1 1-1,1 0 0,6 2 1,26 3 478,-35-6-781,1 0 0,-1 0 0,0 0 0,1 0 0,-1-1 0,1 1 0,-1-1 0,0 0 1,1 1-1,-1-1 0,-1 0 0,1 0 0,0 0 0,0-1 0,3-1 0,15-18-11332,-9 5 8322</inkml:trace>
  <inkml:trace contextRef="#ctx0" brushRef="#br0" timeOffset="44494.41">5292 262 0,'18'-57'97,"-15"47"-47,-2 6-5,1 0 0,-1-1 0,1 1 0,0 0 0,0 0 0,0 0 0,0 1 0,1-1 1,0 0-1,4-4 0,-6 7 439,0 2-410,1 0 1,-1 0 0,1 0-1,-1 0 1,1 0-1,-1 0 1,0 0-1,0 0 1,0 0-1,0 1 1,0-1-1,0 1 1,0-1-1,0 0 1,0 0 0,-1 1-1,1-1 1,1 4-1,4 6 240,11 23 478,-3-1 3319,10 37 0,32 74-438,-13-39-2125,-40-96-1436,13 33 551,-2 0 0,-1 0 1,-3 2-1,8 66 0,-16-33-311,-4 0-1,-3-1 0,-3 1 0,-4-1 0,-25 87 1,25-109-375,10-39-133,-1 1 0,-1 0-1,-1-1 1,0 0 0,-13 25-1,18-39 55,0-1 0,0 0 0,0 1 0,0-1 0,-1 1 0,1-1 0,0 0 0,0 1 0,-1-1 0,1 1 0,0-1 0,-1 0 0,1 1 0,0-1 0,-1 0 0,1 0 0,-1 1 0,1-1 0,0 0-1,-1 0 1,1 0 0,-1 1 0,1-1 0,-1 0 0,1 0 0,0 0 0,-1 0 0,1 0 0,-1 0 0,1 0 0,-1 0 0,1 0 0,-1 0 0,1 0 0,-1 0 0,1 0 0,-1-1 0,1 1 0,0 0 0,-1 0 0,1 0 0,-1-1 0,1 1-1,0 0 1,-1 0 0,1-1 0,0 1 0,-1 0 0,1-1 0,0 1 0,-1-1 0,1 1 0,0 0 0,0-1 0,-1 1 0,1-1 0,0 1 0,0 0 0,0-2 0,-10-27-11477,11 2 8413</inkml:trace>
  <inkml:trace contextRef="#ctx0" brushRef="#br0" timeOffset="46337.35">5579 101 0,'-7'-54'149,"7"54"-110,0-1 0,0 1-1,0 0 1,0-1-1,0 1 1,0 0 0,0 0-1,0-1 1,0 1-1,0 0 1,0-1 0,0 1-1,0 0 1,0 0 0,0-1-1,0 1 1,0 0-1,0-1 1,0 1 0,1 0-1,-1 0 1,0-1-1,0 1 1,0 0 0,1 0-1,-1 0 1,0-1-1,0 1 1,0 0 0,1 0-1,-1 0 1,0-1 0,0 1-1,1 0 1,9 6 557,13 23-220,-21-27-386,34 56 1339,-12-5 4374,-3 25-2941,13 99 0,-23-105-1989,3-1 0,24 70 0,-28-111-569,-2 1 1,-2 0-1,-1 0 0,-1 1 0,0 37 0,-15 161 87,5-155-130,-12 98 372,13-144-1146,-1-1 0,-1 1 1,-22 52-1,27-75-3036,9-23-8652,-4-9 11610</inkml:trace>
  <inkml:trace contextRef="#ctx0" brushRef="#br0" timeOffset="47140.61">5787 105 0,'6'-19'817,"-5"17"-698,0-1-1,-1 0 1,1 0-1,0 1 1,0-1-1,1 1 0,-1-1 1,0 1-1,1-1 1,0 1-1,-1 0 1,1 0-1,0 0 0,3-2 1,-3 2 332,1 1-1,-1 0 1,1 0 0,-1 0 0,1 0-1,0 1 1,0-1 0,-1 1 0,1-1 0,0 1-1,0 0 1,4 1 0,31 1 568,-37-2-925,0 0 0,1 0 0,-1 0 0,0 0 0,0 1 0,1-1 0,-2 0 0,1 1 0,1-1 0,-1 1 0,0-1 0,0 1 0,0 0 0,0-1 0,0 1 0,0 0 0,0 0 0,0 0 0,0 0 0,0 0 0,0 0 0,0 0 0,0 0 0,-1 0-1,1 0 1,-1 0 0,1 0 0,-1 1 0,1-1 0,-1 0 0,1 0 0,-1 1 0,0-1 0,0 0 0,0 1 0,0-1 0,0 0 0,0 2 0,-1 4 179,0-1-1,0 1 0,-1-2 1,0 2-1,-4 9 0,4-11-85,-20 38 842,18-36-811,-1 0 0,1 0 0,1 0 1,-1 0-1,1 1 0,1-1 1,-1 0-1,1 1 0,0 0 0,1 0 1,0 0-1,0 10 0,2-16-174,0 1-1,0 0 0,0-1 0,0 1 1,0-1-1,1 0 0,-1 0 0,1 0 0,0 1 1,-1-1-1,1 0 0,0 0 0,0 0 1,1-1-1,-1 1 0,0 0 0,0-1 1,1 1-1,-1-1 0,1 0 0,5 2 1,0 0-325,2 0 0,0 0 1,0-1-1,18 2 0,1-4-2903,-8-4-1836,5-1-3685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6:30.0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 67 0,'-8'0'123,"5"0"-17,0 1-1,0-1 0,0 0 0,0 0 0,0 0 1,0-1-1,0 1 0,0-1 0,0 0 0,0 0 0,-5-2 1,34-1 640,-15 4-1112,60-1 1635,-41 0 2696,46-7-1,-50 5-3048,-1 1 0,33 2 0,-33 0-672,52 6 384,-61-4-516,1 0-1,-1-1 0,1 0 1,-1-2-1,21-2 1,-14 1 13,35-1 0,-41 3-91,1 0 0,-1-2 0,1 0 0,20-6 0,-17 3-4,-3-1 51,1 1 1,0 1-1,36-3 1,-39 6-34,26-2 165,0 2 1,82 9 0,73 13 114,-100-5-260,1-5-1,173 0 1,-83-7-13,-160-3-50,36 10-43,-51-8 48,1-1-1,0 0 1,18 1-1,152 7 14,-132-6-35,189-6 41,-201 1-10,37-7-11,-48 5 3,0 0 0,51 3 0,64 2 17,-95-4-14,62 6 0,-68-1 0,45-3 0,32 1-19,-30 6 23,138-8 1,-148-1-24,148 15 0,-44 0-66,-91-13 105,-55-1-16,-1 1 1,64 9-1,-61-4-7,-1-3 0,2 0 0,71-6 0,-10-10-11,-70 9 21,0 0 1,0 2 0,37 2 0,129 21 28,-114-22-47,-37 8 16,-38-4-13,0-1 0,-1 0 1,2 0-1,-1-1 0,0 0 1,13-1-1,41-6 56,1 3 0,-1 3 1,121 15-1,-178-14-60,42 2 96,0-2 0,0-2 0,70-10 0,-72 8-50,-1 2 1,91 8-1,35 0 44,-146-7-85,6 0 43,59-10 0,-48 5 22,60-3 0,-62 8-46,43 6 0,26-1 16,-49-13 20,-52 6-60,1 2 1,-1 0-1,1-1 0,0 2 0,-1-1 1,1 1-1,0 0 0,-1 1 0,15 2 0,-16-2 8,0 0-1,0-1 1,1 1-1,-1-1 1,0 0-1,14-2 1,-12 1-4,0 1 0,0-1 0,0 1 0,9 2-1,32 1 63,18 6-70,-11 2 4,1-1 0,1-3-1,0-2 1,69-3 0,-102-4 38,57 0-72,-45 3 33,50-6 0,5 2 38,-54 0-36,-1-1 0,44-8 0,-48 5 0,-1-1-19,19-1 3,-12 3 7,-30 4 6,1 1 0,-1 0 0,16 0 1,252 8 72,-110-16-82,-2-2 58,73 17-74,-185-6 20,0-2 1,75-12-1,52-11 39,-88 22-60,-65 3 54,55-7-1,-25 1-35,0 1 0,67 3-1,-90 2 5,120 10 64,-23 0-72,-87-4 68,2 0 179,56 1-1,-97-9-385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6:44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28 903 0,'-12'-16'380,"11"14"-306,-1 0 0,0 0 0,1 0-1,-1 0 1,1 0 0,0-1 0,0 1-1,0 0 1,0-1 0,0 1-1,0-1 1,0-2 0,3 3-8,0 1 1,0 0-1,-1 0 0,1-1 0,1 1 1,-1 0-1,0 1 0,0-1 1,0 0-1,0 1 0,1-1 1,2 1-1,9-4 68,28-7 364,-26 8 990,0 1-1,0 0 1,0 2 0,0-1 0,25 4 0,199 20 2728,-198-23-3551,0-1-1,0-3 1,71-14 0,-91 12-494,-15 4-83,-1 0-1,1 0 0,0 1 0,11-2 1,-17 2 192,-6-2-2531,-1 0-2926</inkml:trace>
  <inkml:trace contextRef="#ctx0" brushRef="#br0" timeOffset="750.18">127 1302 0,'-1'1'96,"-1"1"-1,1-1 1,-1 0 0,1 0-1,-1 1 1,0-1 0,0 0-1,0-1 1,1 1 0,-1 0-1,0 0 1,0-1 0,0 1-1,0-1 1,0 0 0,0 1-1,0-1 1,-3 0 0,49 2 7370,11 8-4738,-32-6-2439,-1 0 0,27 0 0,53 0 1075,205 3 3317,-302-6-4642,0-1 1,0 0-1,0-1 0,0 1 0,0-1 1,0 0-1,-1 0 0,9-4 0,-13 2-2482</inkml:trace>
  <inkml:trace contextRef="#ctx0" brushRef="#br0" timeOffset="25035">1309 1069 0,'0'0'76,"0"0"0,-1 1 0,1-1 0,0 0-1,0 0 1,0 0 0,0 0 0,0 0 0,-1 0 0,1 0 0,0 1 0,0-1 0,0 0 0,0 0-1,0 0 1,-1 0 0,1 0 0,0 0 0,0 0 0,0 0 0,0 0 0,-1 0 0,1 0-1,0 0 1,0 0 0,0 0 0,0 0 0,-1 0 0,1 0 0,0 0 0,0 0 0,0 0 0,0 0-1,-1-1 1,1 1 0,0 0 0,0 0 0,0 0 0,0 0 0,0 0 0,0 0 0,-1 0-1,1-1 1,0 1 0,0 0 0,0 0 50,0-1-1,-1 1 1,1 0-1,0 0 1,0-1-1,-1 1 1,1 0-1,0 0 1,0 0 0,-1-1-1,1 1 1,0 0-1,-1 0 1,1 0-1,0 0 1,-1 0-1,1 0 1,0 0-1,-1 0 1,1 0 0,0 0-1,-1 0 1,1 0-1,0 0 1,-1 0-1,1 0 1,0 0-1,-1 0 1,1 0-1,0 0 1,-1 0 0,1 0-1,0 1 1,-1-1-1,1 0 1,0 0-1,0 0 1,-1 1-1,1-1 1,0 0-1,0 0 1,-1 1-1,1-1 1,0 0 0,0 0-1,0 1 1,0-1-1,-1 0 1,1 1-1,0-1 1,0 0-1,0 1 1,0-1-1,0 0 1,0 1 0,0-1-1,0 0 1,0 1-1,0 0 446,23 4 2070,-6 2-2453,21 4 157,0-1 0,44 4 0,-64-11-132,0-2 0,0-1 0,1 0 0,-1-1 0,0-1 0,0 0 0,24-8 0,-27 6-13,1 1 1,30-2-1,-17 3 39,-19-2 141,-7 4-98,-1 7-183,0 0-153,0 53 54,12 45 4,6 90-7,-19-160 94,3 1 0,0-1-1,13 44 1,-17-78 88,8-164 346,51-236-523,-24 187-1,-12 20 5,22-119 19,-39 275-39,-1-1 1,0-64 0,-4 65 27,1 0 0,11-59 0,-4 65 745,-6 26-2175,-4 19-7411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7:26.5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152 22 0,'-3'-20'362,"3"20"-343,0 0 0,0-1 1,0 1-1,-1 0 0,1 0 1,0 0-1,0 0 0,0 0 1,0 0-1,-1 0 0,1-1 1,0 1-1,0 0 0,0 0 1,0 0-1,-1 0 0,1 0 1,0 0-1,0 0 0,0 0 1,-1 0-1,1 0 0,0 0 0,0 0 1,0 0-1,-1 0 0,1 0 1,0 0-1,0 0 0,0 1 1,0-1-1,-1 0 0,1 0 1,0 0-1,0 0 0,0 0 1,0 0-1,-1 0 0,1 1 1,0-1-1,0 0 0,0 0 1,0 0-1,-19 29 1731,15-22-1563,-5 10 1063,0 0 0,1 1 1,2 0-1,-6 19 1,-5 42-569,3 0 1,-5 94 0,3-11-676,11-119 23,2 0 0,3 1 0,5 57 0,33 124 581,-11-73 182,10 36 1766,-36-183-3012,1 5 1751</inkml:trace>
  <inkml:trace contextRef="#ctx0" brushRef="#br0" timeOffset="1512.24">273 253 0,'-1'0'23,"1"0"1,0 0-1,0 0 0,0 0 0,-1 0 1,1 0-1,0 0 0,0 0 0,0 0 1,0 0-1,-1 0 0,1 0 0,0 0 1,0 0-1,0 0 0,0-1 1,-1 1-1,1 0 0,0 0 0,0 0 1,0 0-1,0 0 0,0 0 0,-1 0 1,1 0-1,0-1 0,0 1 0,0 0 1,0 0-1,0 0 0,0 0 0,0 0 1,0-1-1,-1 1 0,1 0 1,0 0-1,0 0 0,0 0 0,0-1 1,0 1-1,0 0 0,0 0 0,0 0 1,0-1-1,0 1 0,6-10 434,9-7 15,5 3-213,38-19 0,-56 32-68,1-1 1,0 1 0,0 0 0,0 0 0,1 0 0,-1 0 0,0 0 0,0 1 0,0-1 0,1 1 0,-1 0-1,0 0 1,0 0 0,1 0 0,-1 1 0,0-1 0,0 1 0,0 0 0,0 0 0,0 0 0,0 0 0,0 1-1,0-1 1,0 1 0,0-1 0,0 1 0,-1 0 0,1 0 0,-1 1 0,0-1 0,0 0 0,1 1-1,-1-1 1,-1 1 0,3 4 0,4 6 379,-1 1-1,-1 0 1,0 0-1,-1 0 1,6 27-1,-7-22-398,-1 1 0,-1 0-1,-1 0 1,0 0 0,-2 0-1,0 0 1,-1 0 0,-9 35 0,-6 7 122,-37 83 0,1 0-147,21-31-174,-32 90 350,62-198-296,-1 0 1,1 0 0,-1 0 0,-1-1 0,-5 9-1,2-9-21,7-11 31,13-22-29,-7 14-5,41-71-42,-46 83 40,-1 1 0,1-1 0,0 1 0,0-1 0,0 1 0,0-1 0,0 1 0,0 0 0,0 0-1,0 0 1,1 0 0,-1-1 0,0 2 0,1-1 0,-1 0 0,1 0 0,-1 0 0,1 1 0,-1-1 0,1 1 0,0-1 0,-1 1 0,1-1 0,0 1 0,-1 0 0,1 0 0,0 0 0,-1 0 0,1 0-1,0 0 1,-1 1 0,1-1 0,1 1 0,0 1-1,1 0 0,-2 0 0,1 0 1,0 1-1,0-1 0,-1 1 0,1 0 0,-1 0 0,0 0 0,0 0 0,0 0 0,0 0 0,2 7 0,0-1 5,2 4-5,-1 0 1,2 0-1,0-1 0,15 21 1,-21-31 0,1 0 1,0-1-1,-1 1 1,1 0-1,0 0 1,0-1-1,0 1 1,0-1-1,0 0 1,1 1-1,-1-1 1,0 0-1,0 0 1,1-1-1,-1 1 1,1 0-1,-1-1 1,1 1-1,-1-1 1,1 0-1,-1 0 1,1 0-1,-1 0 1,1 0-1,-1-1 1,0 1-1,1-1 1,-1 1-1,1-1 1,-1 0-1,0 0 1,1 0-1,3-3 1,4-3-87,1-1 1,-1 0 0,0 0 0,9-12-1,17-20-3522,-10 10-3916,-4 4 4797,-1-3 1819</inkml:trace>
  <inkml:trace contextRef="#ctx0" brushRef="#br0" timeOffset="3895.48">834 619 0,'0'0'28,"0"-1"1,1 1-1,-1-1 1,0 0-1,0 1 1,0-1-1,0 1 0,0-1 1,0 0-1,-1 1 1,1-1-1,0 1 1,0-1-1,0 1 0,0-1 1,-1 1-1,1-1 1,0 1-1,-1-1 1,1 1-1,0-1 0,-1 1 1,1-1-1,0 1 1,-1-1-1,1 1 1,-1 0-1,1-1 0,-1 1 1,1 0-1,-1 0 1,1-1-1,-1 1 1,1 0-1,-1 0 0,1 0 1,-2-1-1,2 2 10,-1-1 0,0 0 0,0 1 1,1-1-1,-1 0 0,0 1 0,1-1 0,-1 1 0,1-1 0,-1 1 0,0-1 0,1 1 0,-1 0 0,1-1 0,0 1 0,-1 0 1,1-1-1,-1 1 0,1 0 0,0 0 0,0-1 0,-1 1 0,1 0 0,0 0 0,0 0 0,0-1 0,0 1 0,0 1 0,0 6-10,0-1 0,1 1 0,0-1 0,0 1 0,1-1 1,-1 0-1,6 11 0,-7-17-35,0 1 0,1-1 1,-1 0-1,1 0 1,-1 0-1,1 0 1,0 0-1,-1 1 1,1-1-1,0 0 1,0 0-1,0-1 1,0 1-1,0 0 1,0 0-1,0 0 1,0-1-1,0 1 1,0 0-1,2 0 1,-2-1 136,0 0 0,0 0 0,0 0 0,0 0 0,0 0 0,0 0 0,0-1 0,0 1 0,0 0 0,0-1 0,0 1 0,0-1 0,0 1 0,0-1 0,0 1 0,0-1 0,-1 1 0,1-1 0,1 0 0,1-2 289,-1 0 0,1 0 0,-1 0 0,1 0 0,-1-1 0,0 1 0,0 0 0,-1-1 0,1 0 0,1-3 0,-3 5-394,1 1 0,-1-1 0,0 0 0,1 1 0,-1-1 0,0 0 0,0 0 0,0 1 0,0-1 0,-1 0 0,1 1 0,0-1 0,-1 0 0,1 1 0,-1-1 0,1 0 0,-1 1 0,0-1 0,0 1 0,0-1 0,0 1 0,0 0 0,0-1 0,0 1 0,0 0 0,0 0 0,-1 0 0,1 0 0,-1 0 0,1 0 0,0 0 0,-1 0 0,-2-1 0,2 2-9,0 0 1,1 0 0,-1 0 0,1 0 0,-1 0 0,0 0 0,1 0 0,-1 1-1,0-1 1,1 1 0,-1-1 0,1 1 0,-1 0 0,1-1 0,-1 1 0,1 0 0,0 0-1,-1 0 1,1 0 0,0 0 0,0 0 0,-1 0 0,1 1 0,0-1 0,0 0 0,0 1-1,1-1 1,-1 1 0,0-1 0,0 1 0,1-1 0,-1 1 0,1-1 0,0 1-1,-1 2 1,-6 41-5,6-44-11,1 1 0,0-1-1,0 0 1,-1 1 0,1-1-1,0 1 1,1-1 0,-1 1 0,0-1-1,0 1 1,1-1 0,-1 0 0,0 1-1,1-1 1,-1 1 0,1-1 0,0 0-1,0 0 1,-1 1 0,1-1 0,0 0-1,0 0 1,0 0 0,0 0 0,0 0-1,0 0 1,0 0 0,2 1 0,0-4 12,-1 1 1,0-1 0,0 0 0,0 0-1,0 0 1,-1 0 0,1 0 0,0-1 0,-1 1-1,1 0 1,-1-1 0,0 1 0,1-5-1,3-1 19,-1 1 15,20-35 91,-23 40-103,0 0 1,0-1-1,0 1 1,-1 0-1,1-1 0,0 1 1,-1-1-1,0 1 1,1-1-1,-1 1 1,0-1-1,0 1 0,0-1 1,-1 1-1,1 0 1,-1-1-1,0-3 1,0 6-27,1-1 0,0 1 0,0-1 0,0 1 0,-1 0 0,1-1 0,0 1 0,0-1 0,-1 1 0,1 0 1,0-1-1,-1 1 0,1 0 0,-1 0 0,1-1 0,0 1 0,-1 0 0,1 0 0,-1-1 0,1 1 0,0 0 1,-1 0-1,1 0 0,-1 0 0,1 0 0,-1 0 0,1 0 0,-1 0 0,1 0 0,-1 0 0,1 0 0,-1 0 0,0 0 1,-13 12 113,-6 21-67,19-31-58,-1 3-4,-1 0 0,1 1 1,1-1-1,-1 1 0,1-1 1,0 1-1,0-1 1,0 1-1,1 0 0,1 10 1,-1-16 6,0 0 1,0 0-1,0 0 1,0 0-1,0 0 1,0 0 0,0 1-1,0-1 1,0 0-1,0 0 1,0 0-1,0 0 1,0 0-1,1 0 1,-1 0-1,0 1 1,0-1 0,0 0-1,0 0 1,0 0-1,0 0 1,0 0-1,1 0 1,-1 0-1,0 0 1,0 0-1,0 0 1,0 0 0,0 0-1,1 0 1,-1 0-1,0 0 1,0 0-1,0 0 1,0 0-1,0 0 1,1 0 0,-1 0-1,0 0 1,0 0-1,0 0 1,0 0-1,0 0 1,0 0-1,1 0 1,-1-1-1,8-7 33,11-21-55,-15 22 1,21-36 11,-25 43 11,1-1-1,-1 1 1,0-1 0,1 1 0,-1-1 0,1 1 0,-1-1-1,0 1 1,0-1 0,1 0 0,-1 1 0,0-1 0,0 1-1,0-1 1,1 0 0,-1 1 0,0-1 0,0 0-1,0 1 1,0-1 0,0 1 0,0-1 0,-1 0 0,1 1-1,0-1 1,0 0 0,0 1 0,0-1 0,-1 1 0,1-1-1,0 0 1,-1 1 0,1-1 0,0 1 0,-1-1 0,1 1-1,-2-1 1,2 1-21,-1-1 0,1 1 0,-1 0 0,1 0 0,-1 1 0,0-1 0,1 0 0,-1 0 0,1 0 0,-1 0 0,1 0 0,-1 0 0,1 1 0,-1-1 0,1 0 0,-1 1 0,1-1 0,-1 0 0,1 1 0,-1-1 0,1 0 0,0 1 0,-1-1 0,1 1 0,-1-1 0,1 1 0,0-1 0,0 1 0,-1-1 0,1 1 0,0 0 0,-6 15-2067,2-7 678,1 1-1,0 0 1,1 1-1,0-1 1,-1 14-1,1-5 546</inkml:trace>
  <inkml:trace contextRef="#ctx0" brushRef="#br0" timeOffset="5438.32">1332 565 0,'15'-33'1571,"-10"21"478,-1 1 0,-1 0 1,1-1-1,-2 0 1,3-20-1,-21 66 111,-49 148-1122,26-81-881,-28 120-1,58-182-152,3-6 18,-2 1 0,-2-2-1,-16 39 1,26-70-22,-1-1 0,1 1 0,-1 0 0,1-1 0,0 1 0,-1 0 0,1 0 0,0-1 0,0 1 1,-1 0-1,1 0 0,0-1 0,0 1 0,0 0 0,0 0 0,0 0 0,0-1 0,0 1 0,1 0 0,-1 0 0,0-1 0,0 1 0,1 0 0,-1 0 0,0-1 0,1 1 0,-1 0 0,1 1 0,24 8-24,-2-2 28,52 27 20,-28-12 108,0-2-1,55 15 0,-63-27 115,41 2 1,17 3 219,-85-10-323,-11-3-116,1 0-1,0-1 0,-1 1 1,1 0-1,0-1 0,-1 1 1,1-1-1,0 0 0,0 1 1,-1-1-1,1 0 0,0 0 1,0 0-1,0 0 0,-1 0 0,1-1 1,3 0-1,-4-1-8,-1 0-1,1 0 1,-1-1 0,0 1-1,0 0 1,0 0 0,0 0-1,0 0 1,0-1-1,-2-2 1,1-4-18,-5-49-8,-2 0 0,-3 1 0,-3 0 0,-33-90 0,-3 7-10,27 72-12,-3 1-1,-36-67 0,60 130 30,-4-6 1,1 1 0,1-1 0,-7-19 0,10 26-9,0 0 0,1 0 0,-1 0-1,1 0 1,0 0 0,0-1-1,0 1 1,0 0 0,0 0 0,1 0-1,0 0 1,-1 0 0,1 0-1,0 0 1,1 0 0,-1 0-1,3-4 1,1-4 960,-30 48-20734</inkml:trace>
  <inkml:trace contextRef="#ctx0" brushRef="#br0" timeOffset="6115.12">1807 485 0,'1'-13'3120,"-1"12"-3069,0 1 1,0 0-1,0 0 1,0 0-1,0 0 0,0 0 1,0 0-1,0 0 1,0 0-1,17 31 5953,68 189-599,-8 32-2849,24 72-1172,-99-319-1377,0-1 1,0 1-1,0-1 1,0 1 0,6 6-1,-10-15-552,-1-4-3443,-10-27-7977,-10-18 9979</inkml:trace>
  <inkml:trace contextRef="#ctx0" brushRef="#br0" timeOffset="6507.33">2186 522 0,'9'-30'310,"-11"21"662,-10 19 1499,-27 42 4161,-1 18-6166,23-38 435,-19 39-106,-33 98 0,-14 81 38,62-183-637,16-53-372,-11 44 539,16-54-720,-1-1 0,1 1 0,0 0 0,0 0 0,0-1 0,0 1 0,2 6 1,1-5-2986,6-1-4339</inkml:trace>
  <inkml:trace contextRef="#ctx0" brushRef="#br0" timeOffset="7137.95">2132 1600 24,'6'4'9973,"2"-5"-6028,11-11-3929,-6 3 877,14-11-254,-2-1-1,31-33 0,-51 49-530,0-1-7,0 1 0,0-1 0,0 1 0,1 0 0,0 1 0,0-1 1,0 1-1,10-5 0,-15 10-62,-1 0 0,1-1 0,-1 1 0,0-1 0,1 1 0,-1 0-1,0 0 1,1-1 0,-1 1 0,0 0 0,0 0 0,1-1 0,-1 1 0,0 0 0,0 0 0,0-1 0,0 1 0,0 0 0,0 0 0,0-1 0,-1 1 0,1 0 0,0 0 0,0-1 0,0 1 0,-1 0 0,0 1-1,-6 34 32,-1 1-96,-2-1 0,-1-1 0,-2 1 1,-27 53-1,29-78-463,3-14-3202,7 2 2693,0-1 1,0 0-1,0 0 1,0 0-1,1-1 1,-1 1-1,1 0 1,-1 0-1,1 0 1,0-4-1,0-25-1840</inkml:trace>
  <inkml:trace contextRef="#ctx0" brushRef="#br0" timeOffset="7572.07">2341 1235 360,'-6'-7'480,"14"3"6634,-5 1-5010,1 0-880,7-1-751,6-3-265,40-16-593,-43 16-2311,-2 1-3882,-1 5 5498,-4 5 352</inkml:trace>
  <inkml:trace contextRef="#ctx0" brushRef="#br0" timeOffset="7999.8">2393 1557 56,'-6'9'-1481,"-2"-2"6235,16-19 4316,92-95-7682,-99 105-1377,1 0 0,0 0 0,0 0 0,0 1 0,0-1 0,0 1 0,0-1 0,1 1 1,-1 0-1,1-1 0,-1 1 0,4-1 0,-5 2-6,0 0 1,0 0-1,0 1 0,0-1 1,1 0-1,-1 0 0,0 0 1,0 1-1,0-1 1,0 1-1,0-1 0,-1 1 1,1-1-1,0 1 0,0-1 1,0 1-1,0 0 1,0-1-1,-1 1 0,1 0 1,0 0-1,-1 0 0,1 0 1,-1-1-1,1 1 1,-1 0-1,1 0 0,-1 0 1,1 0-1,-1 0 1,0 0-1,0 0 0,1 0 1,-1 2-1,3 10 95,0 1 0,-1 0 0,0 0 0,-1 0 0,-1 0 0,0 0 0,-1 0-1,0 1 1,-1-2 0,-1 1 0,0 0 0,-1 0 0,-1-1 0,-12 26 0,13-33-2,1-8-32,2-19-3,7-31-42,-4 39 15,1 0-34,-1 0 0,2-1 0,-1 1 0,8-16 0,-9 26 59,-1 0 0,1 1 0,-1-1 0,1 0 0,0 0 1,0 1-1,0 0 0,0-1 0,1 1 0,-1 0 0,1 0 1,-1 0-1,1 0 0,0 0 0,-1 1 0,1-1 1,0 1-1,0 0 0,0 0 0,0 0 0,1 0 0,-1 1 1,6-1-1,59 3 1557,-54-1-1618,0 0 0,0-1-1,0 0 1,18-3 0,-25 1-837,0 0 0,0 0 0,0 0 0,-1-1 0,1 0 0,-1 0 0,7-5 0,15-14-7870,-4-3 5705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7:44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36 0,'0'-1'67,"-1"1"1,1-1-1,-1 0 1,1 0-1,-1 1 1,0-1-1,1 0 1,-1 1-1,0-1 1,1 1-1,-1-1 1,0 1-1,0-1 0,0 1 1,0-1-1,1 1 1,-1 0-1,0 0 1,0-1-1,0 1 1,0 0-1,0 0 1,0 0-1,0 0 0,-1 0 1,1 0 36,0 0 1,1 0-1,-1 0 0,1 0 1,-1 0-1,0 0 1,1 0-1,-1 1 0,1-1 1,-1 0-1,0 0 0,1 1 1,-1-1-1,1 0 0,-1 0 1,1 1-1,-1-1 1,1 1-1,-1-1 0,1 0 1,0 1-1,-1-1 0,1 1 1,0-1-1,-1 1 1,1-1-1,0 1 0,-1-1 1,1 1-1,0 0 0,0-1 1,0 1-1,0-1 1,-1 1-1,1 0 0,0-1 1,0 1-1,0-1 0,0 1 1,0 0-1,0-1 0,1 1 1,-1-1-1,0 1 1,0 0-1,0-1 0,1 1 1,-1-1-1,0 1 0,0-1 1,1 1-1,0 0 1,1 6 185,2-1 0,-1 1 0,1-1 0,0 0 0,0 0 0,6 7 0,-4-5-52,-5-7-179,0-1 0,-1 1 0,1 0 0,0 0-1,-1 0 1,1 0 0,0-1 0,0 1 0,0 0 0,0-1 0,-1 1 0,1 0-1,0-1 1,0 1 0,0-1 0,0 0 0,1 1 0,-1-1 0,1 0 0,-1 0-21,0 0 0,-1 0 0,1 0 1,0-1-1,0 1 0,-1 0 0,1-1 1,-1 1-1,1-1 0,0 1 0,-1 0 1,1-1-1,-1 0 0,1 1 0,-1-1 1,1 1-1,-1-1 0,1 1 0,-1-1 1,0 0-1,1 0 0,2-6 78,-1 0 0,0 0 0,0 0 0,1-10 1,-3 15-128,4-31 89,-4 32-72,0 1-1,0-1 0,0 1 1,0-1-1,0 1 1,0-1-1,0 1 0,-1-1 1,1 1-1,0-1 0,0 1 1,-1-1-1,1 1 1,0-1-1,0 1 0,-1 0 1,1-1-1,0 1 1,-1-1-1,1 1 0,-1 0 1,1-1-1,-1 1 0,1 0 1,0 0-1,-1-1 1,1 1-1,-1 0 0,1 0 1,-1 0-1,1 0 0,-1 0 1,1 0-1,-1-1 1,1 1-1,-1 0 0,1 0 1,-1 1-1,1-1 1,-1 0-1,1 0 0,-1 0 1,1 0-1,-1 0 0,1 0 1,-1 1-1,1-1 1,-1 0-1,1 0 0,-1 1 1,-24 11 77,24-11-70,-1 0-13,0 1-1,0 0 1,1-1 0,-1 1-1,0 0 1,1 0 0,-1 0-1,1 0 1,0 0-1,-1 1 1,1-1 0,0 0-1,0 1 1,0 3 0,0-5-1,1 1 0,-1-1 1,1 0-1,0 0 0,0 1 1,0-1-1,0 0 0,0 0 0,0 1 1,0-1-1,0 0 0,0 1 1,1-1-1,-1 0 0,1 0 1,-1 1-1,1-1 0,-1 0 1,1 0-1,-1 0 0,1 0 1,0 0-1,0 0 0,0 0 0,-1 0 1,1 0-1,0 0 0,0 0 1,0-1-1,2 2 0,-2-2 7,0 0 0,-1 0 0,1 0 0,0 0 0,-1 0 0,1 0 1,0 0-1,-1 0 0,1 0 0,0-1 0,-1 1 0,1 0 0,0 0 0,-1-1 0,1 1 0,-1 0 0,1-1 0,0 1 0,-1-1 0,1 1 0,-1-1 0,1 1 0,-1-1 0,0 1 0,1-1 0,-1 0 0,0 1 0,1-2 0,10-17 217,-8 11-179,0 1 0,0-1 1,-1 0-1,2-17 0,-3 25-44,-1 0 4,0 0 1,0-1-1,0 1 0,1-1 0,-1 1 1,0-1-1,0 1 0,0-1 0,0 1 1,0-1-1,0 1 0,0 0 0,0-1 1,0 1-1,0-1 0,0 1 0,0-1 0,0 1 1,0-1-1,0 1 0,-1-1 0,1 1 1,0 0-1,0-1 0,0 1 0,-1-1 1,1 1-1,0 0 0,-1-1 0,1 1 1,0 0-1,-1-1 0,1 1 0,0 0 1,-1-1-1,1 1 0,-1 0 0,1 0 1,0-1-1,-1 1 0,1 0 0,-1 0 0,1 0 1,-1 0-1,1 0 0,-1 0 0,1 0 1,-1 0-1,1 0 0,0 0 0,-1 0 1,1 0-1,-1 0 0,1 0 0,-1 0 1,1 0-1,-1 0 0,1 1 0,-1-1 1,1 0-1,0 0 0,-1 1 0,1-1 1,-1 1-1,-22 15 140,4 20-117,18-35-30,1 0 1,-1 0-1,1 0 0,-1 0 1,1 0-1,-1 1 1,1-1-1,-1 0 1,1 0-1,0 1 0,0-1 1,0 0-1,0 1 1,0-1-1,0 0 1,0 0-1,0 1 1,0-1-1,1 0 0,-1 1 1,0-1-1,1 0 1,-1 0-1,1 0 1,0 0-1,-1 1 0,2 0 1,-1-2 1,0 0 0,1-1 1,-1 1-1,0-1 0,0 1 0,0-1 1,0 1-1,0-1 0,0 0 1,0 1-1,0-1 0,0 0 0,-1 0 1,1 0-1,0 0 0,0 0 0,-1 0 1,1 0-1,0 0 0,-1 0 0,1 0 1,-1 0-1,0 0 0,1-2 0,0 2 32,0 0 0,0-1 0,-1 1 0,1-1 0,0 1 0,-1-1 0,1 1 0,-1-1 0,0 1 0,1-1 0,-1 1 0,0-1 0,0 1 0,0-1 0,0 0 0,0 1 0,0-1 0,-1 1 0,1-1 0,-1-2 0,1 4-31,-1 0 0,1 0-1,0 0 1,0-1 0,-1 1 0,1 0 0,0 0 0,0 0-1,-1 0 1,1 0 0,0 0 0,-1 0 0,1-1-1,0 1 1,-1 0 0,1 0 0,0 0 0,0 0-1,-1 0 1,1 0 0,0 0 0,-1 0 0,1 1-1,0-1 1,-1 0 0,1 0 0,0 0 0,0 0 0,-1 0-1,1 0 1,0 1 0,-1-1 0,1 0 0,0 0-1,0 0 1,0 1 0,-1-1 0,1 0 0,0 0-1,0 1 1,0-1 0,-1 0 0,1 0 0,0 1-1,-8 19 42,9-2-25,-1-17-18,1-1 0,-1 0 0,0 0 1,1 1-1,-1-1 0,0 0 0,1 0 0,-1 0 1,0 0-1,1 0 0,-1 0 0,0 0 0,1 0 1,-1 0-1,0 1 0,1-1 0,-1-1 0,1 1 0,-1 0 1,0 0-1,1 0 0,-1 0 0,0 0 0,1 0 1,-1 0-1,0 0 0,1-1 0,-1 1 0,0 0 0,1 0 1,-1 0-1,0-1 0,0 1 0,1 0 0,-1 0 1,0-1-1,0 1 0,1 0 0,-1-1 0,0 1 0,0 0 1,0-1-1,1 1 0,10-20 133,-11 19-114,0 0-1,1 1 0,-1-1 0,0 1 0,1-1 1,-1 0-1,0 0 0,0 1 0,1-1 1,-1 0-1,0 1 0,0-1 0,0 0 1,0 0-1,0 1 0,0-1 0,0 0 0,0 0 1,-1 1-1,1-1 0,0 0 0,0 1 1,-1-1-1,1 0 0,0 1 0,-1-2 0,0 2-50,1 0-1,0 0 0,-1 0 0,1 0 0,-1 0 0,1 0 0,0 1 0,-1-1 0,1 0 0,0 0 0,0 0 0,-1 1 0,1-1 0,0 0 0,-1 0 1,1 1-1,0-1 0,0 0 0,-1 1 0,1-1 0,0 0 0,0 1 0,0-1 0,0 0 0,0 1 0,-1-1 0,1 0 0,0 1 0,0-1 1,0 1-1,0-1 0,0 0 0,0 1 0,0-1 0,0 1 0,-1 9-4277,4 0-4359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7:48.1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25 815 0,'-1'1'76,"0"-1"0,-1 0 1,1 1-1,-1-1 0,1 1 0,0 0 1,-1-1-1,1 1 0,0 0 0,0 0 1,0 0-1,0 0 0,0 0 0,0 0 1,0 0-1,0 0 0,0 0 0,0 0 1,0 1-1,1-1 0,-1 0 0,6 9 7835,19-33-6373,216-251 2302,-233 266-3593,-1 0 0,0-1 0,7-14 0,-7 16-121,-3 15-31,-4 15-52,-8 30-39,-31 100 0,25-105 2,2 1-1,-11 78 0,21-92-12,1 0 1,1-1-1,5 39 0,-3-64 6,0-1 0,0 1-1,1-1 1,0 0 0,1 1-1,-1-1 1,2 0 0,-1-1-1,1 1 1,0 0 0,1-1-1,-1 0 1,2 0 0,-1 0-1,1-1 1,0 0 0,0 0-1,9 6 1,-13-11 1,-1 0 0,1 0 0,0 0 0,0 0 0,-1 0-1,1-1 1,0 1 0,0-1 0,0 0 0,0 1 0,0-1 0,0 0 0,0 0 0,-1 0 0,1 0-1,0 0 1,0-1 0,0 1 0,0-1 0,3 0 0,-1-1-1,0 0 1,-1 0-1,1-1 1,-1 1 0,1-1-1,-1 0 1,0 0-1,0 0 1,3-4-1,4-7 0,-1 0 0,0 0-1,12-28 1,7-31 3,36-145 1,-39 122 5,28-112 43,-47 194-57,1-7 56,-7 21-18,-4 23 67,-15 101-41,-5 43 39,22-148-94,-7 83 39,4 146 1,5-244-66,0-1 0,1 0 0,-1 1 1,1-1-1,0 0 0,0 1 1,0-1-1,0 0 0,0 0 1,2 4-1,-2-7-1,0 1 0,-1-1 0,1 1 1,0 0-1,0-1 0,0 1 0,-1-1 0,1 0 1,0 1-1,0-1 0,0 0 0,0 1 0,0-1 1,0 0-1,0 0 0,0 0 0,-1 0 1,1 0-1,0 0 0,0 0 0,0 0 0,0 0 1,0 0-1,0-1 0,0 1 0,0 0 0,0-1 1,-1 1-1,1 0 0,0-1 0,0 1 0,0-1 1,-1 0-1,1 1 0,0-1 0,0 1 0,-1-1 1,1 0-1,0-1 0,6-3-1649,0-2 1,0 1-1,0-1 0,-1 0 1,0-1-1,-1 1 0,7-11 0,8-24 45</inkml:trace>
  <inkml:trace contextRef="#ctx0" brushRef="#br0" timeOffset="2546.77">915 96 0,'15'-17'388,"-12"15"-298,-1 0 1,1-1-1,-1 1 1,0-1-1,1 0 1,-1 1-1,0-1 1,-1 0-1,1 0 1,-1 0-1,2-5 363,-19 27 7884,-49 101-5734,49-87-2065,3 1 1,0 1-1,-10 51 0,-12 111 690,2-13-671,25-140-509,1-1-1,3 1 1,1 0-1,2 1 0,2-1 1,12 76-1,13 152 685,-15-138-576,-10-128-1679</inkml:trace>
  <inkml:trace contextRef="#ctx0" brushRef="#br0" timeOffset="3499.62">925 1329 0,'0'0'275,"18"-9"1220,-8 3-1266,-1 0 0,0-1 0,0 0 0,0-1 0,13-16 0,1-11 5022,-7 3-4207,-1-1 0,-2-1-1,11-43 1,17-110-1067,-24 107 437,-3 8 294,-4 0-1,4-140 0,-7 158-519,-5 44-98,-1 1 1,1-1-1,-1 0 0,-1 0 0,0-10 1,0 20-84,0 0 0,0-1 1,-1 1-1,1 0 0,0-1 0,0 1 1,0 0-1,0-1 0,0 1 1,-1 0-1,1-1 0,0 1 0,0 0 1,0 0-1,-1-1 0,1 1 0,0 0 1,0 0-1,-1 0 0,1-1 1,0 1-1,-1 0 0,1 0 0,0 0 1,-1 0-1,1-1 0,0 1 1,-1 0-1,1 0 0,0 0 0,-1 0 1,1 0-1,0 0 0,-1 0 0,1 0 1,0 0-1,-1 0 0,1 0 1,0 0-1,-1 1 0,1-1 0,-1 0 1,0 0-2,1 1 0,-1-1-1,0 0 1,1 1 0,-1-1 0,0 0 0,1 1 0,-1-1 0,1 1 0,-1-1 0,0 1 0,1 0 0,0-1-1,-1 1 1,1 0 0,-1-1 0,1 1 0,0 0 0,-1-1 0,1 1 0,0 0 0,0-1 0,-1 2-1,-18 197 965,-2 14-443,-31 184-374,9-67-838,42-324 2188</inkml:trace>
  <inkml:trace contextRef="#ctx0" brushRef="#br0" timeOffset="3944.04">998 893 112,'-2'-2'408,"2"1"344,3 1-480,1 1 40,7 4 88,7 1 369,47 17 5512,-44-21-4385,4-2-703,-3 0-377,0-1-160,-2-5-392,-1-6-712,-5-5-1120,-3-10-7650,-5-2 7625,-5 2 785</inkml:trace>
  <inkml:trace contextRef="#ctx0" brushRef="#br0" timeOffset="4955.37">1369 219 0,'3'-10'297,"15"-37"180,-17 44-401,1 0 0,-1 0 0,1 0 0,0 0 0,0 1 0,0-1 0,0 1 0,1-1 0,-1 1 0,1 0 0,-1 0 0,5-3 0,-6 5 88,-1 0 1,1 0-1,-1 0 0,1-1 1,-1 1-1,1 0 1,-1 0-1,1 0 0,-1 0 1,1 0-1,-1 0 1,1 0-1,-1 0 0,1 0 1,-1 0-1,1 0 1,-1 0-1,1 1 0,-1-1 1,0 0-1,1 0 1,-1 0-1,1 1 0,-1-1 1,1 0-1,-1 1 1,0-1-1,1 0 0,-1 1 1,1-1-1,-1 0 1,0 1-1,0-1 0,1 1 1,-1-1-1,0 1 1,11 25 4381,-7-17-5193,11 38 1677,-2 1 1,-1 0-1,-3 0 1,5 88 0,-12-49-222,-17 169 1,3-142-319,6-38-244,-4-1-1,-2 0 1,-28 89 0,15-94-781,-60 119 1,85-189 366,0 0 1,0-1-1,0 1 1,0 0-1,-10-29-16957,10 23 17468,-1-23-1378</inkml:trace>
  <inkml:trace contextRef="#ctx0" brushRef="#br0" timeOffset="6081.92">1655 95 0,'-1'-4'140,"0"-1"1,0 1-1,0 0 0,0 0 0,1 0 1,0-1-1,0 1 0,0 0 1,1-8-1,1 14-21,-1 1 1,0-1-1,0 1 0,1 0 1,-2-1-1,1 1 0,1 5 1,38 180 9821,-22-58-7259,-11-56-1830,-4 1 1,-2-1-1,-18 135 1,-4-54-351,-31 147 404,-21-19-821,68-267-860,-2 14 1871</inkml:trace>
  <inkml:trace contextRef="#ctx0" brushRef="#br0" timeOffset="7161.03">1797 88 0,'5'-45'16,"-5"25"571,3 4 575,-2 15-1133,0 0-1,0 0 0,1 1 1,-1-1-1,0 1 1,1-1-1,-1 1 1,1 0-1,-1-1 0,0 1 1,1 0-1,-1 0 1,3 0-1,14-1 284,-16 1 129,0 0-1,0 1 0,-1-1 1,1 0-1,0 1 1,0-1-1,0 1 0,-1 0 1,1-1-1,0 1 1,1 1-1,-2-1-157,0 0 1,0 0-1,0 0 1,0 0-1,0 0 0,-1 0 1,1 0-1,0 0 0,0 1 1,-1-1-1,1 0 1,-1 0-1,1 1 0,-1-1 1,0 0-1,1 3 1,-1 21-803,-3-11 643,0 0 1,-1-1 0,0 1 0,-1-1 0,-1 0-1,-7 13 1,2-8 85,3-7 103,2 1-1,-1-1 1,1 2-1,-4 13 0,10-24-247,0-1 0,0 0 0,0 1 0,0-1 0,0 1 0,0-1 0,0 0 0,0 1-1,1-1 1,-1 0 0,1 1 0,-1-1 0,1 0 0,-1 1 0,1-1 0,0 0 0,0 0-1,0 0 1,-1 0 0,1 0 0,0 0 0,0 0 0,0 0 0,1 0 0,-1 0 0,0 0-1,0-1 1,0 1 0,1-1 0,-1 1 0,0 0 0,1-1 0,-1 0 0,0 1 0,1-1-1,1 0 1,9 3 181,-1-1-1,1 0 0,12 0 0,-20-2-248,-1 0 165,47 2-3256,-44-2 1128,0-1-1,0 1 0,-1-1 0,1 0 0,0 0 0,6-3 0,-7 0 864</inkml:trace>
  <inkml:trace contextRef="#ctx0" brushRef="#br0" timeOffset="9342.07">2171 667 0,'-7'-4'-1192,"-2"0"3738,0 0 4795,21 2-1892,23 1-3875,59-12 1,15 0 260,-79 13-1530,1 2 0,-1 1 0,39 8 0,50 6 278,-97-21-425,-21 4-207,-1 0 1,1 0-1,0 0 0,0 0 1,0-1-1,0 1 0,-1 0 1,1-1-1,0 1 0,0 0 1,-1-1-1,1 1 0,0-1 1,-1 1-1,1-1 0,0 0 1,-1 1-1,1-1 0,-1 1 1,1-1-1,-1 0 0,1-1 1</inkml:trace>
  <inkml:trace contextRef="#ctx0" brushRef="#br0" timeOffset="10190.34">2456 417 0,'8'2'2816,"-9"12"1414,-2 0-2903,1 1 1,-2 29 0,2 2-161,-1-6-351,-1 12-203,-1 1-1,-19 76 1,21-118-581,-2 5 25,1 0 1,0 1-1,-2 32 0,7-65-42,0 0-1,1 1 0,8-31 0,1-1-31,-1-3 14,-1 14-8,-1-1 1,-3-1 0,0 0 0,-3 1 0,-2-48 0,0 85-23,-1 0 1,1 0-1,0 1 0,0-1 0,0 0 1,0 0-1,0 0 0,0 0 0,0 0 1,-1 0-1,1 0 0,0 0 0,0 0 1,0 0-1,0 0 0,0 0 0,0 0 1,0 0-1,-1 0 0,1 0 0,0 0 1,0-1-1,0 1 0,0 0 0,0 0 1,0 0-1,0 0 0,0 0 0,0 0 1,-1 0-1,1 0 0,0 0 0,0 0 1,0 0-1,0 0 0,0-1 0,0 1 1,0 0-1,0 0 0,0 0 0,0 0 0,0 0 1,0 0-1,0 0 0,0-1 0,-4 16-3757,-1 27-2895,-3 13 4920,-3-4 969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8:03.9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134 40 0,'26'-36'1298,"-21"32"793,-12 15 1918,-15 18 817,10-8-5306,-14 31 1275,-23 65 0,40-84-645,1 1 1,1 0-1,-1 36 1,0 103 595,0 3 70,8-132-579,1 1 0,2-1 1,2 1-1,15 61 0,-9-47-44,-4-32 85,0-1 1,19 44-1,-7-20 231,-3-6 51,-7-14-203,2-2-1,18 35 1,0-23-38,-27-48-5858,-7-11-8564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8:08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68 219 0,'-2'1'46,"1"0"1,-1 0-1,0 0 1,1-1-1,-1 1 0,0 0 1,0-1-1,1 1 1,-1-1-1,0 1 0,0-1 1,0 0-1,0 0 1,1 1-1,-1-2 0,0 1 1,0 0-1,0 0 1,0 0-1,0-1 1,1 1-1,-1-1 0,0 0 1,0 1-1,1-1 1,-1 0-1,1 0 0,-3-1 1,3-1 265,-1 1 0,0 0-1,1-1 1,0 1 0,-1-1 0,1 1 0,0-1 0,0 1 0,1-1 0,-1 0-1,0 1 1,1-1 0,0 0 0,0 0 0,0 1 0,0-1 0,0 0 0,0 0-1,1 1 1,-1-1 0,2-3 0,0-3-4,0 0-1,1 0 1,1 0 0,0 0-1,0 1 1,0-1-1,1 1 1,0 0 0,1 1-1,-1-1 1,2 1 0,-1 0-1,1 1 1,0-1-1,0 1 1,1 1 0,11-8-1,-14 11-174,-1 0-1,1 0 0,0 0 0,-1 1 1,1 0-1,0 0 0,0 0 0,0 0 0,0 1 1,7 0-1,-10 0-82,0 1 0,0-1 0,0 1 1,0 0-1,0 0 0,0 0 0,0 0 0,0 0 1,0 0-1,0 0 0,0 1 0,-1-1 0,1 1 0,-1-1 1,1 1-1,-1 0 0,1-1 0,-1 1 0,0 0 0,0 0 1,0 0-1,0 0 0,0 0 0,-1 0 0,2 3 1,7 31 410,-1 1 0,-3-1 1,0 1-1,-2 0 1,-3 38-1,-4 9-231,-5 1 1,-19 86-1,9-57-99,-34 145 16,37-204-174,-2-1 0,-40 83 0,52-129-13,5-16-73,6-17 21,2 7 76,0 1 0,1 1 1,0 0-1,1 0 0,12-16 0,-20 31 14,0-1 0,1 0 1,-1 1-1,0-1 0,0 1 0,1 0 0,-1-1 0,1 1 0,-1 0 0,1 0 0,0 0 0,-1 0 0,1 0 1,0 0-1,-1 1 0,1-1 0,2 0 0,-2 1 1,-1 0 0,0 0 0,0 0 1,1 0-1,-1 1 0,0-1 0,1 0 0,-1 1 0,0-1 0,0 1 1,0-1-1,0 1 0,1 0 0,-1 0 0,0-1 0,0 1 1,0 0-1,0 0 0,1 1 0,4 6 1,0 1 1,-1 0-1,0 0 1,0 0-1,4 13 1,1 1 9,-9-21-6,0 0 0,0 0 0,0-1 0,0 1 0,0 0 0,0 0 0,1-1 0,-1 1 0,0 0 0,1-1 0,-1 1 0,1-1 1,0 0-1,0 0 0,-1 1 0,1-1 0,0 0 0,0-1 0,0 1 0,0 0 0,0 0 0,0-1 0,0 1 0,0-1 0,0 0 1,1 0-1,-1 0 0,0 0 0,0 0 0,0 0 0,0 0 0,0-1 0,0 1 0,0-1 0,0 1 0,0-1 0,0 0 0,0 0 1,0 0-1,3-2 0,7-5-344,0-1-1,-1 0 1,1-1 0,17-21 0,-10 11-1318,2 1-747,31-24-9707,-33 30 11253,6-5-99</inkml:trace>
  <inkml:trace contextRef="#ctx0" brushRef="#br0" timeOffset="2081.67">617 534 0,'-19'-15'191,"1"1"6825,18 14-6922,0 0-1,0 0 1,0 0 0,0 1 0,0-1-1,0 0 1,0 0 0,0 0 0,0 0-1,0 0 1,0 1 0,0-1 0,0 0-1,0 0 1,0 0 0,0 0 0,0 0-1,0 1 1,0-1 0,0 0 0,0 0-1,0 0 1,-1 1 469,1-1-470,0 0 1,0 0 0,0 0 0,0 0-1,-1 0 1,1 0 0,0 0 0,0 0-1,0 0 1,0 0 0,0 0 0,0 1-1,-1-1 1,1 0 0,0 0 0,0 0-1,0 0 1,0 0 0,0 0 0,-1 0-1,1-1 1,0 1 0,0 0 0,0 0-1,0 0 1,0 0 0,-1 0 0,1 1-59,1 0 1,-1-1-1,0 1 0,0 0 1,0-1-1,1 1 1,-1 0-1,0-1 1,1 1-1,-1 0 1,1-1-1,-1 1 1,1 0-1,-1-1 0,1 1 1,-1-1-1,1 1 1,-1-1-1,1 0 1,0 1-1,-1-1 1,1 1-1,0-1 1,-1 0-1,1 0 0,0 1 1,0-1-1,1 0 1,-1 0 12,0 0 1,0-1 0,1 1-1,-1 0 1,0-1-1,0 1 1,0-1 0,0 0-1,0 1 1,0-1-1,0 0 1,0 0-1,0 1 1,0-1 0,1-2-1,0 2-26,-1-1 1,0 1-1,1-1 0,-1 1 0,0-1 0,0 1 0,0-1 1,0 0-1,-1 1 0,1-1 0,0 0 0,-1 0 1,1 0-1,-1 0 0,0 1 0,1-1 0,-1 0 0,0 0 1,0 0-1,0 0 0,-1 0 0,1 0 0,-1-2 1,1 4-24,0 0 1,0 0 0,0 0-1,0 0 1,0 0 0,0 0-1,0-1 1,-1 1 0,1 0-1,0 0 1,0 0 0,0 0 0,0 0-1,0 0 1,0 0 0,-1 0-1,1 0 1,0 0 0,0 0-1,0 0 1,0 0 0,0 0 0,-1 0-1,1 0 1,0 0 0,0 0-1,0 0 1,0 0 0,0 0-1,-1 0 1,1 0 0,0 0-1,0 0 1,0 0 0,0 0 0,0 1-1,0-1 1,0 0 0,-1 0-1,1 0 1,0 0 0,0 0-1,0 0 1,0 0 0,0 1-1,0-1 1,0 0 0,0 0 0,0 0-1,-7 12 6,-1 10 35,6-9 82,5-11 127,7-20-83,7-38-75,-17 43 22,-7 13-4,-8 15 16,0 46-45,15-49 30,4-16 66,3-13 2,0-29-201,-9 58-2057,1-10 1375,1 1 0,-1-1 0,1 0 1,-1 0-1,1 1 0,0-1 0,0 0 0,0 1 0,0-1 1,0 0-1,1 1 0,-1-1 0,0 0 0,1 0 0,1 4 1,1-3-1593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8:20.3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1099 0,'-2'9'1152,"1"6"-807,2-14-152,-1-1 0,1 0 0,-1 1-1,1-1 1,-1 0 0,1 0 0,-1 0-1,1 0 1,0 1 0,-1-1 0,1 0 0,-1 0-1,1 0 1,-1 0 0,1 0 0,0 0-1,-1-1 1,1 1 0,-1 0 0,1 0 0,-1 0-1,1 0 1,-1-1 0,1 1 0,-1 0-1,1-1 1,-1 1 0,1 0 0,-1-1 0,1 1-1,-1 0 1,0-1 0,1 1 0,0-1-1,13-10 395,0 0 0,0 0 0,-1-2 0,0 1 0,-1-2 0,-1 1 0,0-2 0,-1 1 0,11-22 0,9-23 646,27-74-1,-36 80-749,-10 23-334,-1 1-1,-1-2 0,-2 1 1,-2-1-1,0 0 0,-2-1 1,-2 1-1,-2-40 0,0-156 44,-11 155-139,7 43-58,5 28 4,0 0-1,0 1 1,0-1-1,0 0 0,0 0 1,-1 1-1,1-1 1,0 0-1,0 0 1,0 1-1,-1-1 0,1 0 1,0 0-1,-1 1 1,1-1-1,-1 0 1,1 1-1,-1-1 0,1 1 1,-1-1-1,1 0 1,-1 1-1,1-1 1,-1 1-1,0 0 0,1-1 1,-1 1-1,0-1 1,1 1-1,-1 0 1,0 0-1,0-1 0,1 1 1,-1 0-1,0 0 1,0 0-1,0 0 0,-1 0 1,1 0 1,-1 1-1,1 0 1,0 0-1,0 0 1,-1-1-1,1 1 1,0 0-1,0 0 1,0 1 0,0-1-1,0 0 1,0 0-1,0 0 1,1 1-1,-1-1 1,0 0-1,1 1 1,-1-1 0,1 0-1,-1 3 1,-27 118-17,-13 128 0,5-19-25,25-155 52,4 1 1,2 85 0,-6 81 3,7-209-3,3-16-1,-1 1 0,-1 0 1,-9 30-1,8-40 1565,3-5-3906,1-24-14294,0 6 15889</inkml:trace>
  <inkml:trace contextRef="#ctx0" brushRef="#br0" timeOffset="623.29">4 867 0,'-1'-14'918,"2"8"99,15 17-311,-7-4-598,3 1 204,94 64 7278,-87-60-6583,0-1 1,1-1 0,0-1-1,25 8 1,-40-16-911,0 0 0,0 0 1,0 0-1,-1-1 1,1 0-1,0 0 1,0-1-1,0 1 0,0-1 1,0 0-1,0 0 1,8-4-1,-4 1 168,0-1 0,-1 1-1,1-1 1,-1-1 0,-1 0 0,10-8-1,-4 2-1223,-1-1 0,18-24 0,9-26-11967,-30 41 10489</inkml:trace>
  <inkml:trace contextRef="#ctx0" brushRef="#br0" timeOffset="2759.59">688 669 0,'0'-1'36,"0"1"0,0 0 0,0 0 0,0-1 0,0 1 0,1 0 0,-1-1 0,0 1 0,0 0 0,0-1 0,0 1 0,0 0 0,0-1 0,0 1 0,0 0 0,0-1 0,0 1 0,-1 0 0,1-1-1,0 1 1,0 0 0,0 0 0,0-1 0,0 1 0,-1 0 0,1-1 0,0 1 0,0 0 0,0 0 0,-1-1 0,1 1 0,0 0 0,0 0 0,-1 0 0,1-1 0,0 1 0,0 0 0,-1 0 0,1 0 0,0 0 0,-1 0 0,-17-1 3310,17 1-3192,0 0 1,1 0-1,-1 0 1,0 1 0,1-1-1,-1 0 1,0 1-1,1-1 1,-1 0-1,0 1 1,1-1-1,-1 1 1,1-1 0,-1 1-1,1-1 1,-1 1-1,1-1 1,-1 1-1,1 0 1,-1-1-1,1 2 1,0-1-82,0 0 0,0 0-1,0 0 1,0 0 0,0 0 0,0 0 0,0 0-1,0 0 1,1 0 0,-1-1 0,0 1 0,1 0-1,-1 0 1,1 0 0,-1 0 0,1 0 0,-1-1-1,1 1 1,0 0 0,-1 0 0,1-1 0,1 2-1,-1-1-12,0-1 0,-1 0 0,1 1-1,-1-1 1,1 0 0,0 1-1,-1-1 1,1 0 0,0 0 0,-1 1-1,1-1 1,0 0 0,0 0-1,-1 0 1,1 0 0,0 0-1,0 0 1,-1 0 0,1 0 0,0 0-1,-1 0 1,1-1 0,0 1-1,0 0 1,-1 0 0,1-1 0,-1 1-1,1 0 1,0-1 0,-1 1-1,1-1 1,-1 1 0,1-1 0,-1 1-1,1-1 1,0 0 0,0 0-25,-1 1 0,1-1 1,0 0-1,-1 0 1,1 1-1,-1-1 1,1 0-1,-1 0 0,1 0 1,-1 1-1,0-1 1,1 0-1,-1 0 0,0 0 1,0 0-1,1 0 1,-1 0-1,0 0 0,0 0 1,0 0-1,0 0 1,0 0-1,-1 0 0,1 1 1,0-1-1,0 0 1,-1-2-1,1 3-33,0 0-1,-1 0 1,1-1-1,0 1 0,0 0 1,0 0-1,0 0 1,0 0-1,-1-1 1,1 1-1,0 0 1,0 0-1,0 0 1,0 0-1,-1 0 1,1-1-1,0 1 1,0 0-1,-1 0 0,1 0 1,0 0-1,0 0 1,0 0-1,-1 0 1,1 0-1,0 0 1,0 0-1,-1 0 1,1 0-1,0 0 1,0 0-1,-1 0 1,1 0-1,0 0 1,0 0-1,0 0 0,-1 1 1,1-1-1,0 0 1,0 0-1,0 0 1,-1 0-1,1 0 1,0 1-1,-7 11 76,8-1 100,0-11-164,-1 0-1,1 0 1,-1 0 0,0 0 0,1 0-1,-1 0 1,1 0 0,-1 0-1,1 0 1,-1 0 0,1 0-1,-1 0 1,1 0 0,-1 0 0,1 0-1,-1 0 1,1 0 0,-1-1-1,1 1 1,-1 0 0,0 0-1,1-1 1,-1 1 0,1 0-1,-1-1 1,0 1 0,1 0 0,-1-1-1,1 1 7,-1-1-1,1 1 1,-1 0-1,1 0 0,-1-1 1,0 1-1,1 0 1,-1 0-1,1-1 0,-1 1 1,0 0-1,1-1 1,-1 1-1,0-1 1,0 1-1,1 0 0,-1-1 1,0 1-1,0-1 1,0 1-1,1-1 1,-1 1-1,0-1 0,0 1 1,0 0-1,0-1 1,0 1-1,0-1 0,0 1 1,0-1-1,0 1 1,0-1-1,0 1 1,0-1-1,-1 1 0,1-1 1,0 1-1,0-1 1,0 1-1,-1-1 0,0 0 0,0 0-1,0 1 0,0-1 0,0 0 0,0 1 0,-1-1 0,1 0 1,0 1-1,0-1 0,-1 1 0,1 0 0,0-1 0,-1 1 0,0 0 1,0 0-12,1 0 0,0 0 0,0 0 1,-1 0-1,1 0 0,0 0 0,0 0 1,-1 0-1,1 1 0,0-1 0,0 0 1,0 1-1,0-1 0,0 1 1,-2 1-1,2-2 2,1 1 1,-1-1-1,1 1 0,0 0 1,-1-1-1,1 1 1,0-1-1,0 1 0,0 0 1,-1-1-1,1 1 0,0 0 1,0-1-1,0 1 1,0 0-1,0-1 0,0 1 1,0 0-1,0-1 1,0 1-1,1 0 0,-1-1 1,0 1-1,0 0 0,1-1 1,-1 1-1,0-1 1,1 1-1,-1 0 0,0-1 1,1 1-1,-1-1 1,1 1-1,-1-1 3,0 0 0,0 1 1,1-1-1,-1 0 0,0 0 0,0 0 1,0 0-1,0 0 0,0 0 0,0 0 0,0 0 1,1 1-1,-1-1 0,0 0 0,0 0 1,0 0-1,0 0 0,0 0 0,1 0 1,-1 0-1,0 0 0,0 0 0,0 0 0,0 0 1,0 0-1,1 0 0,-1 0 0,0 0 1,0 0-1,0 0 0,0 0 0,0 0 1,1 0-1,-1 0 0,0 0 0,0-1 0,0 1 1,0 0-1,0 0 0,1 0 0,-1 0 1,0 0-1,0 0 0,0 0 0,0 0 1,0-1-1,7-9 376,1-11 156,-11 9-1267,-5 40-14660</inkml:trace>
  <inkml:trace contextRef="#ctx0" brushRef="#br0" timeOffset="4777.14">887 1042 0,'-13'9'752,"4"-5"4947,20-25 2798,-1 5-9710,20-38 3021,40-100-1,38-106-365,-91 207-578,-12 43-767,-3 16 60,-5 29-67,-24 120-69,14-92-50,-9 99 0,21-142 20,1 0 1,1 0-1,0 0 0,2 0 1,0 0-1,1 0 0,1-1 1,1 0-1,11 24 0,-16-40 7,0 0-1,1 0 1,-1 0-1,1 0 0,0-1 1,-1 1-1,2 0 1,-1-1-1,0 1 0,0-1 1,1 0-1,-1 0 1,1 0-1,5 3 1,-6-4 0,0-1 1,0 1 0,0-1 0,0 0-1,1 0 1,-1 0 0,0 0 0,0-1 0,0 1-1,0 0 1,0-1 0,0 1 0,0-1-1,0 0 1,0 0 0,-1 0 0,1 0-1,0 0 1,0 0 0,-1 0 0,1 0 0,-1-1-1,1 1 1,2-4 0,8-8 2,0-1 1,-1 0 0,0 0-1,-2-1 1,1-1-1,-2 0 1,9-23-1,38-126 17,-48 138-16,12-63-12,-16 70 12,0 0-1,1 1 1,2-1-1,0 1 1,0 0 0,16-29-1,-23 96 599,-3 11-325,-18 93-1,11-90-85,-6 101 0,17-156-169,1 1 1,-1-1-1,2 0 0,-1 0 0,1 0 1,0 0-1,0-1 0,0 1 0,1 0 1,0-1-1,1 0 0,-1 0 0,1 0 1,9 10-1,-11-13-80,1 0 0,0-1 1,-1 1-1,1-1 0,1 0 1,-1 1-1,0-1 0,0-1 1,1 1-1,-1 0 0,1-1 1,0 0-1,-1 0 0,1 0 1,0 0-1,-1 0 0,1-1 1,0 0-1,0 0 0,0 0 1,0 0-1,-1 0 0,1-1 1,0 0-1,0 0 0,-1 0 1,1 0-1,5-3 0,11-10-3433,-17 11 1645,0 0 1,0 0 0,-1-1 0,1 1 0,-1-1 0,3-6 0,1-10-1062</inkml:trace>
  <inkml:trace contextRef="#ctx0" brushRef="#br0" timeOffset="6253.8">1852 16 0,'7'-16'1927,"-15"25"2355,-19 34 2338,8-5-6064,2 0 0,2 1-1,2 0 1,1 1 0,2 1-1,2 0 1,-4 53-1,4 41 581,5 0-1,30 261 0,2-252-192,-10-59-584,-17-78 634,-5-34-23968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8:30.0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216 59 0,'0'-3'154,"-1"1"0,1 0 0,0-1-1,-1 1 1,1 0 0,0-1 0,0 1 0,1 0 0,-1-1 0,0 1-1,1 0 1,0 0 0,-1-1 0,1 1 0,0 0 0,0 0-1,3-4 1,10-7 8829,-30 52-5465,-6 6-3035,-150 343 649,162-364-1153,7-18-1,0 0-1,1 1 0,-1-1 0,1 1 0,1 0 1,-3 13-1,4-19-9,51 18-45,-9-8 113,-8-2 74,41 6 0,-64-14 44,0 0 1,0-1-1,0 0 0,0 0 1,0-1-1,0-1 0,0 0 1,12-4-1,3 1 234,-21 5-326,-1-1 0,1 0 0,-1 0 0,1 0 0,-1 0 0,6-3 0,-9 1-51,-1 1 0,0 0 0,1 0 0,-1 0 0,0-1 0,0 1 0,0 0 0,-1 0 0,1 0 0,0 0 0,-1-1 0,1 1 0,-1 0 0,-1-2 0,0-4 10,-55-288-42,49 261 31,3 12-15,0 1 0,-2 0 0,-1 0 0,-15-32 0,8 36-6,14 18 7,1-1 1,0 1-1,-1-1 0,1 1 0,-1 0 0,1-1 0,-1 1 1,1 0-1,-1 0 0,0-1 0,1 1 0,-1 0 0,1 0 1,-1 0-1,1 0 0,-1 0 0,0 0 0,1 0 0,-1 0 1,1 0-1,-1 0 0,0 0 0,1 0 0,-1 0 0,1 0 1,-1 1-1,1-1 0,-1 0 0,1 0 0,-1 1 0,1-1 1,-1 0-1,1 1 0,-1 0 0,0-1-92,2 6-3029,7 12-12539,-7-13 15985,0-1-825</inkml:trace>
  <inkml:trace contextRef="#ctx0" brushRef="#br0" timeOffset="743.12">510 82 0,'9'-23'14827,"-3"31"-14367,-2-1-256,4 5 61,0 1-1,0 1 1,-1 0-1,-1 0 0,-1 0 1,6 21-1,12 36 696,3 18 245,5-1 1,62 123-1,-79-187-895,-9-18-199,-1 1-1,0-1 1,-1 1 0,1-1-1,-1 1 1,0 0-1,-1 0 1,0 1 0,2 8-1,-9-19-1951,-4-10-3206,-6-23-1938,3-1 1641,10 29 4273,-2-21-1431</inkml:trace>
  <inkml:trace contextRef="#ctx0" brushRef="#br0" timeOffset="1178.05">811 49 64,'-7'-13'906,"-1"16"3640,-2 15 829,3-2-4656,7-15-764,-55 137 3632,-17 44-1256,54-142-1885,-2-2 1,-37 54 0,45-74-373,-3 1-79,2 0-1,0 1 0,2 0 0,0 1 0,-11 28 1,21-27-2099,25-33-14015</inkml:trace>
  <inkml:trace contextRef="#ctx0" brushRef="#br0" timeOffset="1750.3">811 844 0,'-3'6'562,"-23"25"12164,34-50-10501,-4 11-2115,0 1 1,1 0 0,0-1-1,1 2 1,-1-1 0,1 1-1,12-10 1,9-10 173,-21 21-197,0-1-1,0 0 0,0 1 1,0 0-1,1 1 0,0 0 1,0 0-1,0 0 0,0 1 1,1 0-1,13-4 0,-21 7-44,1 0 0,-1 0 0,1 0 0,-1 0-1,0 0 1,1 0 0,-1 1 0,1-1-1,-1 0 1,0 0 0,1 0 0,-1 0-1,1 1 1,-1-1 0,0 0 0,1 1-1,-1-1 1,0 0 0,1 0 0,-1 1-1,0-1 1,0 1 0,1-1 0,-1 0 0,0 1-1,0-1 1,1 1 0,-1-1 0,0 0-1,0 1 1,0-1 0,0 1 0,0-1-1,0 1 1,0-1 0,0 0 0,0 1-1,0-1 1,0 1 0,0-1 0,0 1-1,0-1 1,0 1 0,0-1 0,-1 1-1,-8 32 845,6-25-1028,-98 274 465,100-280-293,-8 21-487,5-20-756,1-16-1041,5-58-11160,1 17 10688</inkml:trace>
  <inkml:trace contextRef="#ctx0" brushRef="#br0" timeOffset="2177.15">967 503 440,'6'18'13155,"-3"-17"-11411,1 2-487,7 1-497,12 6-184,44 15-376,-42-21-912,-6-4-1145,0-3-10905,-5 0 11129,-3-1 529</inkml:trace>
  <inkml:trace contextRef="#ctx0" brushRef="#br0" timeOffset="3095.69">977 847 72,'-3'13'-1714,"-1"2"13637,15-23-6245,-10 7-5642,8-4 76,0 0-1,0 1 1,0 0-1,0 0 1,1 1-1,10-2 1,-18 4-89,0 0 0,0 1 1,0-1-1,0 1 0,1 0 0,-1 0 1,0 0-1,0 0 0,0 0 1,1 0-1,-1 1 0,0-1 1,0 1-1,0 0 0,0-1 1,0 1-1,0 0 0,0 0 1,0 0-1,0 0 0,0 1 0,0-1 1,-1 0-1,1 1 0,0-1 1,-1 1-1,0 0 0,1 0 1,-1-1-1,0 1 0,0 0 1,0 0-1,0 0 0,0 0 0,0 0 1,0 3-1,1 3 147,0 0 0,0 0-1,-1 0 1,-1 0 0,1 0 0,-1 0-1,-2 15 1,-7 20 214,-22 69 0,29-104-362,0 2 98,6-26-22,61-228-162,-65 239 62,1 1-1,1 0 1,-1 0-1,1 0 0,-1 0 1,1 0-1,0 1 1,1-1-1,-1 0 1,1 1-1,-1-1 1,6-4-1,-6 7 35,1-1 1,0 1-1,0 0 1,-1 0-1,1 0 1,0 0-1,0 0 1,0 1-1,0-1 1,0 1-1,0 0 1,0 0-1,0 0 1,0 0-1,0 0 1,0 1-1,0-1 0,0 1 1,3 1-1,11 3-71,-7-2 311,1 0-1,0-1 1,0 0-1,0-1 1,18 0-1,-26-1-450,0-1-1,0 1 1,0-1-1,0 0 1,0 0 0,0 0-1,0 0 1,0 0-1,5-4 1,-5 3-410,0-1 0,0 1 0,-1-1 0,1 0 0,-1 1-1,1-1 1,-1 0 0,0 0 0,0-1 0,1-3 0,5-14-9178,-5 1 6430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8:36.2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12 288 0,'-3'-9'299,"1"0"1,0 0-1,0 0 0,0-13 0,2 22-184,0 14 282,4 9 94,1 0-1,1 0 0,1 0 0,11 25 1,-6-18 1531,-2 0 0,6 32 0,18 153 115,4 229 0,-48-81-1217,3-230-754,5-107-369,-8 50 1,9-95-11328,-1-33 8489,3 18 2347</inkml:trace>
  <inkml:trace contextRef="#ctx0" brushRef="#br0" timeOffset="1714.95">289 258 0,'-6'-57'923,"3"27"-106,3 25-529,2 10-161,39 117 1575,-26-84 764,-2 0 0,12 53-1,9 170-80,-18-118-1529,-2-8-324,-6 1-1,-11 141 1,-2-200-467,-28 139 1,27-201-2359,3-26-4113,2-15-34,1 14 6694,6-22-1158</inkml:trace>
  <inkml:trace contextRef="#ctx0" brushRef="#br0" timeOffset="3006.94">557 97 0,'0'-16'115,"-1"11"79,1-1 0,0 0 0,0 1-1,1-1 1,0 1 0,2-11 0,-2 14-149,0 0 1,0 1-1,0-1 0,0 0 0,0 0 0,1 1 1,-1-1-1,0 1 0,1-1 0,0 1 1,-1 0-1,1-1 0,0 1 0,-1 0 1,1 0-1,0 0 0,0 1 0,0-1 1,0 0-1,0 1 0,0-1 0,0 1 1,2-1-1,-1 1 456,0-1 0,-1 0 0,1 1 0,-1 0 0,1 0 0,0 0 0,-1 0 0,1 0-1,-1 0 1,1 1 0,0-1 0,-1 1 0,5 1 0,-5-1-236,-1 1 0,1-1-1,-1 0 1,0 0 0,0 0 0,1 1-1,-1-1 1,0 0 0,0 1 0,0-1-1,0 1 1,0 2 0,7 19-721,-6-16 522,-1-1 0,0 1 0,0 0 0,0-1-1,-1 1 1,0-1 0,-1 1 0,1 0-1,-1-1 1,-1 1 0,-3 11 0,-8 11 181,-1-1-1,-1 0 1,-32 43 0,51-76-235,-1 3-11,-1 0 1,1 0-1,0 1 0,-1-1 0,1 1 0,0 0 0,0 0 0,3-1 0,36-7 27,-38 8-25,-1 1 0,0 0 0,0 1 0,0-1 0,0 0 0,0 1 0,0 0 0,0 0 0,0 0-1,0 0 1,-1 0 0,1 0 0,0 1 0,4 3 0,-5-4-60,0 1-1,0-1 1,0 0 0,1 0-1,-1 0 1,1 0 0,-1 0-1,0 0 1,1 0 0,-1-1-1,1 1 1,0-1 0,-1 0 0,1 0-1,4 0 1,-2-1-1287,0-1 1,0 1-1,0-1 0,-1 0 1,1-1-1,-1 1 0,7-5 1,4-4-72,4-6 468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10:48:47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50 102 0,'-20'13'372,"18"-13"-331,1 1 0,-1-1 1,0 1-1,1 0 0,-1-1 0,1 1 0,-1 0 0,1 0 1,-1 0-1,1 0 0,0 1 0,-1-1 0,1 0 0,0 0 1,0 1-1,0-1 0,0 1 0,0-2 0,0 2 0,1-1 1,-1 1-1,-1 2 0,3-2 4,0-1 1,0 1 0,0-1-1,0 0 1,0 0-1,0 0 1,1 0-1,-1 0 1,0 0-1,0 0 1,1 0-1,-1 0 1,1 0-1,-1-1 1,1 1-1,-1 0 1,1-1-1,-1 0 1,1 1-1,-1-1 1,1 0-1,-1 0 1,3 0-1,47 7 233,-43-6-190,98 23 6200,-75-16-5086,43 6-1,-61-13-1022,0 0-1,0-1 1,0 0-1,0-1 0,0 0 1,22-5-1,79-14 62,-83 16-63,0-1 0,-1-1 0,36-12 1,-57 16-122,0-1 0,0 1 0,0 0 1,0 1-1,0 0 0,0 1 1,0 0-1,0 0 0,0 1 1,0 0-1,10 3 0,-6-2-42,-2-2 16,1 1 0,-1-2-1,0 1 1,0-1 0,11-3-1,-11 2 13,1 0-1,-1 1 0,1 0 0,19 2 0,16 6 89,-28-4-108,2 0 0,-1-1 0,0-1 0,1-1 0,23-2 0,-35 1-3,0 1 0,0 0 0,1 1 1,-1 0-1,-1 0 0,1 1 0,0 0 1,0 1-1,-1 0 0,1 0 0,-1 0 1,0 1-1,13 8 0,26 11 210,-40-22-211,-1 1-1,1-1 0,-1 0 1,1 0-1,-1-1 0,1 0 1,0 0-1,-1 0 0,9-2 1,29-1-25,47 14 43,-58-6 5,63 1 1,-40-14-66,-47 6 27,0 0 0,0 0 0,-1 1 0,1 0 0,0 1 0,0 0 0,12 2 0,-7 1 6,0-1 1,1 0 0,-2 0-1,1-2 1,1 0 0,-1 0-1,1-1 1,20-5-1,-18 3-5,1 0 0,0 2-1,0 0 1,0 1-1,0 0 1,0 2-1,-1 0 1,32 8 0,-30-6-2,-8-2 2,0-1-1,1 0 1,-1-1 0,0 0 0,1-1-1,-1 0 1,17-4 0,2-3 2,41-17 0,29-8 36,-86 31-38,-1 0 1,1 1-1,-1 1 0,1 0 1,21 3-1,-17-1-1,1-1 0,25-2 0,-7-1-7,68 5 0,9 0-2,-106-4 5,-1 0 0,1-1 0,-1 0 0,0 0 0,9-4-1,-11 4 2,-1 0 0,1 1 0,0-1 0,0 1 0,0 0-1,0 0 1,0 0 0,0 1 0,0-1 0,0 1 0,0 1-1,0-1 1,6 2 0,5 2 7,-3 0-6,0 0 0,0-1 0,-1 0 0,2-1 0,0-1 0,-1 0 0,1-1 0,15-1 0,-14 0-4,0 1 0,0 1 0,0 0 0,0 1 1,0 0-1,0 2 0,0 0 0,15 6 0,-4-2 4,34 6 0,2-6-52,-36-5 59,0 1-1,1 1 0,34 11 1,-33-9-3,0 0-1,0-2 1,0-1 0,34 1 0,-21-3 1,45 10 1,-61-7 2,0-2 0,0 0 1,1-1-1,-1-2 0,0 0 0,1-2 0,27-5 0,-19 3-5,-1 3 0,1 0 0,57 8 0,-74-7-1,0 0-1,0-1 0,0-1 0,20-5 0,36-2 21,-51 7 10,0 0 0,0-1 0,-1-1 0,1-1 1,-1-1-1,31-12 0,-40 14-19,0 0 0,0 1 1,-1 1-1,16-1 0,7-2 87,-20 3-47,0 1 0,1 0 0,-1 1 0,21 3 0,32 0 13,135-6 323,-145 3-338,-38-1 0,-1-1 0,1 0 0,31-9 0,-29 5-13,1 2-1,25-3 1,0 3-25,8 0 111,62 4 1,-86-1-101,-1 0-1,0-1 1,0-2 0,30-8 0,-25 5 15,-1 1 0,58-2 0,-46 8 6,298-9 412,-146-7-267,-183 16-155,1 0 1,0 0-1,26 6 1,-25-3-8,0-1 1,33-1 0,182-22 132,-202 17-145,1 1 0,0 0-1,-1 2 1,59 6-1,-33 0-4,91-1-1,-118-4-14,4-2 1,64-10 0,8-2-21,67-6 66,-133 16-53,73 1 0,-31 2 38,208-14-33,-173 7 14,-106 7-12,1 0 0,-1 1 0,0 0 0,1 1 0,21 4-1,-28-5 5,1 0 0,-1 1 0,1-2-1,-1 1 1,1 0 0,0-1 0,5-1-1,22-2 9,-21 4-20,0 0 0,0 1 0,16 3 0,-24-4 9,-1 0 1,0 0-1,0 0 0,0 0 0,0 0 1,0 0-1,0-1 0,0 1 1,0-1-1,0 0 0,3-1 0,14-3 16,18-2 7,-30 5-19,1 0 1,0 0-1,0 1 0,8 0 0,159 1 33,-133 9-72,-6 0 66,-2-7 17,-22-2-54,-1 1 0,1 0 0,13 4-1,13-4-36,-21-2 38,127 10 98,-104-7-87,72 13 0,18 1-1,32-10 50,-89 0-43,-35-2 3,-1-2 0,1-2 0,70-7 0,-83 4 2,37 1-1,13-2-29,-48 3 24,1 1 0,-1 1-1,40 6 1,5 0-52,-43-4 53,-1-3 0,-1 0 1,1-2-1,34-6 0,-26 3-1,0 2 0,66 2-1,-52 2-7,-32 0-4,0 1 0,30 6 1,20 3 12,-48-8-13,-1-1-1,32 11 0,-31-8 5,-1 0-1,35 4 1,107 9-5,-141-17 13,0-1-1,0-1 1,31-5 0,-45 5 29,0 1 1,-1 0-1,1 0 1,0 1-1,0-1 1,-1 1-1,1 0 1,10 4-1,-8-3 79,-1 0-1,1 0 1,-1-1 0,10 1-1,-17-2-172,1 0 0,-1 0 0,0 0 0,0 0 0,1 0 0,-1 0 0,0 0 0,0 0 0,1 0 1,-1 0-1,0 0 0,0 0 0,1 0 0,-1-1 0,0 1 0,0 0 0,1 0 0,-1 0 0,0 0 0,0 0 0,0 0 0,1-1 0,-1 1 0,0 0 0,0 0 0,0 0 0,1 0 0,-1-1 0,0 1 0,0 0 0,0 0 0,0 0 0,0-1 1,0 1-1,0 0 0,1 0 0,-1-1 0,0 1 0,0 0 0,0 0 0,0-1 0,0 1 0,0 0 0,0 0 0,0-1 0,0 1 0,-1-1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1T21:42:22.1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2 0,'-4'-2'132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4:59.7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1004 280,'7'2'124,"0"0"-1,-1 0 1,1-1 0,0 0 0,0-1-1,0 0 1,0 0 0,0 0-1,0-1 1,0 0 0,12-3-1,-14 2-108,0 0 0,0-1 0,0 1 0,0-1 0,-1 0 0,1-1 0,-1 1 0,0-1 0,0 0 0,0 0 0,0 0 0,-1 0 0,4-6 0,4-4 15,36-43 24,33-37-23,-72 86-28,1 0 0,0 0 0,0 1 0,0 0 0,1 1 0,0 0 0,1 1 0,13-5 0,-23 9 3,1 0-1,0 1 1,0-1-1,0 1 0,-1-1 1,1 1-1,0 0 1,0 0-1,0 0 0,0 0 1,0 0-1,0 0 1,0 0-1,-1 1 0,1-1 1,0 1-1,0-1 1,0 1-1,-1 0 0,1 0 1,0 0-1,-1 0 1,1 0-1,-1 0 0,1 0 1,-1 0-1,1 0 0,-1 1 1,0-1-1,0 1 1,0-1-1,1 1 0,-1 0 1,-1-1-1,1 1 1,0 0-1,0-1 0,-1 1 1,1 0-1,-1 0 1,1 2-1,1 7 19,0 0-1,0 1 1,-1-1-1,-1 0 1,-1 20 0,-3 5 2,-2 0 0,-2 0 1,-1-1-1,-26 67 0,-74 127-31,105-224-276,5-11-5,7-17-251,-6 16 354,9-29-429</inkml:trace>
  <inkml:trace contextRef="#ctx0" brushRef="#br0" timeOffset="609.29">418 966 688,'0'0'69,"0"1"0,0 0 0,-1 0 0,1 0 0,0 0 0,1 0 0,-1 0 0,0 0 0,0-1 0,0 1-1,0 0 1,1 0 0,-1 0 0,0 0 0,1-1 0,-1 1 0,1 0 0,-1 0 0,1-1 0,-1 1 0,1 0 0,0 0 0,1 0-54,0-1 0,0 0 0,0 1 0,0-1 0,0 0-1,0 0 1,0 0 0,0-1 0,0 1 0,0 0 0,0-1 0,0 1 0,3-2 0,-3 1-11,7-1 8,-1 0-1,-1-1 1,1 0 0,0-1 0,-1 1-1,1-1 1,-1-1 0,0 1 0,10-11 0,26-29 24,-28 28-24,0 1 1,0 0 0,33-23-1,-48 38-8,1-1-1,-1 1 1,1 0-1,-1-1 1,1 1-1,-1 0 0,1-1 1,-1 1-1,1 0 1,-1 0-1,1 0 1,-1-1-1,1 1 1,-1 0-1,1 0 1,0 0-1,-1 0 1,1 0-1,-1 0 0,1 0 1,-1 0-1,1 0 1,0 0-1,-1 1 1,1-1-1,-1 0 1,1 0-1,-1 0 1,1 1-1,-1-1 1,1 0-1,-1 1 0,1-1 1,-1 0-1,1 1 1,-1-1-1,0 0 1,1 1-1,-1-1 1,0 1-1,1-1 1,-1 1-1,0-1 1,0 1-1,1-1 0,-1 1 1,0-1-1,0 1 1,0 0-1,0-1 1,0 1-1,1-1 1,-1 1-1,0-1 1,0 1-1,-1 0 1,1-1-1,0 1 0,-2 41 227,1-38-206,-10 66 204,-6 60 47,16-113-214,0 1 1,2 0-1,0 0 1,1 0-1,4 17 1,-6-31-63,1-1 1,0 0-1,0 1 1,0-1-1,1 0 0,-1 0 1,1 0-1,0 0 1,-1 0-1,1 0 1,1 0-1,-1 0 0,0-1 1,1 1-1,-1-1 1,4 2-1,-4-3-47,0 0 1,0 0-1,0-1 0,0 1 1,0-1-1,0 1 0,0-1 1,0 0-1,0 0 0,0 0 1,1 0-1,-1 0 0,0 0 1,0-1-1,0 1 0,0-1 0,0 1 1,0-1-1,0 0 0,0 0 1,0 0-1,0 0 0,-1 0 1,1 0-1,3-3 0,27-27-893,7-14 167</inkml:trace>
  <inkml:trace contextRef="#ctx0" brushRef="#br0" timeOffset="610.29">897 476 1000,'-31'-7'696,"2"7"353,12-1-457,2 1 784,10-2 1081,2 4-3258,4 2-2719,1-1 2439,2 2 345</inkml:trace>
  <inkml:trace contextRef="#ctx0" brushRef="#br0" timeOffset="1125.33">761 1255 368,'0'0'17,"0"0"1,0 0-1,-1 0 1,1 0-1,0 0 1,0 0-1,0 0 0,0 0 1,0 0-1,-1 0 1,1 0-1,0 0 1,0 0-1,0 0 0,0 0 1,-1 0-1,1 0 1,0 0-1,0 0 1,0 0-1,0 0 0,0 0 1,-1 0-1,1 0 1,0 0-1,0 0 0,0 0 1,0 0-1,0 0 1,0 0-1,-1-1 1,1 1-1,0 0 0,0 0 1,0 0-1,0 0 1,0 0-1,0 0 1,0-1-1,0 1 0,0 0 1,0 0-1,-1 0 1,1 0-1,0 0 0,0-1 1,0 1-1,0 0 1,0 0-1,0 0 1,0 0-1,0-1 0,0 1 1,0 0-1,0 0 1,0 0-1,1 0 1,-1 0-1,0-1 0,0 1 1,5-18 337,14-18-149,88-97 215,-68 88-399,35-51 1,-67 84-22,1 1 0,1 0 0,17-16 0,-23 24-1,-1 1 1,1 0-1,0-1 1,1 1-1,-1 1 1,0-1-1,0 0 1,6-1-1,-8 3 1,1 0-1,-1-1 1,1 1 0,-1 0-1,1 0 1,0 0-1,-1 0 1,1 0-1,-1 0 1,1 1 0,-1-1-1,1 0 1,-1 1-1,1-1 1,-1 1 0,1 0-1,-1-1 1,1 1-1,1 2 1,-1-2 0,-1 0 0,0 1 0,0-1 0,0 0 0,0 1 0,0-1 0,0 1 1,0-1-1,-1 1 0,1 0 0,0-1 0,-1 1 0,1 0 0,-1-1 0,0 1 0,0 0 0,1 0 0,-2 3 0,-3 34 28,3-33-25,-15 60 103,-41 108 0,36-114-61,13-41-29,8-27-21,10-35-63,-1 11-9,1 0 1,2 1-1,1 1 1,2 0-1,0 0 1,33-44-1,-45 70 74,0 0 0,1 0 0,0 1-1,-1-1 1,1 1 0,8-5-1,-11 7 9,1 1 0,-1-1 0,0 0 0,1 1 0,-1-1 0,1 1 0,-1 0 0,1-1-1,-1 1 1,1 0 0,-1 0 0,1 0 0,0 0 0,-1 0 0,1 0 0,-1 0 0,1 1 0,-1-1 0,1 1 0,-1-1-1,0 1 1,1-1 0,-1 1 0,1 0 0,-1 0 0,0-1 0,2 3 0,5 5 218,0 1-1,0 0 1,-1 0 0,0 1-1,-1 0 1,0 0 0,-1 0 0,0 1-1,7 22 1,-6-18 693,0 0-1,0 0 1,2-1 0,0 0 0,14 19-1,-21-31-877,1 0-1,0 0 0,-1 0 1,1 0-1,0 0 0,0 0 0,0-1 1,0 1-1,1-1 0,-1 1 0,0-1 1,1 0-1,-1 0 0,1 0 0,-1 0 1,1-1-1,-1 1 0,1-1 0,-1 1 1,5-1-1,-4 0-240,0-1 0,0 0-1,1 0 1,-1 0 0,-1 0 0,1 0-1,0-1 1,0 1 0,0-1 0,-1 0 0,6-4-1,7-8-1409,0-1 0,-1-1-1,14-20 1,4-10 565</inkml:trace>
  <inkml:trace contextRef="#ctx0" brushRef="#br0" timeOffset="3985.14">2066 0 312,'-2'0'48,"1"0"1,-1 1-1,1-1 0,0 0 1,-1 1-1,1-1 0,0 1 0,0 0 1,-1-1-1,1 1 0,0 0 1,0 0-1,0 0 0,0-1 0,0 1 1,0 0-1,0 1 0,0-1 1,0 0-1,0 0 0,1 0 0,-1 0 1,0 1-1,0 1 0,-13 18 55,6-11-85,0 1-1,-1 0-1,1 1 1,1 0 0,0 0 0,1 1 0,0 0 0,-4 17 0,-14 68 52,-18 161 0,16 105 46,24-337-98,-1 53 96,8 111 1,-3-168-99,1 0 1,1 0-1,1-1 0,1 1 0,1-1 1,1 0-1,1-1 0,1 0 0,19 32 1,1-18 45,-29-34-122,0 0-1,0 0 1,1 0-1,-1 0 1,0 0 0,1 0-1,-1-1 1,0 1 0,1 0-1,-1-1 1,1 1 0,-1-1-1,1 1 1,-1-1 0,1 0-1,0 0 1,-1 0 0,1 0-1,-1 0 1,1 0 0,-1 0-1,1 0 1,-1-1 0,1 1-1,1-1 1,6-5-678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5:07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1 163 216,'3'76'1179,"-3"-45"-992,7 45-1,-6-67-180,1 0-1,0 0 1,0-1 0,1 1-1,1-1 1,-1 1-1,1-1 1,1 0 0,7 11-1,-9-16-3,0 0-1,-1 0 1,1 0-1,0 0 0,0 0 1,1-1-1,-1 1 0,0-1 1,1 0-1,0 0 0,-1-1 1,1 1-1,0-1 1,0 1-1,0-1 0,0 0 1,0-1-1,0 1 0,0-1 1,0 0-1,0 0 1,0 0-1,1 0 0,-1-1 1,0 1-1,0-1 0,0 0 1,0 0-1,-1-1 1,1 1-1,0-1 0,6-4 1,1 0 5,0-1 0,0-1 1,-1 0-1,0 0 0,-1-1 1,0 0-1,0 0 0,-1-1 1,10-15-1,-7 6 6,-2 0 0,0 0 0,-1-1 0,-1-1 0,0 1 0,-2-1 1,-1 0-1,0 0 0,1-40 0,-6 53 1,1 0 1,-1 0 0,0 0-1,-1 0 1,0 0-1,0 0 1,-1 1-1,0-1 1,0 1 0,-1-1-1,0 1 1,0 0-1,-6-7 1,10 13-12,-1 1 1,1-1-1,-1 0 1,0 0-1,1 1 0,-1-1 1,0 1-1,0-1 1,1 1-1,-1-1 1,0 1-1,0-1 0,0 1 1,0 0-1,0-1 1,1 1-1,-1 0 1,0 0-1,0 0 1,0 0-1,0 0 0,0 0 1,0 0-1,0 0 1,-1 0-1,0 1 3,1 0-1,-1-1 1,1 1 0,-1 0-1,1 0 1,-1 0 0,1 0-1,-1 1 1,1-1 0,0 0-1,0 1 1,-2 1-1,-2 5 12,0 0-1,1 0 0,0 1 1,-3 9-1,-14 49-6,3 1 0,2 1 0,4 1 0,3 0-1,3 0 1,5 118 0,1-180-43,0-4-4,-1-1-1,1 1 1,1 0-1,-1 0 0,0-1 1,1 1-1,0 0 1,0-1-1,0 1 1,0-1-1,1 1 1,-1-1-1,4 6 0,-2-9-586,1-2 32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5:20.2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4150 912 328,'19'-45'440,"-18"43"-399,-1 0 0,1-1 0,-1 1 0,1 0 0,-1 0 0,0 0 0,0-1 0,0 1 0,0 0 0,0 0 0,-1-1 0,1 1 0,-1 0 0,1 0 0,-1 0-1,0 0 1,0 0 0,0 0 0,0 0 0,0 0 0,0 0 0,-1 0 0,1 0 0,0 1 0,-1-1 0,0 0 0,1 1 0,-5-3 0,4 2-14,-1 0 0,0 0-1,0 0 1,-1 1 0,1-1 0,0 1-1,0 0 1,-1 0 0,1 0 0,-1 0 0,1 1-1,-1-1 1,1 1 0,-1 0 0,-3 0 0,-1 1-16,1 1 0,-1 0 0,0 1 0,1 0 0,0 0 0,-1 0 0,1 1 0,1 0 0,-1 1 0,0-1 0,1 1 0,0 0 0,0 1 0,1-1 0,0 1 0,-1 1 0,2-1 0,-1 0 0,1 1 0,0 0 0,1 0 1,-4 8-1,3-1 6,-1 1 1,2-1-1,0 1 1,1 0-1,0-1 1,2 1-1,-1 0 1,2 0-1,0 0 1,0 0-1,5 15 1,-2-12-20,0 0 1,2 0 0,0 0 0,1-1 0,0 0 0,11 17 0,-14-29 0,-1 0 1,1 0-1,0 0 0,0-1 1,1 1-1,-1-1 1,1 0-1,0-1 1,9 6-1,-11-7 1,1 0 0,0-1 0,0 1-1,0-1 1,0 0 0,0-1 0,0 1 0,0-1 0,0 1 0,0-1-1,0 0 1,1-1 0,-1 1 0,0-1 0,7-2 0,-3 1 1,0 0 0,-1-1 0,1 0 0,-1-1 0,0 1 0,0-1 0,0-1 0,-1 0 0,1 1 0,-1-2 0,0 1 1,-1-1-1,1 0 0,-1 0 0,0 0 0,-1-1 0,1 0 0,-1 0 0,-1 0 0,1 0 0,-1-1 0,-1 1 0,1-1 0,-1 0 0,0 0 1,-1 0-1,0 1 0,0-1 0,-1-1 0,-1-9 0,-1 0 8,0 1 0,-1-1 0,-2 1 0,-11-34 0,-37-62 24,35 77-39,1 0 1,-15-47-1,30 73 4,0 0-1,0-1 1,1 1 0,0 0-1,1-1 1,0 0-1,1 1 1,3-20 0,-3 25 0,0 0 0,0 1 1,0-1-1,1 1 1,0 0-1,-1 0 0,2-1 1,-1 1-1,0 0 1,1 0-1,-1 1 0,1-1 1,0 1-1,1-1 0,-1 1 1,0 0-1,1 0 1,0 0-1,0 1 0,0-1 1,0 1-1,5-2 1,143-38-11,-138 38 11,1 1-1,-1 1 1,26 0 0,-30 2 1,1-1-1,-1 1 1,0-2-1,1 1 0,-1-2 1,0 1-1,0-1 1,19-9-1,-19 7-9,1 0-1,1 1 1,-1 0 0,1 1-1,0 0 1,-1 1-1,21-1 1,-21 1-47,28-10-1006,-26 13 419</inkml:trace>
  <inkml:trace contextRef="#ctx0" brushRef="#br0" timeOffset="1433.49">4960 284 400,'2'0'86,"0"0"0,0 0 0,-1 1 0,1-1 0,0 0 0,-1 1 0,1-1 0,0 1 0,-1-1 0,1 1 0,-1 0 0,1 0 0,-1 0-1,1 0 1,-1 0 0,1 0 0,-1 0 0,0 0 0,0 0 0,0 1 0,2 0 0,5 24 7,0 0 1,-1 1-1,4 42 0,3 93 173,-8-88-154,22 404-14,-28-340 7,-25 203-1,3-190 449,-7 0 1,-50 148-1,69-275-1704,3-13 372,6-11 748,1 0-1,0 0 0,0 0 1,0 0-1,0 1 1,0-1-1,-1 0 0,1 0 1,0 0-1,0 0 1,0 0-1,0 0 1,-1 0-1,1 0 0,0 0 1,0 1-1,0-1 1,-1 0-1,1 0 1,0 0-1,0 0 0,0 0 1,-1 0-1,1 0 1,0 0-1,0 0 0,0-1 1,-1 1-1,1 0 1,0 0-1,0 0 1,0 0-1,0 0 0,-1 0 1,1 0-1,0 0 1,0 0-1,0-1 1,0 1-1,-1 0 0,-2-7-768</inkml:trace>
  <inkml:trace contextRef="#ctx0" brushRef="#br0" timeOffset="6875.21">95 396 320,'-48'93'1455,"38"-65"-1404,2 0-1,1 1 1,1-1-1,-3 41 1,2 124-27,7-178-20,52 764 203,-47-736-191,2 24-13,3 1 1,3-2-1,23 70 0,-34-129-87,1 1 0,0-1 0,0 0 0,1 0 0,0-1 0,0 1 0,0-1 0,1 0 0,0 0 0,9 8 0,4-1-468</inkml:trace>
  <inkml:trace contextRef="#ctx0" brushRef="#br0" timeOffset="7940.1">5169 181 0,'4'2'68,"-1"1"0,0 1 0,0-1 0,0 0 0,0 1 0,-1-1 0,0 1 0,1 0 0,-1 0 0,-1 0 0,1 0 0,0 0 0,1 7 0,12 59 412,-14-63-464,9 69 218,1 87-1,-8-77-166,3 99-33,-8 0 0,-9 0 0,-48 265 0,24-215-28,-20 113-86,36-284-618,15-49 224</inkml:trace>
  <inkml:trace contextRef="#ctx0" brushRef="#br0" timeOffset="8489.7">5515 1 8,'11'8'592,"3"-7"-80,0 13 8,0 7-288,2-2-16,-3 1 49,-6 28-9,-5 5-72,-3 12 72,-3 12-80,-4 9-56,-2-20-72,-3 1-216,1-19-168,1-2 0,-1-14-593,7-13 289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6:31.4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29 510 0,'-4'2'434,"2"-1"-340,1-1-1,-1 1 1,1-1-1,-1 1 1,1 0 0,-1 0-1,1 0 1,-1 0-1,1 0 1,0 0-1,0 0 1,-1 0-1,1 0 1,0 1-1,0-1 1,-1 3-1,2-4-74,1 0 0,-1 0-1,0 0 1,1-1-1,-1 1 1,1 0 0,-1 0-1,0 0 1,1 0-1,-1 0 1,1-1 0,-1 1-1,0 0 1,1 0-1,-1-1 1,0 1-1,1 0 1,-1-1 0,0 1-1,0 0 1,1-1-1,-1 1 1,0 0 0,0-1-1,0 1 1,1-1-1,-1 1 1,0 0 0,0-1-1,0 1 1,0-1-1,0 0 1,12-21 182,22-32-1,-21 34-30,0 0-1,17-40 0,-6 5 257,12-28 547,51-84 1,-63 135-288,-24 32-649,0-1 0,1 1 0,-1-1 0,0 1 0,1-1 0,-1 1 1,1-1-1,-1 1 0,1-1 0,-1 1 0,1 0 0,-1-1 0,1 1 0,-1 0 1,1-1-1,-1 1 0,1 0 0,0 0 0,-1 0 0,1-1 0,-1 1 1,1 0-1,0 0 0,-1 0 0,1 0 0,0 0 0,-1 0 0,1 0 0,-1 0 1,1 1-1,0-1 0,-1 0 0,1 0 0,-1 0 0,1 1 0,0-1 0,-1 0 1,1 1-1,-1-1 0,1 0 0,-1 1 0,1-1 0,-1 1 0,0-1 1,1 1-1,-1-1 0,1 1 0,-1-1 0,0 1 0,1-1 0,-1 1 0,0-1 1,0 1-1,0 0 0,1-1 0,-1 1 0,0 0 0,4 15 371,0 1-1,-1-1 1,0 1-1,-2-1 0,0 23 1,-8 89 525,4-96-742,-17 134 382,10-108-407,4 1-1,0 80 1,6-135-184,0 0 1,0 0-1,1 0 1,0 0 0,0 0-1,0-1 1,2 6-1,-3-8-9,0-1 1,0 0-1,0 0 0,0 0 0,0 1 0,0-1 0,1 0 0,-1 0 1,0 0-1,0 0 0,0 0 0,0 1 0,0-1 0,1 0 1,-1 0-1,0 0 0,0 0 0,0 0 0,0 0 0,1 0 0,-1 1 1,0-1-1,0 0 0,0 0 0,1 0 0,-1 0 0,0 0 0,0 0 1,0 0-1,1 0 0,-1 0 0,0 0 0,0 0 0,0 0 0,1 0 1,-1 0-1,0-1 0,0 1 0,0 0 0,1 0 0,-1 0 0,10-17-2584,-1-20-2900,-4 0 3549,-3-7 884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6:43.7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189 786 104,'8'-18'1639,"-9"13"-779,-6 13 28,-37 50 1962,34-46-2258,1 0 0,0 0 0,1 1 0,-13 24 0,4-1-92,2 0 0,1 2 1,-16 67-1,26-87-468,1 1-1,0 0 0,2 0 1,0 0-1,1 0 1,1 0-1,1 0 1,0 0-1,2-1 0,5 19 1,-7-30-32,0-1 0,0 0 0,1 1 0,0-1 0,0-1 0,1 1 0,-1 0 0,1-1 1,0 0-1,1 0 0,-1 0 0,1 0 0,0-1 0,0 0 0,1 0 0,-1 0 0,1 0 0,0-1 0,0 0 0,0 0 0,0-1 1,0 0-1,1 0 0,-1 0 0,1-1 0,-1 0 0,1 0 0,-1-1 0,1 1 0,0-1 0,-1-1 0,1 0 0,0 0 0,11-3 0,1-2-200,0 0-1,0-2 0,-1 0 0,0-1 0,0-1 0,-1 0 0,-1-2 0,27-22 0,-14 7-1811,-2-1-1,0-1 1,33-47-1,-37 43 1173</inkml:trace>
  <inkml:trace contextRef="#ctx0" brushRef="#br0" timeOffset="456.5">727 862 488,'-1'-1'2222,"1"1"-2098,-1 0-64,0 1 0,0-1 0,0 1 1,0-1-1,0 1 0,0 0 1,0-1-1,0 1 0,0 0 1,0 0-1,1 0 0,-1 0 1,0 0-1,0 1 0,-28 40 748,21-30-595,-1 1 0,2 0 0,0 0 0,0 0 0,1 1 0,1-1-1,-6 23 1,2 1-54,1 0 0,-6 75 0,13-101-162,0 0 0,1-1 1,1 1-1,0 0 0,0-1 0,1 1 1,0-1-1,1 0 0,0 1 0,1-1 0,0 0 1,1-1-1,0 1 0,0-1 0,11 14 0,-13-19-6,0-1 0,0 0 0,1 0 0,-1 0 0,1 0 0,-1-1 0,1 1 0,0-1-1,0 0 1,0 0 0,0-1 0,0 1 0,0-1 0,0 0 0,1 0 0,-1 0-1,0 0 1,1-1 0,-1 0 0,0 0 0,1 0 0,-1 0 0,1-1 0,-1 0 0,0 0-1,1 0 1,-1 0 0,0-1 0,0 1 0,7-5 0,-2 0 10,1 0 1,-1-1-1,0 0 1,0 0-1,-1-1 0,0 0 1,-1-1-1,0 0 1,0 0-1,-1 0 1,6-11-1,1-5 111,-2 0 0,0-1 0,-2 0 0,-1 0 0,-1-1 0,-1 0 0,-1-1 0,-1 1 0,-1-40 0,-3 61-31,0 1-1,-1 0 0,0 0 0,0 0 1,0-1-1,0 1 0,-1 1 0,0-1 1,0 0-1,0 0 0,-1 1 0,0-1 1,1 1-1,-1-1 0,-1 1 0,1 0 1,-6-5-1,6 7-61,0 1 0,0-1-1,0 0 1,0 1 0,-1-1 0,1 1 0,0 0 0,-1 0 0,1 0-1,0 1 1,-1-1 0,1 1 0,-1 0 0,1 0 0,-1 0 0,1 0-1,-1 1 1,1-1 0,-1 1 0,1 0 0,0 0 0,-1 0 0,1 1-1,0-1 1,0 1 0,-4 2 0,-2 2-442,0 0 1,0 1-1,1 0 0,0 0 0,1 1 1,-1 0-1,1 0 0,1 1 1,-10 17-1,0 3-1217,-22 57 0,10-11 737</inkml:trace>
  <inkml:trace contextRef="#ctx0" brushRef="#br0" timeOffset="816.44">1006 1159 648,'2'-3'93,"-1"1"0,1 0-1,0 0 1,-1 0 0,1 0 0,0 0 0,0 1-1,1-1 1,-1 1 0,0-1 0,5-1 0,6-6 23,42-32 225,69-39 1,-96 66-207,-1 0 0,1 1 0,1 2-1,59-14 1,-86 24 20,0 0 0,0 1 0,1-1 0,-1 1-1,0 0 1,0 0 0,1-1 0,-1 1 0,0 1-1,0-1 1,1 0 0,-1 1 0,0-1 0,0 1 0,0-1-1,4 3 1,-4-2 49,-1 1 0,0 0 1,0-1-1,0 1 0,-1 0 0,1-1 0,0 1 0,-1 0 0,1 0 1,-1 0-1,1 0 0,-1 0 0,0-1 0,0 1 0,0 0 0,0 0 1,0 0-1,0 0 0,0 0 0,-1 0 0,0 2 0,-7 30 260,-1-1-1,-1-1 1,-23 47 0,12-28-341,-1 1-30,-48 85 0,54-112-1276,-31 38 1,35-50-886,0 0-1,-1-1 1,-25 20 0,24-26 1160</inkml:trace>
  <inkml:trace contextRef="#ctx0" brushRef="#br0" timeOffset="3166.66">2088 124 0,'0'-1'45,"-1"1"-1,1 0 1,0-1-1,-1 1 1,1 0 0,0-1-1,-1 1 1,1 0 0,-1-1-1,1 1 1,-1 0-1,1 0 1,-1 0 0,1-1-1,0 1 1,-1 0 0,1 0-1,-1 0 1,1 0-1,-1 0 1,1 0 0,-1 0-1,1 0 1,-1 0-1,1 0 1,-1 0 0,1 0-1,-1 0 1,1 1 0,-1-1-1,1 0 1,-1 0-1,1 0 1,0 1 0,-1-1-1,1 0 1,-1 1 0,1-1-1,-1 1 1,-18 25 308,19-26-353,-51 85 433,4 2 0,-61 160-1,83-177-362,4 1 0,2 1 0,4 1 0,-9 102 0,21-111-45,4 1 1,8 65-1,28 127 23,-14-111-28,-20-124-10,-2-8-29,1 0 1,0 0-1,1 0 1,1 0-1,11 26 1,-16-40 0,2 0 0,-1 0 0,0 1 0,0-1 1,0 0-1,0 0 0,0 1 0,0-1 0,0 0 0,0 1 0,0-1 1,0 0-1,0 0 0,1 0 0,-1 1 0,0-1 0,0 0 1,0 0-1,0 1 0,1-1 0,-1 0 0,0 0 0,0 0 0,1 0 1,-1 1-1,0-1 0,0 0 0,1 0 0,-1 0 0,0 0 0,0 0 1,1 0-1,-1 0 0,0 0 0,0 0 0,1 0 0,-1 0 1,0 0-1,1 0 0,-1 0 0,0 0 0,0 0 0,1 0 0,-1 0 1,0 0-1,0 0 0,1 0 0,-1 0 0,0-1 0,0 1 1,1 0-1,-1 0 0,0-1 0,6-14-1023,-5-6 289</inkml:trace>
  <inkml:trace contextRef="#ctx0" brushRef="#br0" timeOffset="3807.6">2154 1091 0,'-3'-2'178,"-14"-12"1010,16 6-501,13 4-235,89-7 417,191 6 1,107 43 5790,-299-25-5204,165 0 0,-203-15-999,-1-3 0,0-2 0,117-31 1,-28-11-159,32-10-149,-154 52-145,1 2 1,0 0 0,0 2-1,46 1 1,2 9 10,-55-4-194,1-1 1,-1 0-1,1-2 1,-1 0-1,36-6 1,-57 5 49,27-9-2689,-27 9 2203,0 0 1,0 0-1,0 0 1,1 0-1,-1 0 1,-1 0-1,1 0 0,0 0 1,0 0-1,0-1 1,-1 1-1,1 0 1,0-2-1,4-17-1652</inkml:trace>
  <inkml:trace contextRef="#ctx0" brushRef="#br0" timeOffset="6084.65">2388 416 16,'12'26'613,"-2"1"-1,7 28 1,10 26-477,-15-50-99,2 0 1,19 31 0,-28-54-32,0 1 0,1-1 0,0 0 0,1-1 0,-1 0 1,1 0-1,1 0 0,-1-1 0,1 0 0,0 0 0,18 8 0,-23-12 0,1-1-1,-1 0 0,1-1 0,0 1 0,-1-1 0,1 1 1,0-1-1,0 0 0,-1-1 0,1 1 0,0 0 0,-1-1 1,1 0-1,0 0 0,-1 0 0,1-1 0,-1 1 0,0-1 0,1 1 1,-1-1-1,0 0 0,0-1 0,0 1 0,0 0 0,0-1 1,-1 0-1,5-5 0,6-8 33,-1 0 1,0-1 0,16-32-1,-21 35-10,15-25 90,-2 0-1,-2-1 1,-1-1-1,-2-1 1,-2 0-1,13-78 1,-25 107-83,-1-1 0,0 0-1,-1 0 1,0 0 0,-6-23 0,6 31-16,-1 1 1,1-1-1,-1 1 0,0-1 1,-1 1-1,1 0 0,-1-1 1,0 2-1,0-1 0,-1 0 1,1 0-1,-1 1 0,0 0 1,0 0-1,-1 0 0,-5-4 0,9 7 19,0 1-1,-1-1 1,1 0-1,0 1 1,-1-1-1,1 1 1,-1-1-1,1 1 1,-1 0-1,1 0 1,-1 0-1,1-1 1,0 1-1,-1 1 0,1-1 1,-1 0-1,1 0 1,-1 0-1,1 1 1,-1-1-1,-2 2 1,2-1 11,0 1 1,0 0 0,0-1-1,0 1 1,0 0 0,0 0 0,0 0-1,1 0 1,-1 0 0,1 1-1,-2 2 1,-3 7-5,1 1 1,1-1-1,-5 25 1,8-32-112,-24 120 86,6 1 1,5 0 0,5 212 0,10-331 61,2 44-576,-3-47 299,1-1 1,0 1-1,0-1 1,0 0-1,0 1 1,0-1-1,1 0 1,-1 0-1,1 0 1,0 0-1,4 6 1,-6-9 170,0 0 0,0 0 0,0 0 0,0 0 0,1 0 0,-1 0 0,0 1 1,0-1-1,0 0 0,0 0 0,0 0 0,0 0 0,0 0 0,0 0 0,0 0 0,0 0 1,1 0-1,-1 0 0,0 1 0,0-1 0,0 0 0,0 0 0,0 0 0,0 0 1,0 0-1,1 0 0,-1 0 0,0 0 0,0 0 0,0 0 0,0 0 0,0 0 0,0 0 1,1 0-1,-1 0 0,0 0 0,0 0 0,0 0 0,0 0 0,0 0 0,0 0 1,0-1-1,1 1 0,-1 0 0,0 0 0,0 0 0,0 0 0,0 0 0,0 0 1,0 0-1,0 0 0,0 0 0,1-1 0,-1 0-631</inkml:trace>
  <inkml:trace contextRef="#ctx0" brushRef="#br0" timeOffset="6712.21">3080 557 232,'4'-1'245,"0"1"1,0 0-1,1-1 0,-1 2 0,0-1 0,0 0 1,0 1-1,6 2 0,19 1-101,73 3 227,-44-4-173,51-2 230,-97-2-699,1-1 1,-1 0-1,1 0 0,-1-1 0,0-1 0,18-8 0,-20 9-453</inkml:trace>
  <inkml:trace contextRef="#ctx0" brushRef="#br0" timeOffset="7118.2">3356 323 496,'-6'15'544,"-1"9"104,1 3-336,-1 12-8,2 1-79,-2 13-17,1-3-16,1 6 56,1-7-128,-1 5-16,3-11-64,-1-6-112,3-12-168,1-10-224,5-15-505,6-15 305</inkml:trace>
  <inkml:trace contextRef="#ctx0" brushRef="#br0" timeOffset="7916.54">3978 522 304,'1'-12'298,"1"0"0,-2 0 0,0 0 0,0 0 0,-4-23 0,3 32-276,0 1 0,0-1 0,0 1-1,0 0 1,0-1 0,0 1-1,-1 0 1,1-1 0,-1 1-1,0 0 1,1 0 0,-1 0-1,0 1 1,0-1 0,0 0-1,0 1 1,-1-1 0,1 1-1,0 0 1,-1 0 0,-4-2 0,4 2 10,0 0 0,-1 0 0,1 0 0,0 1 0,-1-1 0,1 1 0,-1 0 0,1 0 0,0 0 0,-1 0 0,1 1 0,-1-1 0,1 1 0,-6 2 0,3 0 10,0 1 1,0 0-1,1 0 1,0 0-1,0 1 0,0 0 1,0 0-1,0 0 1,1 1-1,0-1 0,1 1 1,-6 9-1,0 3 43,1 1 1,-11 38-1,16-43-88,1 0 0,0 0 0,1 0 0,1 0 0,0 0 0,1 0 0,2 18 0,2-7 23,0 0-1,2 0 1,10 26 0,-14-45-27,-1 0 1,1-1 0,0 0 0,0 1 0,1-1 0,-1 0 0,1-1 0,0 1 0,0-1 0,1 0 0,0 0 0,-1 0 0,8 4 0,-9-6 6,0-1 0,0 0 0,0 0-1,0 0 1,0 0 0,0 0 0,0-1 0,0 1-1,0-1 1,0 0 0,0 0 0,1 0-1,-1 0 1,0 0 0,0-1 0,0 1-1,0-1 1,0 0 0,0 0 0,0 0 0,0-1-1,0 1 1,0-1 0,-1 1 0,1-1-1,-1 0 1,1 0 0,2-3 0,0-1 17,1 0-1,-1-1 1,0 0 0,0-1 0,-1 1-1,0-1 1,-1 1 0,1-1-1,-1-1 1,-1 1 0,0 0 0,0 0-1,0-1 1,-1 1 0,0-15 0,-1-6 5,0 1 0,-2 0 1,-8-42-1,-17-38 23,16 71-26,-10-67 0,21 103-21,0-1 0,0 1-1,0-1 1,0 1 0,0-1 0,0 1 0,0-1 0,1 0 0,-1 1-1,1-1 1,-1 1 0,1 0 0,-1-1 0,1 1 0,0-1 0,0 1-1,-1 0 1,1 0 0,0-1 0,0 1 0,0 0 0,1 0 0,-1 0-1,0 0 1,0 0 0,0 0 0,1 0 0,1 0 0,4-2 26,1 0 1,-1 1 0,1 0-1,13-2 1,14-4 522,32-16 2238,-41 13-2004,1 1 0,0 1-1,0 2 1,46-7 0,25 12-123,-7-1-1319,-32-5-3395,-34-1-457,-6-5 2799</inkml:trace>
  <inkml:trace contextRef="#ctx0" brushRef="#br0" timeOffset="9200.04">3008 1485 568,'6'-11'195,"0"0"1,1 1-1,0 0 0,1 0 1,0 1-1,14-13 0,-19 19-186,1-1 0,-1 1 0,1 0 0,0 1 0,0-1 0,1 0-1,-1 1 1,0 0 0,1 0 0,-1 1 0,1-1 0,0 1-1,0 0 1,-1 0 0,1 0 0,0 1 0,0 0 0,0 0 0,5 1-1,-8-1 10,0 1 0,1-1-1,-1 1 1,0 0 0,1 0-1,-1 0 1,0 0 0,0 0-1,0 0 1,0 1 0,0-1-1,0 1 1,0-1 0,0 1 0,-1 0-1,1 0 1,-1 0 0,3 4-1,-2-3 23,-1 1 0,1 0 1,-1-1-1,0 1 0,-1 0 0,1 0 0,-1 0 0,1 0 0,-1 0 1,-1 7-1,0 0 38,-1 0-1,-1 0 1,0 0 0,0-1 0,-1 0 0,0 1 0,-10 15 0,-3-1-37,-2 0-1,-22 22 1,21-25-29,2 1-1,-26 39 1,43-62-3,1 1-1,-1 0 1,1-1-1,-1 1 1,1 0-1,-1 0 1,1 0-1,0-1 1,-1 1-1,1 0 1,0 0-1,-1 0 1,1 0-1,0 0 1,0 0 0,0 0-1,0-1 1,0 1-1,0 0 1,0 0-1,0 0 1,0 0-1,1 0 1,-1 0-1,0 0 1,1 0-1,-1-1 1,0 1-1,1 0 1,-1 0-1,1 0 1,-1-1-1,1 1 1,-1 0-1,1-1 1,0 1 0,-1 0-1,1-1 1,0 1-1,0-1 1,1 2-1,1-1 58,0-1 0,-1 1 0,1 0 1,0-1-1,0 1 0,0-1 0,0 0 0,0 0 0,-1 0 0,1 0 0,0-1 1,5 0-1,18-9 556,0 0 1,-1-2 0,0-1-1,0-1 1,27-21-1,31-16-1342,-35 26-2253,100-36 1,-81 38 2118</inkml:trace>
  <inkml:trace contextRef="#ctx0" brushRef="#br0" timeOffset="9872.65">4947 57 400,'2'-12'493,"-2"9"-394,0 0 0,1-1 0,-1 1 0,1 0 0,0 0 0,0 0 0,0 0 0,0 0 0,0 0 0,1 0 0,-1 0 0,4-4 0,-1 23 1274,35 201 4935,-28-60-4851,-30 302-874,-26 0-365,40-419-174,5-33-44,-25 183 97,18-155-101,-1-1 1,-1 0-1,-20 47 0,6-40-808,7-25-1735,16-16 2360,0 0 0,-1 0 0,1 1 0,0-1 0,-1 0 0,1 0 0,-1 0 0,1 1 0,0-1 0,-1 0 0,1 0 0,-1 0-1,1 0 1,0 0 0,-1 0 0,1 0 0,-1 0 0,1 0 0,-1 0 0,1 0 0,0 0 0,-1 0 0,1 0 0,-1-1 0,1 1 0,0 0 0,-1 0 0,1 0 0,-1-1 0,1 1 0,0 0 0,-1-1 0,-8-11-1311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5:50.6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5065 797 400,'-7'-1'723,"-3"2"160,7 18-713,6 13-150,1-1-1,2 0 0,16 53 0,43 88-13,-58-157-4,0 0 0,1-1 0,0 1 0,1-2 0,1 1 0,1-1-1,18 19 1,-26-29-1,0-1 0,1 1-1,-1 0 1,1-1-1,0 0 1,-1 1 0,1-2-1,0 1 1,0 0 0,1-1-1,-1 0 1,0 0 0,0 0-1,1 0 1,-1-1-1,0 1 1,1-1 0,-1 0-1,0-1 1,1 1 0,-1-1-1,0 0 1,0 0-1,1 0 1,-1 0 0,0-1-1,0 0 1,0 0 0,-1 0-1,1 0 1,0 0 0,6-6-1,2-3 8,-1 0-1,0 0 1,-1-1 0,0-1-1,-1 0 1,0 0-1,-1 0 1,0-1 0,-1-1-1,-1 1 1,-1-1-1,0 0 1,4-19 0,-2-1 39,-1 1 0,-1-1 0,-3 0 0,-2-65 0,0 90 7,0 0 0,-1 0 1,-1 0-1,1 0 1,-1 0-1,-1 1 1,0-1-1,0 1 1,-1-1-1,0 1 1,-10-15-1,14 23 4,-1 0 1,0 1-1,1-1 0,-1 0 1,0 0-1,0 1 0,0-1 1,0 0-1,1 1 0,-1-1 1,0 0-1,0 1 0,0 0 0,0-1 1,0 1-1,0-1 0,-1 1 1,1 0-1,0 0 0,0 0 1,0 0-1,0 0 0,0 0 1,0 0-1,0 0 0,0 0 1,0 0-1,-1 0 0,1 1 1,0-1-1,0 0 0,0 1 1,0-1-1,0 1 0,0 0 1,1-1-1,-1 1 0,0-1 0,0 1 1,0 0-1,0 0 0,1 0 1,-1-1-1,0 1 0,0 2 1,-3 1 138,1 0 1,0 1 0,-1 0 0,2 0 0,-1 0-1,1 0 1,-3 8 0,-7 38 102,-7 75 1,8-44-231,3-30-85,-28 204 369,30-190-758,5 125-1,6-169-3473,-7-26 920</inkml:trace>
  <inkml:trace contextRef="#ctx0" brushRef="#br0" timeOffset="1273.78">5779 3 208,'13'-1'227,"0"0"-1,0 1 1,1 0-1,-1 1 1,0 1 0,0 0-1,0 1 1,18 6-1,22 3 62,211 13 552,22 3-1552,-279-25-133,-3 0 123</inkml:trace>
  <inkml:trace contextRef="#ctx0" brushRef="#br0" timeOffset="1680.36">5880 306 464,'-8'-5'564,"6"4"63,6 1-117,20 5-437,37 0 143,1-2-1,0-2 1,117-16 0,-143 11-453,0 0 1,1 3 0,-1 1 0,1 2-1,65 11 1,-65-2-463</inkml:trace>
  <inkml:trace contextRef="#ctx0" brushRef="#br0" timeOffset="12279.46">6837 313 312,'0'-2'88,"1"1"1,-1 0-1,0-1 0,0 1 0,1 0 0,-1-1 1,1 1-1,-1 0 0,1-1 0,0 1 1,-1 0-1,1 0 0,0-1 0,0 1 1,0 0-1,0 0 0,0 0 0,0 0 1,0 0-1,0 0 0,0 1 0,0-1 1,0 0-1,3-1 0,1 2-56,0 0 1,0 1-1,-1-1 1,1 1-1,0 0 0,-1 0 1,8 3-1,-8-3-24,15 3 58,1 0 0,1-2 0,-1 0 1,0-1-1,1-1 0,-1-1 0,0 0 0,21-6 1,65-15 239,0 4-1,112-3 1,-16 5 29,-31 2 232,-158 14-341,0 0 602,-13-1-2269,0 1 1379,0-1-1,0 1 0,0 0 1,0 0-1,0 0 1,0 0-1,0 0 0,0 0 1,-1-4-2533,-3 0 1884</inkml:trace>
  <inkml:trace contextRef="#ctx0" brushRef="#br0" timeOffset="15378.39">7127 710 344,'-4'1'161,"1"-1"-1,0 1 1,-1-1-1,1 0 1,0 1-1,-1-2 1,1 1 0,0 0-1,0-1 1,-1 1-1,1-1 1,-6-2-1,8 2-87,0 0-1,0 1 0,0-1 0,0 0 0,0 0 0,0 0 1,0 0-1,0-1 0,0 1 0,0 0 0,1 0 1,-1 0-1,0-1 0,1 1 0,-1 0 0,1-1 0,0 1 1,-1 0-1,1-1 0,0 1 0,0-1 0,0 1 0,0-1 1,0 1-1,0 0 0,0-1 0,0 1 0,1-1 0,-1 1 1,1 0-1,0-3 0,3-7 351,0 0-1,1 0 1,0 0 0,1 1 0,0-1-1,1 1 1,0 1 0,14-16-1,-10 13-362,1 1 0,1 0-1,0 0 1,1 1 0,23-12-1,-35 20-24,0 1-1,1 0 1,-1-1-1,0 1 0,1 0 1,-1 0-1,1 1 1,0-1-1,-1 0 1,1 1-1,-1 0 1,1 0-1,0 0 0,-1 0 1,1 0-1,0 0 1,-1 0-1,1 1 1,0 0-1,-1-1 1,1 1-1,-1 0 0,1 0 1,-1 0-1,0 1 1,1-1-1,2 3 1,-2-1 86,0 0 0,-1 1 0,1-1 0,-1 1-1,0 0 1,0 0 0,0 0 0,0 0 0,-1 0 0,1 0 0,-1 0 0,0 0 0,-1 1 0,1-1 0,-1 0 0,1 7 0,-2 3 44,0 1 0,-1 0 0,0 0 0,-1-1 0,-1 1 0,0-1 0,-1 0 0,-11 23 0,-9 10-65,-36 50-1,-14 29-29,63-106-59,9-15-14,1-1 0,-1 1 1,1-1-1,0 1 0,0 0 0,0 0 1,-1 7-1,54-50-152,-3 2 142,-45 34 10,1 1 0,0-1 0,0 1 0,1-1 0,-1 1 0,0 1 0,0-1 1,0 0-1,1 1 0,-1 0 0,0 0 0,1 0 0,-1 1 0,0 0 0,0-1 0,0 1 0,6 3 0,13 0 19,-8-3-57,-1 0 0,1-1 0,-1-1 1,1-1-1,-1 0 0,0-1 1,1 0-1,-2-1 0,25-11 0,-19 7-1011,-1-1-1,22-15 1,-24 13-1614,-1-1 0,19-18 0,-18 12 1727</inkml:trace>
  <inkml:trace contextRef="#ctx0" brushRef="#br0" timeOffset="16694.59">8478 335 288,'-24'-35'502,"5"21"901,21 13-1029,9 1-403,-8 0 53,0 0-1,-1-1 1,1 1 0,0-1-1,0 0 1,0 0 0,0 0-1,-1 0 1,6-3 0,-8 4 94,1-1 0,0 1 0,0-1-1,-1 1 1,1-1 0,0 1 0,-1-1 0,1 1 0,-1-1 0,1 0 0,-1 1 0,1-1 0,-1 0-1,1 1 1,-1-1 0,0 0 0,1 0 0,-1 0 0,0 1 0,0-1 0,1 0 0,-1 0 0,0 0-1,0 0 1,0 1 0,0-1 0,0 0 0,0 0 0,0 0 0,0 0 0,-1 1 0,1-1 0,0 0 0,0 0-1,-1 0 1,1 1 0,-1-1 0,1 0 0,-1-1 0,3 30 713,23 85-701,-21-116 345,2-12-62,2-18 309,-7 27-536,1-1-51,0 1-1,-1-1 1,0 1 0,0-1-1,-1 0 1,0 1-1,0-1 1,0 0-1,-1 1 1,0-1-1,-1 1 1,-2-9-1,4 15-135,0 1 0,0-1 0,0 0 0,0 1 0,0-1 0,0 0 0,0 1 0,0-1 0,0 0 0,0 1 0,-1-1 0,1 0 0,0 0 0,0 1 0,0-1 0,0 0 0,-1 1 0,1-1 0,0 0 0,0 0 0,-1 0 0,1 1 0,0-1 0,-1 0 0,1 0 0,0 0 0,0 1 0,-1-1 0,1 0 0,0 0 0,-1 0 0,1 0 0,0 0 0,-1 0 0,1 0 0,0 0 0,-1 0 0,1 0 0,0 0 0,-1 0 0,1 0 0,0 0 0,-1 0 0,1 0 0,0 0 0,-1-1 0,1 1 0,0 0 0,-1 0 0,1 0 0,0 0 0,0-1 0,-1 1 0,1 0 0,0 0 0,0-1 0,-1 1 0,1 0 0,0 0 0,0-1 0,0 1 0,0 0 0,-1 0 0,1-1 0,0 1 0,0-1 0,-5 35-5074,6 15 946,0-19 2563</inkml:trace>
  <inkml:trace contextRef="#ctx0" brushRef="#br0" timeOffset="79900.81">164 2006 408,'7'-7'515,"-10"6"98,2 2-569,-1 0 0,1-1 0,0 1 0,0 0 0,0-1 0,0 1 1,1 0-1,-1 0 0,0 0 0,0 0 0,0 0 0,1 0 0,-1 0 1,1 0-1,-2 2 0,-9 30 37,-7 35-1,6-21-13,-22 87 105,5 1 1,-16 204-1,42-284-164,2 0 1,3 0-1,2 0 1,2-1-1,3 0 1,2 0-1,3-1 0,2 0 1,28 62-1,-40-104-10,0-1-1,1 0 1,1 0 0,0 0-1,0 0 1,1-1-1,0 0 1,0 0 0,1-1-1,11 9 1,-19-17-10,1 1 0,-1-1 0,0 1 1,1-1-1,-1 0 0,1 0 0,-1 1 0,1-1 1,-1 0-1,1 0 0,-1 1 0,1-1 0,-1 0 1,1 0-1,-1 0 0,1 0 0,-1 0 1,1 0-1,-1 0 0,1 0 0,0 0 0,-1 0 1,1 0-1,-1 0 0,1 0 0,-1 0 0,1-1 1,-1 1-1,1 0 0,-1 0 0,1-1 1,-1 1-1,0 0 0,1-1 0,-1 1 0,1 0 1,-1-1-1,0 1 0,1-1 0,-1 1 0,0 0 1,1-1-1,-1 1 0,0-1 0,0 1 1,1-1-1,-1 0 0,2-26-939,-6 3 279</inkml:trace>
  <inkml:trace contextRef="#ctx0" brushRef="#br0" timeOffset="80323.75">399 2919 392,'4'-5'1522,"9"-6"-1397,1 3-118,0-2 1,-1 1-1,0-2 1,0 1-1,-1-2 0,12-14 1,23-21 21,-37 37-5,42-35 91,-49 43-93,1-1-1,-1 1 1,0 0-1,1 0 0,-1 0 1,1 1-1,-1-1 1,1 1-1,0 0 0,0 0 1,0 0-1,0 1 1,-1-1-1,6 1 1,-8 0-13,0 0-1,0 1 1,0-1 0,0 1 0,0-1 0,0 1 0,0-1 0,0 1 0,0-1 0,-1 1 0,1 0 0,0 0 0,0-1 0,0 1 0,-1 0 0,1 0 0,0 0 0,-1 0 0,1 0 0,-1 0 0,1 0 0,-1 0 0,0 0 0,1 0 0,-1 0 0,0 0 0,0 0 0,0 0-1,0 1 1,1 37 280,-1-35-249,-5 36 564,-1 1 1,-2-1-1,-1-1 1,-19 49-1,-71 150 474,94-226-1547,-5 8-2485,9-22 1521,3-13 735,3-17-74</inkml:trace>
  <inkml:trace contextRef="#ctx0" brushRef="#br0" timeOffset="80731.05">741 2854 696,'2'3'63,"0"0"-1,0 0 0,0 0 1,1 0-1,-1 0 1,1-1-1,0 1 0,0-1 1,0 1-1,0-1 0,0 0 1,0-1-1,1 1 1,-1 0-1,0-1 0,1 0 1,3 1-1,-1-1-36,-1 0 0,1-1 0,-1 0 0,1 0 0,-1-1 0,1 1-1,-1-1 1,1 0 0,-1 0 0,9-4 0,-2 0-19,0-1 0,0 0 0,0-1-1,-1 0 1,1-1 0,-2 0 0,1-1 0,15-17 0,-12 9 51,-2 0 0,1-1 0,-2 0 0,-1-1 0,0-1 0,11-30 1,-34 114 313,-5 89 1,14-112-356,2 42 0,3-69-14,0 0 0,0-1 0,2 1 1,0-1-1,0 1 0,9 21 0,-11-32-7,0 0 0,1 0-1,-1 0 1,1 0 0,0-1-1,0 1 1,0 0 0,0-1 0,0 1-1,0-1 1,1 0 0,-1 0-1,1 0 1,-1 0 0,1-1 0,0 1-1,0 0 1,0-1 0,0 0 0,0 0-1,0 0 1,0 0 0,0 0-1,0-1 1,1 1 0,-1-1 0,0 0-1,0 0 1,7-1 0,-4 0-96,0-1 1,0 0 0,0 0-1,0 0 1,0-1 0,0 1-1,-1-2 1,1 1 0,-1 0-1,0-1 1,0 0 0,-1 0-1,9-10 1,21-33-716,1-13-57</inkml:trace>
  <inkml:trace contextRef="#ctx0" brushRef="#br0" timeOffset="81106.86">1265 2360 952,'-14'10'520,"-22"-2"240,18 3-551,9-2-89,3-1-56,9-3-104,7 2-192,5-2-545,8 0 113,-1-1-192</inkml:trace>
  <inkml:trace contextRef="#ctx0" brushRef="#br0" timeOffset="81561.07">1250 3066 592,'-4'12'287,"1"4"449,3-16-725,1 0-1,0 0 0,-1 0 0,1 1 0,-1-1 0,1 0 0,-1 0 0,1 0 1,-1 0-1,1 0 0,0 0 0,-1 0 0,1 0 0,-1 0 0,1 0 1,-1 0-1,1 0 0,-1 0 0,1 0 0,0-1 0,-1 1 0,1 0 1,-1 0-1,1-1 0,-1 1 0,0 0 0,1-1 0,-1 1 0,1 0 1,0-1-1,10-6 28,0 1 0,0-1 0,-1-1 1,0 0-1,0-1 0,0 0 0,-2 0 1,1-1-1,13-20 0,-1-4-2,30-68 0,-36 69-33,1 1 0,28-43 0,-42 72-3,-1 1 0,1 0 1,0-1-1,0 1 1,0 0-1,0 0 1,0 0-1,0 1 1,1-1-1,-1 0 0,1 1 1,-1-1-1,1 1 1,-1 0-1,1 0 1,0 0-1,-1 0 1,1 1-1,0-1 1,5 0-1,-6 2 2,0-1 0,0 1 0,0-1 1,0 1-1,0 0 0,0 0 0,-1 0 0,1 0 0,0 0 0,-1 0 0,1 0 1,-1 1-1,1-1 0,-1 1 0,0-1 0,1 1 0,-1 0 0,0-1 0,0 1 1,0 0-1,0 0 0,0-1 0,-1 1 0,1 0 0,0 0 0,-1 0 0,0 0 1,1 0-1,-1 3 0,2 8 13,0 1 0,-2 0 1,1 0-1,-2 0 0,1 0 1,-4 14-1,-22 82 45,17-79-50,1 0 1,-5 47 0,35-130-93,57-161-95,-79 211 177,0 1-1,0 0 1,0 0 0,1 0 0,-1 0-1,0 0 1,1 0 0,-1 0 0,1 0 0,-1 1-1,1-1 1,0 0 0,-1 0 0,1 0-1,0 0 1,-1 1 0,1-1 0,0 0 0,0 1-1,0-1 1,0 0 0,0 1 0,0-1-1,0 1 1,0 0 0,0-1 0,0 1-1,0 0 1,1-1 0,0 2 2,1 0-1,-1 1 1,0-1-1,1 0 1,-1 1-1,0-1 1,0 1 0,0 0-1,0 0 1,0-1-1,2 5 1,35 38 32,-22-23 55,1-1 0,0-1 0,1-1 0,36 27 0,-49-41-77,0-1 0,-1 1 0,1-1 1,0-1-1,0 1 0,1-1 0,-1 0 0,0 0 0,1-1 0,-1 0 0,1 0 0,0-1 0,-1 1 0,1-2 0,0 1 1,-1-1-1,1 1 0,-1-2 0,1 1 0,-1-1 0,0 0 0,1 0 0,-1-1 0,6-3 0,2-3-189,-1-1 0,0 0-1,-1 0 1,0-1-1,-1 0 1,0-1 0,12-17-1,8-17-530</inkml:trace>
  <inkml:trace contextRef="#ctx0" brushRef="#br0" timeOffset="84078.25">2386 2680 0,'0'-2'85,"1"1"1,0 0-1,0 0 0,0-1 0,0 1 1,1 0-1,-1 0 0,0 0 0,0 0 1,1 0-1,-1 0 0,0 0 0,1 1 1,-1-1-1,1 0 0,-1 1 1,1-1-1,-1 1 0,1 0 0,0 0 1,-1-1-1,1 1 0,-1 0 0,1 0 1,0 0-1,2 1 0,6-2-9,41-4 22,0 3 0,79 6 1,-71 4-97,-7 1 161,0-3 1,0-2 0,94-5 0,-120-7 50,-17 2-2356,-13 8 1452</inkml:trace>
  <inkml:trace contextRef="#ctx0" brushRef="#br0" timeOffset="84598">2524 2297 368,'-1'1'50,"1"0"0,0 0 0,-1 0 0,1 0 0,0 0 0,-1 0 0,1 0 0,0 0 0,0 0 0,0 0 0,0 0-1,0 0 1,0 0 0,0 0 0,0 1 0,1-1 0,-1 0 0,0 0 0,1 0 0,-1 0 0,0 0 0,2 1 0,-2-2-35,0 0 1,0 1-1,0-1 1,0 0-1,1 0 1,-1 0-1,0 1 1,0-1-1,0 0 1,1 0-1,-1 0 1,0 0-1,0 0 1,0 0-1,1 1 1,-1-1-1,0 0 1,0 0-1,1 0 1,-1 0-1,0 0 1,0 0-1,1 0 1,-1 0-1,0 0 1,0 0-1,1 0 1,-1 0-1,0 0 1,0 0-1,1-1 1,-1 1-1,0 0 1,9-14 449,-7 7-449,1 0 0,0 0 1,0 0-1,1 0 1,0 1-1,0-1 1,0 1-1,7-7 1,-5 6-11,0 0 1,-1 0 0,0-1 0,0 0 0,-1 0 0,0 0-1,4-12 1,27-92 35,-35 113-41,0-1 0,0 0 1,0 0-1,0 0 0,0 0 1,0 0-1,0 0 0,0 0 1,0 0-1,0 0 1,0 0-1,0 0 0,0 0 1,0 1-1,0-1 0,0 0 1,0 0-1,0 0 0,0 0 1,1 0-1,-1 0 0,0 0 1,0 0-1,0 0 1,0 0-1,0 0 0,0 0 1,0 0-1,0 0 0,0 0 1,0 0-1,1 0 0,-1 0 1,0 0-1,0 0 0,0 0 1,0 0-1,0 0 1,0 0-1,0 0 0,0 0 1,0 0-1,0 0 0,0 0 1,0 0-1,1 0 0,-1 0 1,0-1-1,2 19 65,-2 28 114,-30 490 4730,29-525-4857,1-7-111,0-1-1,0 1 1,0-1 0,0 1-1,0 0 1,1-1 0,1 5 0,-1-9-371,1-1 1,0 0-1,0 0 1,-1 0-1,1 0 1,-1 0-1,0 0 1,0-1 0,0 1-1,2-4 1,0-1 10,15-18-501,1 0 87</inkml:trace>
  <inkml:trace contextRef="#ctx0" brushRef="#br0" timeOffset="85131.21">2528 3067 360,'13'-16'1063,"77"-84"-255,-89 99-803,-1 1 0,0 0 1,0-1-1,0 1 0,1 0 0,-1 0 0,0-1 0,1 1 0,-1 0 1,0 0-1,0-1 0,1 1 0,-1 0 0,0 0 0,1 0 0,-1 0 0,0-1 1,1 1-1,-1 0 0,1 0 0,-1 0 0,0 0 0,1 0 0,-1 0 1,0 0-1,1 0 0,-1 0 0,1 0 0,-1 0 0,0 0 0,1 0 1,-1 0-1,0 1 0,1-1 0,-1 0 0,4 15 127,-8 26 40,4-37-147,-6 29 272,-12 37 1,0-2 135,18-66-422,-1-1 0,1 1 0,-1 0 0,1 0 0,0 0 0,-1-1 0,1 1 0,0 0 0,0 0 0,1 0 0,-1 0 0,0-1 0,0 1 0,1 0 0,-1 0 0,1 0 0,0-1 0,0 1 0,-1 0 0,1-1 0,0 1 0,0-1 0,1 1 0,-1-1 0,0 1 0,0-1 0,1 0 0,-1 0 0,0 1 0,1-1 0,0 0 0,-1 0 0,1-1 0,-1 1 0,1 0 0,0 0 0,0-1 0,-1 1 0,1-1 0,0 0 0,0 1 0,0-1 0,0 0 0,-1 0 0,4 0 0,5-1-60,-1 1 0,1-1 1,0 0-1,0-1 0,-1 0 0,0-1 1,13-4-1,-9 1-245,-1 0 0,0 0 0,0-1 0,0-1 0,14-12-1,12-18-461</inkml:trace>
  <inkml:trace contextRef="#ctx0" brushRef="#br0" timeOffset="86489.07">3408 2510 424,'-1'1'83,"1"-1"0,0 1 0,-1 0 0,1 0 0,-1 0 0,1 0 0,0 0 0,0 0 0,0 0 0,-1 0 0,1 0 0,0 0 0,0 0 0,0 0 0,1 0-1,-1 0 1,0 0 0,1 2 0,3 27-23,3 13-5,2 1 0,16 46-1,-21-77-50,1 0 0,0 0 1,1 0-1,1-1 0,0 0 0,0-1 0,1 1 0,1-1 0,0-1 1,0 0-1,19 16 0,-24-23 2,0 0 1,0-1-1,0 0 0,1 1 1,-1-2-1,0 1 0,1 0 1,-1-1-1,1 0 1,0 0-1,-1 0 0,1 0 1,0-1-1,0 0 1,-1 0-1,1 0 0,0-1 1,0 1-1,-1-1 0,1 0 1,-1-1-1,1 1 1,-1-1-1,1 0 0,-1 0 1,0 0-1,0-1 1,0 1-1,0-1 0,5-4 1,0-2 11,0 0 0,0 0 1,-1-1-1,0 0 1,-1 0-1,0-1 0,-1 1 1,0-2-1,0 1 1,5-18-1,-4 5 76,0 0-1,-2 0 1,0-1 0,-2 1 0,-1-1-1,-1 0 1,-1 0 0,-5-38 0,2 45 890,0 0 1,-2 0 0,0 1 0,-9-20 0,14 36-907,0 1 0,0-1 0,-1 0 0,1 0 0,0 1 0,0-1 0,-1 0 0,1 1 0,0-1 0,-1 0 0,1 1 0,-1-1 0,1 1 0,-1-1 0,1 1 0,-1-1 0,1 1 0,-1-1 0,1 1 0,-1-1 0,0 1 0,1 0 0,-1-1 0,0 1 0,1 0 0,-1 0 0,0 0 0,0-1 0,-1 1 0,1 1-26,0-1 0,0 1 0,0 0 0,0 0 0,0-1 0,0 1 0,0 0 1,1 0-1,-1 0 0,0 0 0,0 0 0,1 0 0,-1 0 0,0 0 0,0 2 0,-18 55-34,18-52 104,-19 76 24,4 1 1,-9 132 0,15 169-145,10-381-40,0 18-1456,-4 39 0,1-52-3530,3-16 2672,0 5 1565</inkml:trace>
  <inkml:trace contextRef="#ctx0" brushRef="#br0" timeOffset="88452.88">2358 2019 48,'0'0'25,"0"0"-1,0 0 1,0 1-1,0-1 1,0 0-1,0 0 1,0 1 0,0-1-1,0 0 1,-1 0-1,1 1 1,0-1-1,0 0 1,0 0 0,0 1-1,0-1 1,-1 0-1,1 0 1,0 0-1,0 0 1,0 1 0,0-1-1,-1 0 1,1 0-1,0 0 1,0 0-1,-1 0 1,1 1-1,0-1 1,0 0 0,-1 0-1,1 0 1,0 0-1,0 0 1,-1 0-1,1 0 1,0 0 0,0 0-1,-1 0 1,1 0-1,0 0 1,0 0-1,-1 0 1,1 0 0,0 0-1,0-1 1,-1 1-1,1 0 1,0 0-1,0 0 1,-1 0 0,1 0-1,0-1 1,0 1-1,0 0 1,-1 0-1,1 0 1,0-1 0,0 1-1,0 0 1,0 0-1,0 0 1,-1-1-1,1 1 1,0 0-1,0 0 1,0-1 0,0 1-1,0-1 1,-10 32-98,8-20 201,-18 62-27,4 1-1,2 1 1,5 0-1,-2 126 1,16-38 33,6 1-1,58 283 1,-60-408-115,-6-21-7,0 1 0,2-1-1,0 0 1,1-1 0,1 1 0,0-1 0,18 28 0,-24-43-12,-1-1 0,1 1 0,0-1 0,0 0 0,0 0 0,0 1 0,0-1 0,0 0 0,0 0 0,1 0 0,-1 0 0,0 0 0,1 0 0,-1-1 0,1 1 1,-1 0-1,0-1 0,1 1 0,0-1 0,-1 1 0,1-1 0,-1 0 0,1 0 0,-1 1 0,1-1 0,0 0 0,-1-1 0,1 1 0,-1 0 0,1 0 0,-1-1 0,1 1 0,0-1 1,2 0-1,-1-2-86,-1 1 0,1 0 1,0-1-1,-1 1 1,1-1-1,-1 0 1,0 0-1,0 1 0,0-2 1,-1 1-1,1 0 1,-1 0-1,1 0 1,1-7-1,2-15-553</inkml:trace>
  <inkml:trace contextRef="#ctx0" brushRef="#br0" timeOffset="89204.37">3949 2117 0,'8'-33'1767,"-8"33"-1655,6 12 435,9 27-384,20 64 117,-7 1 933,-5 1 1,18 192-1,-37-229-568,-4 0 1,-2 0-1,-3-1 0,-4 1 1,-26 105-1,22-127-389,-17 72 515,32-136-4833,-1-4 4318</inkml:trace>
  <inkml:trace contextRef="#ctx0" brushRef="#br0" timeOffset="90302.18">4380 1955 400,'1'0'34,"-1"-1"0,1 1-1,-1 0 1,0 0 0,1 0 0,-1-1 0,1 1-1,-1 0 1,1 0 0,-1 0 0,1 0 0,-1 0-1,0 0 1,1 0 0,-1 0 0,1 0 0,-1 0-1,1 0 1,-1 0 0,1 0 0,-1 1 0,1-1-1,-1 0 1,0 0 0,1 0 0,-1 1 0,1-1-1,-1 0 1,0 0 0,1 1 0,-1-1 0,0 0-1,1 1 1,-1-1 0,0 0 0,0 1 0,1-1-1,-1 1 1,0-1 0,12 26 261,-8-16-276,13 38 167,-2 1 1,13 79 0,-9 27 1092,-7 0-1,-7 1 1,-26 285-1,-30-88-1635,49-346-49,2-1-237,-2 0 0,1 0-1,-1 0 1,0 0-1,-5 11 1,0-12-530,2-15 325</inkml:trace>
  <inkml:trace contextRef="#ctx0" brushRef="#br0" timeOffset="90849.03">4678 1835 296,'0'-9'276,"5"-28"423,-5 35-673,0 1 1,0 0-1,1 0 0,-1-1 0,1 1 0,-1 0 0,1 0 0,-1 0 1,1 0-1,-1-1 0,1 1 0,0 0 0,0 0 0,0 0 0,-1 0 0,1 1 1,0-1-1,0 0 0,0 0 0,0 0 0,1 1 0,1-2 0,-2 3 5,0-1 0,1 0 0,-1 1 0,1-1-1,-1 1 1,0 0 0,0-1 0,1 1 0,-1 0-1,0 0 1,0 0 0,0 0 0,0 0 0,0 0-1,0 0 1,0 0 0,0 0 0,0 0 0,0 0-1,-1 1 1,1-1 0,0 2 0,6 7 31,4 4 38,-1 0 0,0 1-1,-1 0 1,-1 1 0,-1 0 0,0 0-1,-1 0 1,5 20 0,-7-1-359,-1 0 1,-1 1 0,-2-1 0,-2 1-1,-12 65 1,10-75-541</inkml:trace>
  <inkml:trace contextRef="#ctx0" brushRef="#br0" timeOffset="94098.81">4735 3099 336,'3'-8'294,"-2"6"-222,-1 0 0,1 0 1,-1 1-1,1-1 0,0 0 0,0 1 1,-1-1-1,1 1 0,1-1 0,-1 1 0,0-1 1,0 1-1,0 0 0,1-1 0,-1 1 1,3-2-1,-3 18 547,27 247-324,-24-225-284,-2-27-8,11 66 7,-12-72-9,0 1 0,1-1 0,-1 0 0,1 0 0,0 0 0,0 0 0,0 0 0,0 0 0,1 0 0,0-1 0,0 1 0,0-1 0,0 0 0,4 4 0,-6-7 0,0 0 0,0 1 0,0-1 0,0 0 0,0 1 0,0-1 0,0 0 0,0 0 0,0 0 0,0 0 0,0 0 0,0 0 0,0 0 0,0 0 0,0-1 0,0 1 0,0 0 0,0 0 0,0-1 0,-1 1 0,1-1 0,0 1 0,0-1 0,0 1 0,0-1 0,0 0 0,-1 1 0,1-1 0,0 0 0,-1 0 0,1 1 0,0-2 0,21-31 45,-19 28-35,15-30 42,0-1 1,-2-1 0,-2-1 0,-2 0-1,-1-1 1,8-55 0,-18 41 939,-1 51-687,0-1-1,0 1 1,0-1 0,-1 1-1,1-1 1,-1 1 0,1-1-1,-1 1 1,0-1-1,0 1 1,0 0 0,-1-1-1,1 1 1,0 0 0,-1 0-1,0 0 1,-2-3-1,4 5-263,-1 0-1,1-1 0,0 1 0,-1 0 0,1 0 1,-1-1-1,1 1 0,0 0 0,-1 0 0,1 0 1,-1 0-1,1 0 0,-1 0 0,1 0 0,0 0 1,-1 0-1,1 0 0,-1 0 0,1 0 0,-1 0 1,1 0-1,-1 0 0,1 0 0,0 0 0,-1 0 1,1 1-1,-1-1 0,1 0 0,0 0 1,-1 1-1,1-1 0,0 0 0,-1 0 0,1 1 1,0-1-1,-1 0 0,1 1 0,0-1 0,0 0 1,-1 1-1,-7 26 3,6-21 11,-20 104-140,5 2 0,5 0 0,3 136 0,9-241-308,1 17-2727,5-13-2656,-5-10 4917</inkml:trace>
  <inkml:trace contextRef="#ctx0" brushRef="#br0" timeOffset="95084.63">5310 2595 0,'0'0'48,"0"0"1,0 0-1,-1 0 0,1-1 0,0 1 1,0 0-1,0 0 0,-1-1 0,1 1 1,0 0-1,0 0 0,0-1 1,0 1-1,0 0 0,0 0 0,0-1 1,0 1-1,0 0 0,0-1 1,0 1-1,0 0 0,0 0 0,0-1 1,0 1-1,0 0 0,0-1 0,0 1 1,0 0-1,0 0 0,0-1 1,1 1-1,-1 0 0,0 0 0,0-1 1,0 1-1,0 0 0,1 0 1,-1-1-1,0 1 0,0 0 0,0 0 1,1 0-1,-1 0 0,0-1 0,0 1 1,1 0-1,-1 0 0,0 0 1,1 0-1,-1 0 0,0 0 0,0 0 1,1 0-1,-1 0 0,25 2 19,-11 0 137,35 5 130,209 24 5152,-148-23-5562,-102-8 90,0 1 0,-1-2 0,1 1 0,14-3 0,-5-6-3814,-17 9 3746,0 0 0,0 0 0,0 0 0,0 0 0,-1 0 0,1 0 0,0 0 0,0 0 0,0 0-1,0 0 1,-1 0 0,1 0 0,0 0 0,0 0 0,0-1 0,0 1 0,0 0 0,-1 0 0,1 0 0,0 0 0,0 0 0,0 0 0,0 0 0,0-1 0,0 1 0,0 0 0,-1 0 0,1 0 0,0 0 0,0-1 0,0 1 0,0 0 0,0 0 0,0 0 0,0 0 0,0-1 0,0 1 0,0 0 0,0 0 0,0 0 0,0 0 0,0-1 0,0 1 0,0 0 0,0 0 0,0 0 0,0 0 0,0 0 0,0-1 0,0 1 0,1 0 0,-1 0 0,0 0-1,0 0 1,0 0 0,0-1 0,0 1 0,0 0 0,-12 0-858</inkml:trace>
  <inkml:trace contextRef="#ctx0" brushRef="#br0" timeOffset="97118.01">5331 3172 24,'0'0'65,"0"-1"0,-1 1 0,1 0 0,0-1 0,0 1 0,0-1 0,0 1 0,0-1 0,0 1 0,0 0 0,0-1 0,0 1 0,0-1 0,1 1 0,-1-1 0,0 1 0,0 0 0,0-1 0,0 1 0,1-1 0,-1 1 0,0 0 0,0-1 0,1 1 0,-1 0 0,0-1 0,1 1 0,-1 0 0,0-1 0,1 1 0,-1 0 0,0 0 0,1-1 0,-1 1 0,1 0 0,-1 0 0,1 0 0,24-5 352,-24 4-430,275-19 6109,-157 13-5645,-98 5-544,1 1 0,0 2 0,38 4 0,-59-4-679,-1-1 643,0 0 0,1 0 0,-1 0 1,0 0-1,0 0 0,0 0 1,1 0-1,-1 0 0,0 0 1,0 0-1,0 0 0,0 0 1,1 0-1,-1 0 0,0 0 1,0 0-1,0 0 0,0 0 1,1 0-1,-1 0 0,0 0 1,0-1-1,0 1 0,0 0 0,2-2-2058,-2 2 2058,0-1 1,0 1-1,0 0 0,0 0 0,0 0 1,0-1-1,-1 0-794</inkml:trace>
  <inkml:trace contextRef="#ctx0" brushRef="#br0" timeOffset="98660.9">6471 2826 384,'-12'-9'1280,"12"3"-529,3 4-708,0 0 1,0 0-1,1 1 0,-1-1 0,1 1 0,-1 0 0,6-1 1,53-14 267,124-15 0,75 12-132,18-3 3555,-144 6-1499,403-41 743,-287 51-2694,-148 7 245,115-14 0,-208 12-971,0-1 1,0 0-1,-1-1 0,11-3 0,-18 3-1595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8:17.4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0 376 88,'1'-8'112,"1"1"0,0-1-1,0 1 1,0-1 0,1 1 0,0 0 0,1 0-1,0 0 1,0 0 0,0 1 0,1 0 0,0-1-1,7-6 1,-4 4 11,53-59 107,-45 52-149,0-1 0,-2 0 0,22-33 0,-25 28-17,-7 15-39,-1-1 0,1 1 0,0 0 0,1 0 0,0 1-1,0 0 1,0-1 0,11-8 0,-16 15-22,1 0 1,-1 0 0,0-1-1,1 1 1,-1 0-1,0 0 1,1 0-1,-1 0 1,1 0-1,-1 0 1,0 0-1,1-1 1,-1 1 0,1 0-1,-1 0 1,0 0-1,1 1 1,-1-1-1,0 0 1,1 0-1,-1 0 1,1 0 0,-1 0-1,0 0 1,1 0-1,-1 1 1,0-1-1,1 0 1,-1 0-1,0 1 1,1-1-1,-1 0 1,0 0 0,0 1-1,1-1 1,-1 0-1,0 1 1,0-1-1,1 0 1,-1 1-1,0-1 1,0 0-1,0 1 1,0-1 0,0 1-1,0-1 1,0 0-1,1 1 1,-1-1-1,0 1 1,0-1-1,0 0 1,-1 1 0,1-1-1,0 1 1,0 28 135,-1-25-110,-6 58 345,-17 68 1,11-74 713,-7 93-1,20-147-1074,0 1-1,0 0 1,0-1 0,0 1-1,0-1 1,1 1-1,-1-1 1,1 1-1,0 0 1,1 2 0,-2-5-47,0 1 0,0-1 1,0 0-1,1 0 0,-1 0 1,0 1-1,0-1 0,0 0 1,1 0-1,-1 0 0,0 0 1,0 1-1,1-1 0,-1 0 1,0 0-1,0 0 0,1 0 1,-1 0-1,0 0 1,0 0-1,1 0 0,-1 0 1,0 0-1,0 0 0,1 0 1,-1 0-1,0 0 0,1 0 1,-1 0-1,0 0 0,1 0 1,11-11-1851,-2-3 768,5 1 289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8:18.0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4 100 720,'-1'0'38,"1"-1"0,0 1 0,0 0 0,-1-1 0,1 1 1,0 0-1,0-1 0,0 1 0,-1 0 0,1-1 0,0 1 0,0 0 0,0-1 0,0 1 0,0 0 0,0-1 0,0 1 0,0 0 0,0-1 0,0 1 1,0-1-1,0 1 0,0 0 0,0-1 0,0 1 0,0 0 0,0-1 0,1 1 0,-1 0 0,0-1 0,0 1 0,0 0 0,0-1 0,1 1 0,-1 0 1,0 0-1,0-1 0,1 1 0,-1 0 0,0 0 0,1-1 0,-1 1 0,16-15 136,0 3-138,-1 1-7,1 0 0,0 1 0,21-11 0,-36 21-18,0-1 1,0 1-1,0-1 0,-1 0 0,1 1 1,0 0-1,0-1 0,0 1 0,0 0 0,0-1 1,0 1-1,0 0 0,0 0 0,0 0 0,0 0 1,0 0-1,0 0 0,0 0 0,0 0 1,0 0-1,0 0 0,0 0 0,0 1 0,0-1 1,-1 0-1,3 2 0,-3-1 4,1 0-1,-1 0 1,1 0-1,0 0 1,-1 0-1,0 1 1,1-1 0,-1 0-1,0 0 1,0 1-1,0-1 1,1 0-1,-1 1 1,-1-1-1,1 0 1,0 0-1,0 2 1,-4 13 153,1-1-1,-11 24 1,10-27-18,-30 79 1449,-12 36 731,45-124-2309,0 1 1,0 0 0,1 0 0,-1-1-1,1 1 1,-1 0 0,1 0-1,0 0 1,1-1 0,-1 1 0,1 0-1,-1 0 1,1-1 0,0 1-1,1 0 1,1 4 0,-2-6-22,1 0 0,0 0-1,0 0 1,0-1 0,0 1 0,0 0 0,0-1 0,0 1 0,0-1-1,0 0 1,1 0 0,-1 0 0,0 0 0,1 0 0,-1 0 0,1-1-1,-1 1 1,1-1 0,0 0 0,-1 0 0,1 0 0,-1 0 0,1 0-1,-1 0 1,4-1 0,7-1-159,0 0 1,0-1-1,0-1 0,0 0 0,-1-1 1,1 0-1,-1-1 0,0 0 0,19-14 1,-15 8-527,-2 0 1,1-1-1,-2 0 1,0-1-1,0-1 1,12-18-1,2-11-163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8:26.8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0 299 328,'1'1'114,"-1"1"-1,1-1 1,-1 1-1,1-1 1,-1 1 0,1-1-1,0 1 1,0-1-1,0 1 1,0-1-1,0 0 1,0 0 0,0 1-1,0-1 1,1 0-1,1 1 1,30 4 70,-22-5-121,41 1 119,1-2 0,0-2 0,0-2 1,81-18-1,-101 14-94,28-8-23,-56 15-57,0 0 0,0 1 0,0 0 0,1-1 0,-1 1-1,0 1 1,0-1 0,9 3 0,-14-3-36,0 0 1,0 0-1,0 0 1,-1 0-1,1 0 1,0-1-1,0 1 1,0 0-1,0 0 1,0 0-1,0 0 1,-1 0-1,1 0 1,0 0-1,0 0 1,0-1-1,0 1 0,0 0 1,0 0-1,0 0 1,0 0-1,0 0 1,0 0-1,0-1 1,0 1-1,0 0 1,0 0-1,0 0 1,0 0-1,0-1 1,0 1-1,0 0 1,0 0-1,0 0 1,0 0-1,0 0 1,0-1-1,0 1 1,0 0-1,0 0 1,0 0-1,0 0 1,0 0-1,0 0 1,0-1-1,0 1 1,0 0-1,1 0 1,-1 0-1,0 0 0,0 0 1,0 0-1,0 0 1,0 0-1,0-1 1,1 1-1,-1 0 1,0 0-1,0 0 1,0 0-1,0 0 1,0 0-1,1 0 1,-1 0-1,0 0 1,0 0-1,0 0 1,-2-1-727</inkml:trace>
  <inkml:trace contextRef="#ctx0" brushRef="#br0" timeOffset="578.12">155 640 256,'-2'-8'155,"1"0"1,0-1-1,1 1 0,0-1 0,1 1 1,1-10-1,-1 10-63,0 1-62,1 1-1,0 0 1,0 0 0,1 0 0,-1 0 0,1 1-1,1-1 1,-1 1 0,1 0 0,0 0-1,0 0 1,0 0 0,0 1 0,1-1-1,0 1 1,0 0 0,0 1 0,10-6-1,-13 8-25,-1 0-1,1 0 1,0 0-1,-1 0 0,1 1 1,0-1-1,0 1 0,-1-1 1,1 1-1,0-1 0,0 1 1,0 0-1,0 0 0,-1 0 1,1 0-1,0 0 1,0 0-1,0 1 0,3 0 1,-3 0 6,-1 0 0,0 0-1,1 0 1,-1 0 0,0 1 0,1-1 0,-1 0 0,0 1 0,0-1 0,0 0 0,0 1 0,-1-1 0,1 1 0,0 0 0,0-1 0,-1 1 0,1 2 0,1 4 36,-1 0 1,0 0-1,-1 0 1,1 0 0,-2 0-1,1 0 1,-4 15-1,-3 7 154,-18 41 1,16-46-89,0 0 0,2 0-1,-5 26 1,12-48-110,-1 0 0,1-1 0,0 1 0,0 0 0,0 0 0,0-1 0,0 1 0,0 0-1,1 0 1,-1-1 0,1 1 0,0 0 0,0-1 0,0 1 0,0-1 0,0 1 0,1-1 0,1 3-1,-1-3 0,0-1-1,0 1 0,0-1 1,0 1-1,0-1 0,0 0 1,1 0-1,-1 0 0,0 0 1,1 0-1,-1 0 0,1-1 1,-1 1-1,1-1 0,-1 0 1,3 1-1,6-2-3,0 0 0,0 0 0,0-1 0,0 0 0,0-1 0,-1 0 0,18-8 0,-12 4-221,-1-1 1,0 0 0,0-2 0,-1 1-1,0-2 1,13-12 0,2-7-491</inkml:trace>
  <inkml:trace contextRef="#ctx0" brushRef="#br0" timeOffset="1469.05">1359 348 416,'42'-9'1800,"34"2"-1738,-35 5 44,0-2 0,0-2 0,0-2-1,76-25 1,-75 14-98,-30 12-68,1 1 1,-1 0-1,1 1 0,0 1 0,17-4 1,-27 10-670,-4 3 73</inkml:trace>
  <inkml:trace contextRef="#ctx0" brushRef="#br0" timeOffset="2079.52">1545 497 352,'0'-2'53,"-1"0"-1,1-1 1,0 1 0,0-1-1,0 1 1,0-1 0,1 1-1,-1-1 1,1 1-1,-1 0 1,1-1 0,0 1-1,0 0 1,0-1 0,0 1-1,0 0 1,1 0 0,-1 0-1,1 0 1,-1 0-1,1 0 1,0 1 0,0-1-1,-1 0 1,1 1 0,0-1-1,0 1 1,1 0 0,-1 0-1,0 0 1,4-1-1,3-1-35,0 0 0,0 1-1,0 1 1,0-1 0,0 1-1,0 1 1,1 0 0,-1 0-1,17 3 1,-25-2-7,0 0-1,0 0 1,0 0-1,0 0 1,0 0-1,0 0 1,0 0-1,0 0 1,0 1-1,-1-1 1,1 0-1,0 0 1,-1 1-1,1-1 1,-1 0 0,0 1-1,1-1 1,-1 0-1,0 1 1,0-1-1,0 1 1,0-1-1,0 0 1,0 1-1,-1 1 1,-5 42 172,5-40-156,-7 23 66,-1 0 0,-2-1 0,0 0 0,-20 32 0,-19 49 62,48-103-152,0 1 0,0-1 0,1 1 1,0-1-1,0 1 0,0 0 0,1-1 1,0 1-1,0 0 0,1 5 0,-1-9 0,1-1-1,-1 1 0,0-1 0,1 1 0,0-1 1,-1 0-1,1 1 0,0-1 0,0 0 0,0 0 1,0 0-1,0 0 0,0 1 0,0-1 1,0 0-1,0-1 0,1 1 0,-1 0 0,0 0 1,0 0-1,1-1 0,-1 1 0,1-1 1,-1 1-1,1-1 0,-1 0 0,0 1 0,1-1 1,-1 0-1,1 0 0,-1 0 0,1 0 1,-1 0-1,1 0 0,-1-1 0,1 1 0,-1 0 1,1-1-1,2-1 0,7-1 4,0-1 0,0-1 0,0 0 0,0-1 0,-1 0 0,0 0 0,0-1 0,-1-1 0,0 1 0,9-11 0,3-4-587,-1 0 1,31-46-1,-34 41-178</inkml:trace>
  <inkml:trace contextRef="#ctx0" brushRef="#br0" timeOffset="2782.65">985 48 264,'-7'-14'158,"5"12"-96,1-1 1,0 0 0,-1 1-1,1-1 1,0 0 0,1 1-1,-1-1 1,0 0 0,1 0-1,-1-4 1,5 98 1658,-2 31-915,-2-117-625,-2 51 1366,-2 1 0,-3-1-1,-17 71 1,24-135-6944</inkml:trace>
  <inkml:trace contextRef="#ctx0" brushRef="#br0" timeOffset="3142.98">766 293 584,'-4'9'929,"4"-2"523,16-6-664,44-5 2267,0-4 1,89-22-1,-24 5-2387,-92 23-563,-29 2-181,1 1 0,0-2-1,0 1 1,-1 0-1,1-1 1,0 0-1,-1 0 1,9-3-1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5T18:48:45.7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16 859 880,'-12'7'14600,"8"1"-11513,7 1-7246</inkml:trace>
  <inkml:trace contextRef="#ctx0" brushRef="#br0" timeOffset="749.83">804 712 736,'-3'-1'96,"-1"0"-1,1 0 1,-1 0 0,0 1-1,1-1 1,-1 1-1,1 0 1,-1 0 0,0 0-1,1 1 1,-1-1-1,0 1 1,1 0 0,-1 0-1,-5 2 1,3 0-13,0 1 0,0-1 0,0 1 0,1 0 0,-1 1 0,1-1 0,-8 10 0,-1 4 20,1 0 1,0 1-1,2 0 1,-10 22-1,0 3 1,2 1 0,2 0 0,-19 86 0,31-105-94,1 0 0,1 0-1,1 0 1,1 0 0,2 0-1,0 0 1,2 0 0,9 42-1,-9-58-11,1 1 0,0-1 1,0 0-1,1 0 0,0 0 0,1-1 0,0 1 0,0-2 0,1 1 1,0-1-1,1 1 0,0-2 0,0 1 0,0-1 0,1-1 0,0 0 0,1 0 1,-1 0-1,13 4 0,-10-6-1,0 0 0,0 0-1,1-1 1,-1-1 0,1 0 0,0-1 0,0 0 0,-1-1 0,1 0-1,0-1 1,0-1 0,-1 0 0,1 0 0,-1-2 0,0 1 0,16-8-1,3-5-322,-1-1-1,-1-1 0,-1-2 0,-1-1 0,31-30 0,4-4-435</inkml:trace>
  <inkml:trace contextRef="#ctx0" brushRef="#br0" timeOffset="1125.08">1313 974 640,'-14'22'148,"1"0"-1,1 0 1,0 1-1,2 1 1,1 0-1,1 0 1,-8 45-1,13-51-148,0 0 0,2 0 0,0 0 0,1 0 0,1 0 0,1 1 0,0-1-1,1-1 1,2 1 0,-1 0 0,13 27 0,-16-41 1,1 0 0,0 0 0,0-1 0,0 1 0,0 0 0,0-1-1,1 0 1,0 0 0,-1 1 0,1-1 0,1-1 0,-1 1 0,0 0 0,1-1 0,-1 0 0,1 0 0,0 0 0,-1 0-1,1-1 1,0 1 0,0-1 0,0 0 0,0 0 0,0 0 0,7 0 0,-4-2-1,-1 0 1,0 0-1,1 0 1,-1-1-1,0 0 0,0 0 1,0 0-1,0-1 1,0 0-1,-1 0 1,1-1-1,-1 1 0,0-1 1,0 0-1,0-1 1,5-5-1,4-7 45,0-1 1,-2 0-1,0-1 1,-1 0-1,-1-1 1,0 0-1,-2-1 0,0 1 1,-2-2-1,0 1 1,-1-1-1,-2 0 1,0 0-1,-1 0 1,-1 0-1,-1 0 0,-1 0 1,-4-25-1,3 39-3,0 1-1,0 0 0,0 0 0,-1 0 1,0 1-1,0-1 0,-1 1 1,1-1-1,-2 1 0,1 0 1,-7-6-1,9 10-23,0 0 0,0 0 0,0 0-1,-1 0 1,1 1 0,0-1 0,-1 1 0,0 0 0,1 0 0,-1 0 0,0 0 0,1 0-1,-1 1 1,0-1 0,0 1 0,0-1 0,1 1 0,-1 0 0,0 0 0,0 0 0,0 1 0,0-1-1,1 1 1,-1 0 0,0-1 0,0 1 0,1 0 0,-1 1 0,1-1 0,-1 0 0,-2 2-1,-2 3-52,-1 0 0,1 0-1,0 1 1,1 0 0,-1 0-1,1 0 1,1 1-1,-1 0 1,1 0 0,1 0-1,-8 18 1,1 4-264,0 1 1,-7 40-1,0 22-486,4-6 68</inkml:trace>
  <inkml:trace contextRef="#ctx0" brushRef="#br0" timeOffset="1500.11">1546 1149 928,'7'-6'231,"0"0"-1,0 1 1,0 0-1,1 0 1,14-6-1,0-1-151,107-68 124,74-43 453,-198 121-864,4-4 858,2 1-1,-1 0 0,22-7 0,-30 12-507,-1-1 1,1 1-1,-1-1 0,1 1 0,0 0 0,-1-1 0,1 1 0,-1 0 0,1 0 0,0 0 0,-1 0 0,1 1 0,-1-1 0,1 0 0,0 1 1,-1-1-1,1 1 0,-1-1 0,1 1 0,-1 0 0,1-1 0,-1 1 0,0 0 0,1 0 0,-1 0 0,0 0 0,0 0 0,0 1 0,0-1 0,0 0 1,0 0-1,0 1 0,0-1 0,0 1 0,0-1 0,-1 1 0,1 1 0,1 5 16,-1 1-1,0-1 1,0 1-1,-1-1 1,0 1-1,-1 0 1,1-1-1,-2 1 1,-2 10 0,-27 78 228,26-83-324,-119 280 71,85-207-876,31-70 487,-19 40-3360,25-54 3178,1 0-1,-1 0 0,0 0 0,-1 0 0,1 0 0,0-1 0,-1 1 0,0-1 1,1 0-1,-1 1 0,0-1 0,0-1 0,-6 4 0,-16-5-884</inkml:trace>
  <inkml:trace contextRef="#ctx0" brushRef="#br0" timeOffset="2140.73">2772 205 480,'0'-1'39,"-1"1"0,0 0 1,0-1-1,1 1 0,-1-1 0,0 1 0,0 0 0,0 0 1,0 0-1,1-1 0,-1 1 0,0 0 0,0 0 0,0 0 1,0 0-1,0 0 0,0 0 0,1 1 0,-1-1 0,0 0 1,0 0-1,0 1 0,0-1 0,1 0 0,-1 1 0,0-1 1,0 1-1,1-1 0,-1 1 0,0-1 0,1 1 0,-1-1 1,0 1-1,1 0 0,-1-1 0,1 1 0,-1 0 0,0 1 1,-21 30 419,22-32-456,-38 69 2744,3 3-1,-26 75 1,33-63-1780,-29 140 0,41-131-1043,4 2 0,4 0 0,4 0 0,15 157 0,-8-204 57,3 0 1,2 0-1,2-1 0,30 84 1,-31-112 510,7 1-4901,-15-20 4187,1 1 0,-1-1 0,0 1-1,1-1 1,-1 0 0,0 1 0,1-1 0,-1 0 0,0 0 0,1 0 0,-1 0 0,1 0 0,-1 0 0,0-1-1,1 1 1,-1 0 0,1-1 0,-1 1 0,0-1 0,0 1 0,1-1 0,-1 0 0,0 1 0,0-1-1,0 0 1,1 0 0,-1 0 0,0 0 0,1-2 0,12-13-601</inkml:trace>
  <inkml:trace contextRef="#ctx0" brushRef="#br0" timeOffset="3063.68">2855 967 544,'-1'1'32,"1"-1"0,0 1 1,0-1-1,0 1 0,0 0 0,0-1 0,0 1 0,0-1 1,1 1-1,-1-1 0,0 1 0,0-1 0,0 1 0,0-1 0,1 1 1,-1-1-1,0 1 0,0-1 0,1 1 0,-1-1 0,0 0 1,1 1-1,-1-1 0,1 1 0,-1-1 0,0 0 0,1 1 1,-1-1-1,1 0 0,-1 0 0,1 1 0,-1-1 0,1 0 0,-1 0 1,1 0-1,-1 0 0,1 1 0,0-1 0,-1 0 0,1 0 1,33 3-49,-29-3 83,39 0 106,1-3 0,82-17 0,-65 10-38,77-5 0,-11 17 24,161 24-1,-11 0 115,-80-11-237,63 3 694,-195-16 1629,127-15 1,-161 8-2030,0-2 1,0-1-1,59-25 1,80-52 45,-152 75-605,0 0 0,1 1 1,0 1-1,29-7 1,-49 15 31,1 0 0,-1 0 0,1-1 0,-1 1 1,1 0-1,0 0 0,-1 0 0,1 0 0,0 0 0,-1 0 1,1 0-1,0 0 0,-1 0 0,1 0 0,-1 0 0,1 0 1,0 0-1,-1 1 0,1-1 0,0 0 0,-1 0 0,1 1 1,0 0-1,-1-1 88,0 1 0,-1-1 0,1 1-1,0-1 1,0 0 0,-1 1 0,1-1 0,0 1 0,-1-1 0,1 0 0,-1 1 0,1-1-1,0 0 1,-1 1 0,1-1 0,-1 0 0,1 0 0,-1 1 0,1-1 0,-1 0 0,1 0 0,-1 0-1,1 0 1,-1 0 0,1 0 0,-2 1 0,-13 3-634</inkml:trace>
  <inkml:trace contextRef="#ctx0" brushRef="#br0" timeOffset="5298.63">3071 456 240,'0'-2'133,"10"-22"692,-6 20-407,-4 17-55,-7 38-326,-3 48-6,10-82-29,1 1 0,0-1 0,1 0-1,8 30 1,-9-42-1,0-1-1,0 1 1,1 0 0,-1-1 0,1 0-1,1 1 1,-1-1 0,0 0-1,1 0 1,0 0 0,0 0-1,0-1 1,1 1 0,-1-1-1,1 0 1,-1 0 0,1 0-1,0 0 1,0-1 0,1 0-1,6 3 1,-8-4 2,1-1 0,0 0 0,-1 0 0,1 0 0,-1-1 0,1 1 0,-1-1 0,1 0 0,-1 0 0,0 0 0,1 0 1,-1-1-1,0 1 0,0-1 0,0 0 0,0 0 0,0 0 0,0 0 0,0 0 0,-1-1 0,4-3 0,7-8 44,0-1 0,16-24 1,-23 30-26,15-20 26,-2-1 0,-1-1 0,-2-1 0,16-42 0,-26 58-25,-1 0 0,0 0 0,-2-1 0,0 1 0,0-1 0,-2 0 0,0 1 0,-1-1 0,-1 0 0,0 0 0,-4-19 0,4 32-14,-1 0 0,1 0 0,-1 0 0,0 0 0,0 0 0,0 1 0,0-1 0,-1 0 0,1 1 0,-1 0 0,-3-4 0,5 6-5,0 0 0,0 1 0,0-1 1,0 0-1,0 1 0,0-1 1,0 1-1,0-1 0,0 1 0,-1-1 1,1 1-1,0 0 0,0-1 0,0 1 1,-1 0-1,1 0 0,0 0 1,0 0-1,0 0 0,-1 0 0,1 0 1,0 1-1,0-1 0,0 0 1,-1 1-1,1-1 0,0 1 0,0-1 1,0 1-1,0-1 0,0 1 1,0 0-1,0 0 0,0-1 0,0 1 1,0 0-1,1 0 0,-1 0 1,0 0-1,0 0 0,1 0 0,-1 0 1,0 2-1,-5 9 7,0 0 1,2 1-1,-1-1 0,2 1 0,-1 0 1,2 0-1,0 0 0,-1 26 0,-2 4 1,-25 141-103,-9 73-180,36-226-549,-14 54 1,13-68 225</inkml:trace>
  <inkml:trace contextRef="#ctx0" brushRef="#br0" timeOffset="8337.83">3683 1626 536,'-2'-5'71,"0"1"-1,1 0 1,-1-1 0,1 0-1,0 1 1,0-1 0,1 0-1,-1 1 1,1-1-1,0 0 1,0 0 0,1 0-1,-1 1 1,1-1 0,0 0-1,0 1 1,1-1 0,1-4-1,4-8-31,0 1 1,1 0-1,16-25 0,-16 29-11,0 1-1,0 0 1,1 0-1,0 0 1,1 1-1,0 1 1,13-10-1,-11 10 48,-6 4-55,0 1 0,1-1 0,-1 1 1,1 0-1,9-4 0,-14 8 11,-1-1 0,0 1-1,1-1 1,-1 1 0,0 0 0,1 0-1,-1-1 1,1 1 0,-1 0-1,0 0 1,1 1 0,-1-1 0,1 0-1,-1 0 1,0 1 0,1-1-1,-1 1 1,0-1 0,0 1-1,1-1 1,-1 1 0,0 0 0,0-1-1,0 1 1,0 0 0,1 0-1,-1 0 1,-1 0 0,1 0-1,0 0 1,0 1 0,0-1 0,0 0-1,-1 0 1,1 0 0,0 2-1,2 8 690,0 1 0,-1-1-1,0 1 1,-1-1 0,0 1-1,-1 0 1,0-1 0,-1 1-1,-3 18 1,2-8-512,-13 80 462,8-56-485,-3 51 0,10-95-185,0 0 1,-1 0-1,1 0 0,1 0 0,-1 0 1,0 0-1,0 0 0,1-1 1,-1 1-1,1 0 0,0 0 1,-1 0-1,1 0 0,0 0 0,0-1 1,0 1-1,0 0 0,1-1 1,-1 1-1,0-1 0,1 1 1,-1-1-1,1 0 0,-1 1 0,1-1 1,0 0-1,-1 0 0,1 0 1,0-1-1,0 1 0,0 0 1,0 0-1,0-1 0,0 0 1,0 1-1,0-1 0,0 0 0,0 0 1,2 0-1,8 0-18,0-1-1,0-1 1,0 0 0,0 0-1,12-5 1,-17 5-7,37-12-1973,-1-2 0,0-1-1,-1-3 1,45-27 0,-22 4 1000</inkml:trace>
  <inkml:trace contextRef="#ctx0" brushRef="#br0" timeOffset="8916.54">5516 0 832,'3'2'90,"0"-1"-1,0 0 1,0 1-1,0-1 1,0 1-1,-1 0 1,1 0-1,-1 0 1,1 0-1,-1 1 1,0-1 0,0 1-1,0-1 1,0 1-1,0 0 1,-1 0-1,3 5 1,3 9 212,-1-1 0,5 23 1,-3-11 655,22 79 2034,-5 1-1,15 140 1,-28-113-1639,-8 201-1,-19-135-1052,-8 0 1,-84 335-1,106-532-353,-29 114-449,11-39-3136,17-70-1582,6-19 685,3-14 2609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nx.org/contents/TqqPA4io@1.153:8FwHJuoc@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743A-F486-4D51-96DF-11C4120CB54D}">
  <dimension ref="A1:U74"/>
  <sheetViews>
    <sheetView zoomScale="115" zoomScaleNormal="115" workbookViewId="0">
      <selection activeCell="J40" sqref="J40"/>
    </sheetView>
  </sheetViews>
  <sheetFormatPr defaultRowHeight="14.45"/>
  <cols>
    <col min="8" max="9" width="9.28515625" bestFit="1" customWidth="1"/>
  </cols>
  <sheetData>
    <row r="1" spans="1:21" ht="15" thickBot="1">
      <c r="A1" s="46" t="s">
        <v>0</v>
      </c>
      <c r="B1" s="47" t="s">
        <v>1</v>
      </c>
      <c r="C1" s="20" t="s">
        <v>2</v>
      </c>
      <c r="D1" s="47" t="s">
        <v>3</v>
      </c>
      <c r="E1" s="48" t="s">
        <v>4</v>
      </c>
      <c r="H1" t="s">
        <v>5</v>
      </c>
      <c r="U1" t="s">
        <v>6</v>
      </c>
    </row>
    <row r="2" spans="1:21" ht="15" thickBot="1">
      <c r="A2" s="43">
        <v>0</v>
      </c>
      <c r="B2" s="44">
        <v>0</v>
      </c>
      <c r="C2" s="44">
        <f>$I$3*COS((A2/180) * PI())^2</f>
        <v>5.9</v>
      </c>
      <c r="D2" s="44">
        <v>0.1779067687</v>
      </c>
      <c r="E2" s="45">
        <v>0.2</v>
      </c>
      <c r="F2">
        <f>E2 / SQRT(3)</f>
        <v>0.11547005383792516</v>
      </c>
    </row>
    <row r="3" spans="1:21" ht="15" thickBot="1">
      <c r="A3" s="38">
        <v>5</v>
      </c>
      <c r="B3" s="37">
        <v>0</v>
      </c>
      <c r="C3" s="44">
        <f t="shared" ref="C3:C66" si="0">$I$3*COS((A3/180) * PI())^2</f>
        <v>5.8551828713860141</v>
      </c>
      <c r="D3" s="37">
        <v>4.481712861E-2</v>
      </c>
      <c r="E3" s="39">
        <v>0.2</v>
      </c>
      <c r="F3">
        <f t="shared" ref="F3:F66" si="1">E3 / SQRT(3)</f>
        <v>0.11547005383792516</v>
      </c>
      <c r="H3" s="31" t="s">
        <v>7</v>
      </c>
      <c r="I3" s="32">
        <f xml:space="preserve"> MAX(B2:B74)</f>
        <v>5.9</v>
      </c>
    </row>
    <row r="4" spans="1:21" ht="15" thickBot="1">
      <c r="A4" s="38">
        <v>10</v>
      </c>
      <c r="B4" s="37">
        <v>0</v>
      </c>
      <c r="C4" s="44">
        <f t="shared" si="0"/>
        <v>5.7220932313184294</v>
      </c>
      <c r="D4" s="37">
        <v>0</v>
      </c>
      <c r="E4" s="39">
        <v>0.2</v>
      </c>
      <c r="F4">
        <f t="shared" si="1"/>
        <v>0.11547005383792516</v>
      </c>
    </row>
    <row r="5" spans="1:21" ht="15" thickBot="1">
      <c r="A5" s="38">
        <v>15</v>
      </c>
      <c r="B5" s="37">
        <v>0</v>
      </c>
      <c r="C5" s="44">
        <f t="shared" si="0"/>
        <v>5.5047749411640945</v>
      </c>
      <c r="D5" s="37">
        <v>4.481712861E-2</v>
      </c>
      <c r="E5" s="39">
        <v>0.2</v>
      </c>
      <c r="F5">
        <f t="shared" si="1"/>
        <v>0.11547005383792516</v>
      </c>
      <c r="H5" s="49" t="s">
        <v>0</v>
      </c>
      <c r="I5" s="50"/>
      <c r="K5" s="49" t="s">
        <v>0</v>
      </c>
      <c r="L5" s="50"/>
      <c r="N5" s="49" t="s">
        <v>0</v>
      </c>
      <c r="O5" s="50"/>
      <c r="Q5" s="49" t="s">
        <v>0</v>
      </c>
      <c r="R5" s="50"/>
    </row>
    <row r="6" spans="1:21">
      <c r="A6" s="38">
        <v>20</v>
      </c>
      <c r="B6" s="37">
        <v>0</v>
      </c>
      <c r="C6" s="44">
        <f t="shared" si="0"/>
        <v>5.2098311072009862</v>
      </c>
      <c r="D6" s="37">
        <v>0.1779067687</v>
      </c>
      <c r="E6" s="39">
        <v>0.2</v>
      </c>
      <c r="F6">
        <f t="shared" si="1"/>
        <v>0.11547005383792516</v>
      </c>
      <c r="H6" s="55">
        <f>A2</f>
        <v>0</v>
      </c>
      <c r="I6" s="51">
        <f>C2</f>
        <v>5.9</v>
      </c>
      <c r="J6" s="52"/>
      <c r="K6" s="55">
        <f t="shared" ref="K6:K24" si="2">A21</f>
        <v>95</v>
      </c>
      <c r="L6" s="51">
        <f t="shared" ref="L6:L24" si="3">C21</f>
        <v>4.481712861398629E-2</v>
      </c>
      <c r="M6" s="52"/>
      <c r="N6" s="55">
        <f t="shared" ref="N6:N24" si="4">A40</f>
        <v>190</v>
      </c>
      <c r="O6" s="51">
        <f t="shared" ref="O6:O24" si="5">C40</f>
        <v>5.7220932313184294</v>
      </c>
      <c r="P6" s="52"/>
      <c r="Q6" s="55">
        <f t="shared" ref="Q6:Q21" si="6">A59</f>
        <v>285</v>
      </c>
      <c r="R6" s="51">
        <f t="shared" ref="R6:R21" si="7">C59</f>
        <v>0.39522505883590459</v>
      </c>
    </row>
    <row r="7" spans="1:21">
      <c r="A7" s="38">
        <v>25</v>
      </c>
      <c r="B7" s="37">
        <v>0</v>
      </c>
      <c r="C7" s="44">
        <f t="shared" si="0"/>
        <v>4.8462234485752909</v>
      </c>
      <c r="D7" s="37">
        <v>0.39522505879999997</v>
      </c>
      <c r="E7" s="39">
        <v>0.2</v>
      </c>
      <c r="F7">
        <f t="shared" si="1"/>
        <v>0.11547005383792516</v>
      </c>
      <c r="H7" s="38">
        <f t="shared" ref="H7:H24" si="8">A3</f>
        <v>5</v>
      </c>
      <c r="I7" s="53">
        <f t="shared" ref="I7:I24" si="9">C3</f>
        <v>5.8551828713860141</v>
      </c>
      <c r="J7" s="52"/>
      <c r="K7" s="38">
        <f t="shared" si="2"/>
        <v>100</v>
      </c>
      <c r="L7" s="53">
        <f t="shared" si="3"/>
        <v>0.17790676868157018</v>
      </c>
      <c r="M7" s="52"/>
      <c r="N7" s="38">
        <f t="shared" si="4"/>
        <v>195</v>
      </c>
      <c r="O7" s="53">
        <f t="shared" si="5"/>
        <v>5.5047749411640963</v>
      </c>
      <c r="P7" s="52"/>
      <c r="Q7" s="38">
        <f t="shared" si="6"/>
        <v>290</v>
      </c>
      <c r="R7" s="53">
        <f t="shared" si="7"/>
        <v>0.69016889279901583</v>
      </c>
    </row>
    <row r="8" spans="1:21">
      <c r="A8" s="38">
        <v>30</v>
      </c>
      <c r="B8" s="37">
        <v>0.2</v>
      </c>
      <c r="C8" s="44">
        <f t="shared" si="0"/>
        <v>4.4250000000000007</v>
      </c>
      <c r="D8" s="37">
        <v>0.69016889280000004</v>
      </c>
      <c r="E8" s="39">
        <v>0.2016</v>
      </c>
      <c r="F8">
        <f t="shared" si="1"/>
        <v>0.11639381426862856</v>
      </c>
      <c r="H8" s="38">
        <f t="shared" si="8"/>
        <v>10</v>
      </c>
      <c r="I8" s="53">
        <f t="shared" si="9"/>
        <v>5.7220932313184294</v>
      </c>
      <c r="J8" s="52"/>
      <c r="K8" s="38">
        <f t="shared" si="2"/>
        <v>105</v>
      </c>
      <c r="L8" s="53">
        <f t="shared" si="3"/>
        <v>0.39522505883590625</v>
      </c>
      <c r="M8" s="52"/>
      <c r="N8" s="38">
        <f t="shared" si="4"/>
        <v>200</v>
      </c>
      <c r="O8" s="53">
        <f t="shared" si="5"/>
        <v>5.2098311072009862</v>
      </c>
      <c r="P8" s="52"/>
      <c r="Q8" s="38">
        <f t="shared" si="6"/>
        <v>295</v>
      </c>
      <c r="R8" s="53">
        <f t="shared" si="7"/>
        <v>1.0537765514247059</v>
      </c>
    </row>
    <row r="9" spans="1:21">
      <c r="A9" s="38">
        <v>35</v>
      </c>
      <c r="B9" s="37">
        <v>0.4</v>
      </c>
      <c r="C9" s="44">
        <f t="shared" si="0"/>
        <v>3.958959422810723</v>
      </c>
      <c r="D9" s="37">
        <v>1.0537765509999999</v>
      </c>
      <c r="E9" s="39">
        <v>0.20319999999999999</v>
      </c>
      <c r="F9">
        <f t="shared" si="1"/>
        <v>0.11731757469933196</v>
      </c>
      <c r="H9" s="38">
        <f t="shared" si="8"/>
        <v>15</v>
      </c>
      <c r="I9" s="53">
        <f t="shared" si="9"/>
        <v>5.5047749411640945</v>
      </c>
      <c r="J9" s="52"/>
      <c r="K9" s="38">
        <f t="shared" si="2"/>
        <v>110</v>
      </c>
      <c r="L9" s="53">
        <f t="shared" si="3"/>
        <v>0.69016889279901472</v>
      </c>
      <c r="M9" s="52"/>
      <c r="N9" s="38">
        <f t="shared" si="4"/>
        <v>205</v>
      </c>
      <c r="O9" s="53">
        <f t="shared" si="5"/>
        <v>4.8462234485752926</v>
      </c>
      <c r="P9" s="52"/>
      <c r="Q9" s="38">
        <f t="shared" si="6"/>
        <v>300</v>
      </c>
      <c r="R9" s="53">
        <f t="shared" si="7"/>
        <v>1.4750000000000008</v>
      </c>
    </row>
    <row r="10" spans="1:21">
      <c r="A10" s="38">
        <v>40</v>
      </c>
      <c r="B10" s="37">
        <v>0.8</v>
      </c>
      <c r="C10" s="44">
        <f t="shared" si="0"/>
        <v>3.4622621241174447</v>
      </c>
      <c r="D10" s="37">
        <v>1.4750000000000001</v>
      </c>
      <c r="E10" s="39">
        <v>0.2064</v>
      </c>
      <c r="F10">
        <f t="shared" si="1"/>
        <v>0.11916509556073876</v>
      </c>
      <c r="H10" s="38">
        <f t="shared" si="8"/>
        <v>20</v>
      </c>
      <c r="I10" s="53">
        <f t="shared" si="9"/>
        <v>5.2098311072009862</v>
      </c>
      <c r="J10" s="52"/>
      <c r="K10" s="38">
        <f t="shared" si="2"/>
        <v>115</v>
      </c>
      <c r="L10" s="53">
        <f t="shared" si="3"/>
        <v>1.0537765514247084</v>
      </c>
      <c r="M10" s="52"/>
      <c r="N10" s="38">
        <f t="shared" si="4"/>
        <v>210</v>
      </c>
      <c r="O10" s="53">
        <f t="shared" si="5"/>
        <v>4.4249999999999998</v>
      </c>
      <c r="P10" s="52"/>
      <c r="Q10" s="38">
        <f t="shared" si="6"/>
        <v>305</v>
      </c>
      <c r="R10" s="53">
        <f t="shared" si="7"/>
        <v>1.9410405771892769</v>
      </c>
    </row>
    <row r="11" spans="1:21">
      <c r="A11" s="38">
        <v>45</v>
      </c>
      <c r="B11" s="37">
        <v>1.2</v>
      </c>
      <c r="C11" s="44">
        <f t="shared" si="0"/>
        <v>2.9500000000000006</v>
      </c>
      <c r="D11" s="37">
        <v>1.9410405770000001</v>
      </c>
      <c r="E11" s="39">
        <v>0.20960000000000001</v>
      </c>
      <c r="F11">
        <f t="shared" si="1"/>
        <v>0.12101261642214557</v>
      </c>
      <c r="H11" s="38">
        <f t="shared" si="8"/>
        <v>25</v>
      </c>
      <c r="I11" s="53">
        <f t="shared" si="9"/>
        <v>4.8462234485752909</v>
      </c>
      <c r="J11" s="52"/>
      <c r="K11" s="38">
        <f t="shared" si="2"/>
        <v>120</v>
      </c>
      <c r="L11" s="53">
        <f t="shared" si="3"/>
        <v>1.4749999999999988</v>
      </c>
      <c r="M11" s="52"/>
      <c r="N11" s="38">
        <f t="shared" si="4"/>
        <v>215</v>
      </c>
      <c r="O11" s="53">
        <f t="shared" si="5"/>
        <v>3.9589594228107252</v>
      </c>
      <c r="P11" s="52"/>
      <c r="Q11" s="38">
        <f t="shared" si="6"/>
        <v>310</v>
      </c>
      <c r="R11" s="53">
        <f t="shared" si="7"/>
        <v>2.4377378758825552</v>
      </c>
    </row>
    <row r="12" spans="1:21">
      <c r="A12" s="38">
        <v>50</v>
      </c>
      <c r="B12" s="37">
        <v>1.7</v>
      </c>
      <c r="C12" s="44">
        <f t="shared" si="0"/>
        <v>2.4377378758825556</v>
      </c>
      <c r="D12" s="37">
        <v>2.4377378759999999</v>
      </c>
      <c r="E12" s="39">
        <v>0.21360000000000001</v>
      </c>
      <c r="F12">
        <f t="shared" si="1"/>
        <v>0.12332201749890408</v>
      </c>
      <c r="H12" s="38">
        <f t="shared" si="8"/>
        <v>30</v>
      </c>
      <c r="I12" s="53">
        <f t="shared" si="9"/>
        <v>4.4250000000000007</v>
      </c>
      <c r="J12" s="52"/>
      <c r="K12" s="38">
        <f t="shared" si="2"/>
        <v>125</v>
      </c>
      <c r="L12" s="53">
        <f t="shared" si="3"/>
        <v>1.9410405771892756</v>
      </c>
      <c r="M12" s="52"/>
      <c r="N12" s="38">
        <f t="shared" si="4"/>
        <v>220</v>
      </c>
      <c r="O12" s="53">
        <f t="shared" si="5"/>
        <v>3.4622621241174447</v>
      </c>
      <c r="P12" s="52"/>
      <c r="Q12" s="38">
        <f t="shared" si="6"/>
        <v>315</v>
      </c>
      <c r="R12" s="53">
        <f t="shared" si="7"/>
        <v>2.9499999999999988</v>
      </c>
    </row>
    <row r="13" spans="1:21">
      <c r="A13" s="38">
        <v>55</v>
      </c>
      <c r="B13" s="37">
        <v>2.2000000000000002</v>
      </c>
      <c r="C13" s="44">
        <f t="shared" si="0"/>
        <v>1.9410405771892778</v>
      </c>
      <c r="D13" s="37">
        <v>2.95</v>
      </c>
      <c r="E13" s="39">
        <v>0.21759999999999999</v>
      </c>
      <c r="F13">
        <f t="shared" si="1"/>
        <v>0.12563141857566257</v>
      </c>
      <c r="H13" s="38">
        <f t="shared" si="8"/>
        <v>35</v>
      </c>
      <c r="I13" s="53">
        <f t="shared" si="9"/>
        <v>3.958959422810723</v>
      </c>
      <c r="J13" s="52"/>
      <c r="K13" s="38">
        <f t="shared" si="2"/>
        <v>130</v>
      </c>
      <c r="L13" s="53">
        <f t="shared" si="3"/>
        <v>2.4377378758825556</v>
      </c>
      <c r="M13" s="52"/>
      <c r="N13" s="38">
        <f t="shared" si="4"/>
        <v>225</v>
      </c>
      <c r="O13" s="53">
        <f t="shared" si="5"/>
        <v>2.9500000000000015</v>
      </c>
      <c r="P13" s="52"/>
      <c r="Q13" s="38">
        <f t="shared" si="6"/>
        <v>320</v>
      </c>
      <c r="R13" s="53">
        <f t="shared" si="7"/>
        <v>3.4622621241174425</v>
      </c>
    </row>
    <row r="14" spans="1:21">
      <c r="A14" s="38">
        <v>60</v>
      </c>
      <c r="B14" s="37">
        <v>2.8</v>
      </c>
      <c r="C14" s="44">
        <f t="shared" si="0"/>
        <v>1.4750000000000008</v>
      </c>
      <c r="D14" s="37">
        <v>3.462262124</v>
      </c>
      <c r="E14" s="39">
        <v>0.22239999999999999</v>
      </c>
      <c r="F14">
        <f t="shared" si="1"/>
        <v>0.12840269986777278</v>
      </c>
      <c r="H14" s="38">
        <f t="shared" si="8"/>
        <v>40</v>
      </c>
      <c r="I14" s="53">
        <f t="shared" si="9"/>
        <v>3.4622621241174447</v>
      </c>
      <c r="J14" s="52"/>
      <c r="K14" s="38">
        <f t="shared" si="2"/>
        <v>135</v>
      </c>
      <c r="L14" s="53">
        <f t="shared" si="3"/>
        <v>2.9499999999999997</v>
      </c>
      <c r="M14" s="52"/>
      <c r="N14" s="38">
        <f t="shared" si="4"/>
        <v>230</v>
      </c>
      <c r="O14" s="53">
        <f t="shared" si="5"/>
        <v>2.4377378758825565</v>
      </c>
      <c r="P14" s="52"/>
      <c r="Q14" s="38">
        <f t="shared" si="6"/>
        <v>325</v>
      </c>
      <c r="R14" s="53">
        <f t="shared" si="7"/>
        <v>3.9589594228107208</v>
      </c>
    </row>
    <row r="15" spans="1:21">
      <c r="A15" s="38">
        <v>65</v>
      </c>
      <c r="B15" s="37">
        <v>3.4</v>
      </c>
      <c r="C15" s="44">
        <f t="shared" si="0"/>
        <v>1.0537765514247091</v>
      </c>
      <c r="D15" s="37">
        <v>3.958959423</v>
      </c>
      <c r="E15" s="39">
        <v>0.22720000000000001</v>
      </c>
      <c r="F15">
        <f t="shared" si="1"/>
        <v>0.13117398115988299</v>
      </c>
      <c r="H15" s="38">
        <f t="shared" si="8"/>
        <v>45</v>
      </c>
      <c r="I15" s="53">
        <f t="shared" si="9"/>
        <v>2.9500000000000006</v>
      </c>
      <c r="J15" s="52"/>
      <c r="K15" s="38">
        <f t="shared" si="2"/>
        <v>140</v>
      </c>
      <c r="L15" s="53">
        <f t="shared" si="3"/>
        <v>3.4622621241174434</v>
      </c>
      <c r="M15" s="52"/>
      <c r="N15" s="38">
        <f t="shared" si="4"/>
        <v>235</v>
      </c>
      <c r="O15" s="53">
        <f t="shared" si="5"/>
        <v>1.9410405771892791</v>
      </c>
      <c r="P15" s="52"/>
      <c r="Q15" s="38">
        <f t="shared" si="6"/>
        <v>330</v>
      </c>
      <c r="R15" s="53">
        <f t="shared" si="7"/>
        <v>4.424999999999998</v>
      </c>
    </row>
    <row r="16" spans="1:21">
      <c r="A16" s="38">
        <v>70</v>
      </c>
      <c r="B16" s="37">
        <v>4</v>
      </c>
      <c r="C16" s="44">
        <f t="shared" si="0"/>
        <v>0.69016889279901528</v>
      </c>
      <c r="D16" s="37">
        <v>4.4249999999999998</v>
      </c>
      <c r="E16" s="39">
        <v>0.23200000000000001</v>
      </c>
      <c r="F16">
        <f t="shared" si="1"/>
        <v>0.1339452624519932</v>
      </c>
      <c r="H16" s="38">
        <f t="shared" si="8"/>
        <v>50</v>
      </c>
      <c r="I16" s="53">
        <f t="shared" si="9"/>
        <v>2.4377378758825556</v>
      </c>
      <c r="J16" s="52"/>
      <c r="K16" s="38">
        <f t="shared" si="2"/>
        <v>145</v>
      </c>
      <c r="L16" s="53">
        <f t="shared" si="3"/>
        <v>3.9589594228107239</v>
      </c>
      <c r="M16" s="52"/>
      <c r="N16" s="38">
        <f t="shared" si="4"/>
        <v>240</v>
      </c>
      <c r="O16" s="53">
        <f t="shared" si="5"/>
        <v>1.4750000000000028</v>
      </c>
      <c r="P16" s="52"/>
      <c r="Q16" s="38">
        <f t="shared" si="6"/>
        <v>335</v>
      </c>
      <c r="R16" s="53">
        <f t="shared" si="7"/>
        <v>4.8462234485752926</v>
      </c>
    </row>
    <row r="17" spans="1:18">
      <c r="A17" s="38">
        <v>75</v>
      </c>
      <c r="B17" s="37">
        <v>4.5999999999999996</v>
      </c>
      <c r="C17" s="44">
        <f t="shared" si="0"/>
        <v>0.39522505883590592</v>
      </c>
      <c r="D17" s="37">
        <v>4.846223449</v>
      </c>
      <c r="E17" s="39">
        <v>0.23680000000000001</v>
      </c>
      <c r="F17">
        <f t="shared" si="1"/>
        <v>0.13671654374410339</v>
      </c>
      <c r="H17" s="38">
        <f t="shared" si="8"/>
        <v>55</v>
      </c>
      <c r="I17" s="53">
        <f t="shared" si="9"/>
        <v>1.9410405771892778</v>
      </c>
      <c r="J17" s="52"/>
      <c r="K17" s="38">
        <f t="shared" si="2"/>
        <v>150</v>
      </c>
      <c r="L17" s="53">
        <f t="shared" si="3"/>
        <v>4.4250000000000007</v>
      </c>
      <c r="M17" s="52"/>
      <c r="N17" s="38">
        <f t="shared" si="4"/>
        <v>245</v>
      </c>
      <c r="O17" s="53">
        <f t="shared" si="5"/>
        <v>1.0537765514247077</v>
      </c>
      <c r="P17" s="52"/>
      <c r="Q17" s="38">
        <f t="shared" si="6"/>
        <v>340</v>
      </c>
      <c r="R17" s="53">
        <f t="shared" si="7"/>
        <v>5.2098311072009826</v>
      </c>
    </row>
    <row r="18" spans="1:18">
      <c r="A18" s="38">
        <v>80</v>
      </c>
      <c r="B18" s="37">
        <v>5</v>
      </c>
      <c r="C18" s="44">
        <f t="shared" si="0"/>
        <v>0.1779067686815704</v>
      </c>
      <c r="D18" s="37">
        <v>5.2098311070000003</v>
      </c>
      <c r="E18" s="39">
        <v>0.24</v>
      </c>
      <c r="F18">
        <f t="shared" si="1"/>
        <v>0.13856406460551018</v>
      </c>
      <c r="H18" s="38">
        <f t="shared" si="8"/>
        <v>60</v>
      </c>
      <c r="I18" s="53">
        <f t="shared" si="9"/>
        <v>1.4750000000000008</v>
      </c>
      <c r="J18" s="52"/>
      <c r="K18" s="38">
        <f t="shared" si="2"/>
        <v>155</v>
      </c>
      <c r="L18" s="53">
        <f t="shared" si="3"/>
        <v>4.8462234485752909</v>
      </c>
      <c r="M18" s="52"/>
      <c r="N18" s="38">
        <f t="shared" si="4"/>
        <v>250</v>
      </c>
      <c r="O18" s="53">
        <f t="shared" si="5"/>
        <v>0.69016889279901739</v>
      </c>
      <c r="P18" s="52"/>
      <c r="Q18" s="38">
        <f t="shared" si="6"/>
        <v>345</v>
      </c>
      <c r="R18" s="53">
        <f t="shared" si="7"/>
        <v>5.5047749411640945</v>
      </c>
    </row>
    <row r="19" spans="1:18">
      <c r="A19" s="38">
        <v>85</v>
      </c>
      <c r="B19" s="37">
        <v>5.4</v>
      </c>
      <c r="C19" s="44">
        <f t="shared" si="0"/>
        <v>4.4817128613986422E-2</v>
      </c>
      <c r="D19" s="37">
        <v>5.504774941</v>
      </c>
      <c r="E19" s="39">
        <v>0.2432</v>
      </c>
      <c r="F19">
        <f t="shared" si="1"/>
        <v>0.14041158546691698</v>
      </c>
      <c r="H19" s="38">
        <f t="shared" si="8"/>
        <v>65</v>
      </c>
      <c r="I19" s="53">
        <f t="shared" si="9"/>
        <v>1.0537765514247091</v>
      </c>
      <c r="J19" s="52"/>
      <c r="K19" s="38">
        <f t="shared" si="2"/>
        <v>160</v>
      </c>
      <c r="L19" s="53">
        <f t="shared" si="3"/>
        <v>5.2098311072009844</v>
      </c>
      <c r="M19" s="52"/>
      <c r="N19" s="38">
        <f t="shared" si="4"/>
        <v>255</v>
      </c>
      <c r="O19" s="53">
        <f t="shared" si="5"/>
        <v>0.39522505883590558</v>
      </c>
      <c r="P19" s="52"/>
      <c r="Q19" s="38">
        <f t="shared" si="6"/>
        <v>350</v>
      </c>
      <c r="R19" s="53">
        <f t="shared" si="7"/>
        <v>5.7220932313184294</v>
      </c>
    </row>
    <row r="20" spans="1:18">
      <c r="A20" s="38">
        <v>90</v>
      </c>
      <c r="B20" s="37">
        <v>5.7</v>
      </c>
      <c r="C20" s="44">
        <f t="shared" si="0"/>
        <v>2.2139583864333439E-32</v>
      </c>
      <c r="D20" s="37">
        <v>5.7220932309999997</v>
      </c>
      <c r="E20" s="39">
        <v>0.24560000000000001</v>
      </c>
      <c r="F20">
        <f t="shared" si="1"/>
        <v>0.1417972261129721</v>
      </c>
      <c r="H20" s="38">
        <f t="shared" si="8"/>
        <v>70</v>
      </c>
      <c r="I20" s="53">
        <f t="shared" si="9"/>
        <v>0.69016889279901528</v>
      </c>
      <c r="J20" s="52"/>
      <c r="K20" s="38">
        <f t="shared" si="2"/>
        <v>165</v>
      </c>
      <c r="L20" s="53">
        <f t="shared" si="3"/>
        <v>5.5047749411640936</v>
      </c>
      <c r="M20" s="52"/>
      <c r="N20" s="38">
        <f t="shared" si="4"/>
        <v>260</v>
      </c>
      <c r="O20" s="53">
        <f t="shared" si="5"/>
        <v>0.17790676868157024</v>
      </c>
      <c r="P20" s="52"/>
      <c r="Q20" s="38">
        <f t="shared" si="6"/>
        <v>355</v>
      </c>
      <c r="R20" s="53">
        <f t="shared" si="7"/>
        <v>5.8551828713860141</v>
      </c>
    </row>
    <row r="21" spans="1:18" ht="15" thickBot="1">
      <c r="A21" s="38">
        <v>95</v>
      </c>
      <c r="B21" s="37">
        <v>5.9</v>
      </c>
      <c r="C21" s="44">
        <f t="shared" si="0"/>
        <v>4.481712861398629E-2</v>
      </c>
      <c r="D21" s="37">
        <v>5.8551828710000002</v>
      </c>
      <c r="E21" s="39">
        <v>0.2472</v>
      </c>
      <c r="F21">
        <f t="shared" si="1"/>
        <v>0.14272098654367549</v>
      </c>
      <c r="H21" s="38">
        <f t="shared" si="8"/>
        <v>75</v>
      </c>
      <c r="I21" s="53">
        <f t="shared" si="9"/>
        <v>0.39522505883590592</v>
      </c>
      <c r="J21" s="52"/>
      <c r="K21" s="38">
        <f t="shared" si="2"/>
        <v>170</v>
      </c>
      <c r="L21" s="53">
        <f t="shared" si="3"/>
        <v>5.7220932313184294</v>
      </c>
      <c r="M21" s="52"/>
      <c r="N21" s="38">
        <f t="shared" si="4"/>
        <v>265</v>
      </c>
      <c r="O21" s="53">
        <f t="shared" si="5"/>
        <v>4.4817128613986304E-2</v>
      </c>
      <c r="P21" s="52"/>
      <c r="Q21" s="40">
        <f t="shared" si="6"/>
        <v>360</v>
      </c>
      <c r="R21" s="54">
        <f t="shared" si="7"/>
        <v>5.9</v>
      </c>
    </row>
    <row r="22" spans="1:18">
      <c r="A22" s="38">
        <v>100</v>
      </c>
      <c r="B22" s="37">
        <v>5.9</v>
      </c>
      <c r="C22" s="44">
        <f t="shared" si="0"/>
        <v>0.17790676868157018</v>
      </c>
      <c r="D22" s="37">
        <v>5.9</v>
      </c>
      <c r="E22" s="39">
        <v>0.2472</v>
      </c>
      <c r="F22">
        <f t="shared" si="1"/>
        <v>0.14272098654367549</v>
      </c>
      <c r="H22" s="38">
        <f t="shared" si="8"/>
        <v>80</v>
      </c>
      <c r="I22" s="53">
        <f t="shared" si="9"/>
        <v>0.1779067686815704</v>
      </c>
      <c r="J22" s="52"/>
      <c r="K22" s="38">
        <f t="shared" si="2"/>
        <v>175</v>
      </c>
      <c r="L22" s="53">
        <f t="shared" si="3"/>
        <v>5.8551828713860141</v>
      </c>
      <c r="M22" s="52"/>
      <c r="N22" s="38">
        <f t="shared" si="4"/>
        <v>270</v>
      </c>
      <c r="O22" s="53">
        <f t="shared" si="5"/>
        <v>1.9925625477900095E-31</v>
      </c>
      <c r="P22" s="52"/>
      <c r="Q22" s="52"/>
      <c r="R22" s="52"/>
    </row>
    <row r="23" spans="1:18">
      <c r="A23" s="38">
        <v>105</v>
      </c>
      <c r="B23" s="37">
        <v>5.8</v>
      </c>
      <c r="C23" s="44">
        <f t="shared" si="0"/>
        <v>0.39522505883590625</v>
      </c>
      <c r="D23" s="37">
        <v>5.8551828710000002</v>
      </c>
      <c r="E23" s="39">
        <v>0.24640000000000001</v>
      </c>
      <c r="F23">
        <f t="shared" si="1"/>
        <v>0.14225910632832381</v>
      </c>
      <c r="H23" s="38">
        <f t="shared" si="8"/>
        <v>85</v>
      </c>
      <c r="I23" s="53">
        <f t="shared" si="9"/>
        <v>4.4817128613986422E-2</v>
      </c>
      <c r="J23" s="52"/>
      <c r="K23" s="38">
        <f t="shared" si="2"/>
        <v>180</v>
      </c>
      <c r="L23" s="53">
        <f t="shared" si="3"/>
        <v>5.9</v>
      </c>
      <c r="M23" s="52"/>
      <c r="N23" s="38">
        <f t="shared" si="4"/>
        <v>275</v>
      </c>
      <c r="O23" s="53">
        <f t="shared" si="5"/>
        <v>4.4817128613985936E-2</v>
      </c>
      <c r="P23" s="52"/>
      <c r="Q23" s="52"/>
      <c r="R23" s="52"/>
    </row>
    <row r="24" spans="1:18" ht="15" thickBot="1">
      <c r="A24" s="38">
        <v>110</v>
      </c>
      <c r="B24" s="37">
        <v>5.6</v>
      </c>
      <c r="C24" s="44">
        <f t="shared" si="0"/>
        <v>0.69016889279901472</v>
      </c>
      <c r="D24" s="37">
        <v>5.7220932309999997</v>
      </c>
      <c r="E24" s="39">
        <v>0.24479999999999999</v>
      </c>
      <c r="F24">
        <f t="shared" si="1"/>
        <v>0.1413353458976204</v>
      </c>
      <c r="H24" s="40">
        <f t="shared" si="8"/>
        <v>90</v>
      </c>
      <c r="I24" s="54">
        <f t="shared" si="9"/>
        <v>2.2139583864333439E-32</v>
      </c>
      <c r="J24" s="52"/>
      <c r="K24" s="40">
        <f t="shared" si="2"/>
        <v>185</v>
      </c>
      <c r="L24" s="54">
        <f t="shared" si="3"/>
        <v>5.8551828713860141</v>
      </c>
      <c r="M24" s="52"/>
      <c r="N24" s="40">
        <f t="shared" si="4"/>
        <v>280</v>
      </c>
      <c r="O24" s="54">
        <f t="shared" si="5"/>
        <v>0.17790676868156949</v>
      </c>
      <c r="P24" s="52"/>
      <c r="Q24" s="52"/>
      <c r="R24" s="52"/>
    </row>
    <row r="25" spans="1:18">
      <c r="A25" s="38">
        <v>115</v>
      </c>
      <c r="B25" s="37">
        <v>5.4</v>
      </c>
      <c r="C25" s="44">
        <f t="shared" si="0"/>
        <v>1.0537765514247084</v>
      </c>
      <c r="D25" s="37">
        <v>5.504774941</v>
      </c>
      <c r="E25" s="39">
        <v>0.2432</v>
      </c>
      <c r="F25">
        <f t="shared" si="1"/>
        <v>0.14041158546691698</v>
      </c>
    </row>
    <row r="26" spans="1:18">
      <c r="A26" s="38">
        <v>120</v>
      </c>
      <c r="B26" s="37">
        <v>5</v>
      </c>
      <c r="C26" s="44">
        <f t="shared" si="0"/>
        <v>1.4749999999999988</v>
      </c>
      <c r="D26" s="37">
        <v>5.2098311070000003</v>
      </c>
      <c r="E26" s="39">
        <v>0.24</v>
      </c>
      <c r="F26">
        <f t="shared" si="1"/>
        <v>0.13856406460551018</v>
      </c>
      <c r="H26" s="83">
        <v>0</v>
      </c>
      <c r="I26" t="str">
        <f xml:space="preserve"> H26 &amp; "°"</f>
        <v>0°</v>
      </c>
      <c r="J26">
        <v>0</v>
      </c>
    </row>
    <row r="27" spans="1:18">
      <c r="A27" s="38">
        <v>125</v>
      </c>
      <c r="B27" s="37">
        <v>4.5</v>
      </c>
      <c r="C27" s="44">
        <f t="shared" si="0"/>
        <v>1.9410405771892756</v>
      </c>
      <c r="D27" s="37">
        <v>4.846223449</v>
      </c>
      <c r="E27" s="39">
        <v>0.23599999999999999</v>
      </c>
      <c r="F27">
        <f t="shared" si="1"/>
        <v>0.13625466352875168</v>
      </c>
      <c r="H27" s="83">
        <v>30</v>
      </c>
      <c r="I27" t="str">
        <f t="shared" ref="I27:I37" si="10" xml:space="preserve"> H27 &amp; "°"</f>
        <v>30°</v>
      </c>
      <c r="J27">
        <v>1</v>
      </c>
    </row>
    <row r="28" spans="1:18">
      <c r="A28" s="38">
        <v>130</v>
      </c>
      <c r="B28" s="37">
        <v>4</v>
      </c>
      <c r="C28" s="44">
        <f t="shared" si="0"/>
        <v>2.4377378758825556</v>
      </c>
      <c r="D28" s="37">
        <v>4.4249999999999998</v>
      </c>
      <c r="E28" s="39">
        <v>0.23200000000000001</v>
      </c>
      <c r="F28">
        <f t="shared" si="1"/>
        <v>0.1339452624519932</v>
      </c>
      <c r="H28" s="83">
        <v>60</v>
      </c>
      <c r="I28" t="str">
        <f t="shared" si="10"/>
        <v>60°</v>
      </c>
      <c r="J28">
        <v>1</v>
      </c>
    </row>
    <row r="29" spans="1:18">
      <c r="A29" s="38">
        <v>135</v>
      </c>
      <c r="B29" s="37">
        <v>3.4</v>
      </c>
      <c r="C29" s="44">
        <f t="shared" si="0"/>
        <v>2.9499999999999997</v>
      </c>
      <c r="D29" s="37">
        <v>3.958959423</v>
      </c>
      <c r="E29" s="39">
        <v>0.22720000000000001</v>
      </c>
      <c r="F29">
        <f t="shared" si="1"/>
        <v>0.13117398115988299</v>
      </c>
      <c r="H29" s="83">
        <v>90</v>
      </c>
      <c r="I29" t="str">
        <f t="shared" si="10"/>
        <v>90°</v>
      </c>
      <c r="J29">
        <v>1</v>
      </c>
    </row>
    <row r="30" spans="1:18">
      <c r="A30" s="38">
        <v>140</v>
      </c>
      <c r="B30" s="37">
        <v>2.9</v>
      </c>
      <c r="C30" s="44">
        <f t="shared" si="0"/>
        <v>3.4622621241174434</v>
      </c>
      <c r="D30" s="37">
        <v>3.462262124</v>
      </c>
      <c r="E30" s="39">
        <v>0.22320000000000001</v>
      </c>
      <c r="F30">
        <f t="shared" si="1"/>
        <v>0.12886458008312449</v>
      </c>
      <c r="H30" s="83">
        <v>120</v>
      </c>
      <c r="I30" t="str">
        <f t="shared" si="10"/>
        <v>120°</v>
      </c>
      <c r="J30">
        <v>6</v>
      </c>
    </row>
    <row r="31" spans="1:18">
      <c r="A31" s="38">
        <v>145</v>
      </c>
      <c r="B31" s="37">
        <v>2.2999999999999998</v>
      </c>
      <c r="C31" s="44">
        <f t="shared" si="0"/>
        <v>3.9589594228107239</v>
      </c>
      <c r="D31" s="37">
        <v>2.95</v>
      </c>
      <c r="E31" s="39">
        <v>0.21840000000000001</v>
      </c>
      <c r="F31">
        <f t="shared" si="1"/>
        <v>0.12609329879101427</v>
      </c>
      <c r="H31" s="83">
        <v>150</v>
      </c>
      <c r="I31" t="str">
        <f t="shared" si="10"/>
        <v>150°</v>
      </c>
      <c r="J31">
        <v>6</v>
      </c>
    </row>
    <row r="32" spans="1:18">
      <c r="A32" s="38">
        <v>150</v>
      </c>
      <c r="B32" s="37">
        <v>1.8</v>
      </c>
      <c r="C32" s="44">
        <f t="shared" si="0"/>
        <v>4.4250000000000007</v>
      </c>
      <c r="D32" s="37">
        <v>2.4377378759999999</v>
      </c>
      <c r="E32" s="39">
        <v>0.21440000000000001</v>
      </c>
      <c r="F32">
        <f t="shared" si="1"/>
        <v>0.12378389771425577</v>
      </c>
      <c r="H32" s="83">
        <v>180</v>
      </c>
      <c r="I32" t="str">
        <f t="shared" si="10"/>
        <v>180°</v>
      </c>
      <c r="J32">
        <v>6</v>
      </c>
    </row>
    <row r="33" spans="1:10">
      <c r="A33" s="38">
        <v>155</v>
      </c>
      <c r="B33" s="37">
        <v>1.3</v>
      </c>
      <c r="C33" s="44">
        <f t="shared" si="0"/>
        <v>4.8462234485752909</v>
      </c>
      <c r="D33" s="37">
        <v>1.9410405770000001</v>
      </c>
      <c r="E33" s="39">
        <v>0.2104</v>
      </c>
      <c r="F33">
        <f t="shared" si="1"/>
        <v>0.12147449663749726</v>
      </c>
      <c r="H33" s="83">
        <v>210</v>
      </c>
      <c r="I33" t="str">
        <f t="shared" si="10"/>
        <v>210°</v>
      </c>
      <c r="J33">
        <v>6</v>
      </c>
    </row>
    <row r="34" spans="1:10">
      <c r="A34" s="38">
        <v>160</v>
      </c>
      <c r="B34" s="37">
        <v>0.9</v>
      </c>
      <c r="C34" s="44">
        <f t="shared" si="0"/>
        <v>5.2098311072009844</v>
      </c>
      <c r="D34" s="37">
        <v>1.4750000000000001</v>
      </c>
      <c r="E34" s="39">
        <v>0.2072</v>
      </c>
      <c r="F34">
        <f t="shared" si="1"/>
        <v>0.11962697577609047</v>
      </c>
      <c r="H34" s="83">
        <v>240</v>
      </c>
      <c r="I34" t="str">
        <f t="shared" si="10"/>
        <v>240°</v>
      </c>
      <c r="J34">
        <v>6</v>
      </c>
    </row>
    <row r="35" spans="1:10">
      <c r="A35" s="38">
        <v>165</v>
      </c>
      <c r="B35" s="37">
        <v>0.6</v>
      </c>
      <c r="C35" s="44">
        <f t="shared" si="0"/>
        <v>5.5047749411640936</v>
      </c>
      <c r="D35" s="37">
        <v>1.0537765509999999</v>
      </c>
      <c r="E35" s="39">
        <v>0.20480000000000001</v>
      </c>
      <c r="F35">
        <f t="shared" si="1"/>
        <v>0.11824133513003537</v>
      </c>
      <c r="H35" s="83">
        <v>270</v>
      </c>
      <c r="I35" t="str">
        <f t="shared" si="10"/>
        <v>270°</v>
      </c>
      <c r="J35">
        <v>6</v>
      </c>
    </row>
    <row r="36" spans="1:10">
      <c r="A36" s="38">
        <v>170</v>
      </c>
      <c r="B36" s="37">
        <v>0.3</v>
      </c>
      <c r="C36" s="44">
        <f t="shared" si="0"/>
        <v>5.7220932313184294</v>
      </c>
      <c r="D36" s="37">
        <v>0.69016889280000004</v>
      </c>
      <c r="E36" s="39">
        <v>0.2024</v>
      </c>
      <c r="F36">
        <f t="shared" si="1"/>
        <v>0.11685569448398025</v>
      </c>
      <c r="H36" s="83">
        <v>300</v>
      </c>
      <c r="I36" t="str">
        <f t="shared" si="10"/>
        <v>300°</v>
      </c>
      <c r="J36">
        <v>6</v>
      </c>
    </row>
    <row r="37" spans="1:10">
      <c r="A37" s="38">
        <v>175</v>
      </c>
      <c r="B37" s="37">
        <v>0.1</v>
      </c>
      <c r="C37" s="44">
        <f t="shared" si="0"/>
        <v>5.8551828713860141</v>
      </c>
      <c r="D37" s="37">
        <v>0.39522505879999997</v>
      </c>
      <c r="E37" s="39">
        <v>0.20080000000000001</v>
      </c>
      <c r="F37">
        <f t="shared" si="1"/>
        <v>0.11593193405327687</v>
      </c>
      <c r="H37" s="83">
        <v>330</v>
      </c>
      <c r="I37" t="str">
        <f t="shared" si="10"/>
        <v>330°</v>
      </c>
      <c r="J37">
        <v>6</v>
      </c>
    </row>
    <row r="38" spans="1:10">
      <c r="A38" s="38">
        <v>180</v>
      </c>
      <c r="B38" s="37">
        <v>0</v>
      </c>
      <c r="C38" s="44">
        <f t="shared" si="0"/>
        <v>5.9</v>
      </c>
      <c r="D38" s="37">
        <v>0.1779067687</v>
      </c>
      <c r="E38" s="39">
        <v>0.2</v>
      </c>
      <c r="F38">
        <f t="shared" si="1"/>
        <v>0.11547005383792516</v>
      </c>
    </row>
    <row r="39" spans="1:10">
      <c r="A39" s="38">
        <v>185</v>
      </c>
      <c r="B39" s="37">
        <v>0</v>
      </c>
      <c r="C39" s="44">
        <f t="shared" si="0"/>
        <v>5.8551828713860141</v>
      </c>
      <c r="D39" s="37">
        <v>4.481712861E-2</v>
      </c>
      <c r="E39" s="39">
        <v>0.2</v>
      </c>
      <c r="F39">
        <f t="shared" si="1"/>
        <v>0.11547005383792516</v>
      </c>
    </row>
    <row r="40" spans="1:10">
      <c r="A40" s="38">
        <v>190</v>
      </c>
      <c r="B40" s="37">
        <v>0</v>
      </c>
      <c r="C40" s="44">
        <f t="shared" si="0"/>
        <v>5.7220932313184294</v>
      </c>
      <c r="D40" s="37">
        <v>0</v>
      </c>
      <c r="E40" s="39">
        <v>0.2</v>
      </c>
      <c r="F40">
        <f t="shared" si="1"/>
        <v>0.11547005383792516</v>
      </c>
    </row>
    <row r="41" spans="1:10">
      <c r="A41" s="38">
        <v>195</v>
      </c>
      <c r="B41" s="37">
        <v>0</v>
      </c>
      <c r="C41" s="44">
        <f t="shared" si="0"/>
        <v>5.5047749411640963</v>
      </c>
      <c r="D41" s="37">
        <v>4.481712861E-2</v>
      </c>
      <c r="E41" s="39">
        <v>0.2</v>
      </c>
      <c r="F41">
        <f t="shared" si="1"/>
        <v>0.11547005383792516</v>
      </c>
    </row>
    <row r="42" spans="1:10">
      <c r="A42" s="38">
        <v>200</v>
      </c>
      <c r="B42" s="37">
        <v>0</v>
      </c>
      <c r="C42" s="44">
        <f t="shared" si="0"/>
        <v>5.2098311072009862</v>
      </c>
      <c r="D42" s="37">
        <v>0.1779067687</v>
      </c>
      <c r="E42" s="39">
        <v>0.2</v>
      </c>
      <c r="F42">
        <f t="shared" si="1"/>
        <v>0.11547005383792516</v>
      </c>
    </row>
    <row r="43" spans="1:10">
      <c r="A43" s="38">
        <v>205</v>
      </c>
      <c r="B43" s="37">
        <v>0</v>
      </c>
      <c r="C43" s="44">
        <f t="shared" si="0"/>
        <v>4.8462234485752926</v>
      </c>
      <c r="D43" s="37">
        <v>0.39522505879999997</v>
      </c>
      <c r="E43" s="39">
        <v>0.2</v>
      </c>
      <c r="F43">
        <f t="shared" si="1"/>
        <v>0.11547005383792516</v>
      </c>
    </row>
    <row r="44" spans="1:10">
      <c r="A44" s="38">
        <v>210</v>
      </c>
      <c r="B44" s="37">
        <v>0.1</v>
      </c>
      <c r="C44" s="44">
        <f t="shared" si="0"/>
        <v>4.4249999999999998</v>
      </c>
      <c r="D44" s="37">
        <v>0.69016889280000004</v>
      </c>
      <c r="E44" s="39">
        <v>0.20080000000000001</v>
      </c>
      <c r="F44">
        <f t="shared" si="1"/>
        <v>0.11593193405327687</v>
      </c>
    </row>
    <row r="45" spans="1:10">
      <c r="A45" s="38">
        <v>215</v>
      </c>
      <c r="B45" s="37">
        <v>0.4</v>
      </c>
      <c r="C45" s="44">
        <f t="shared" si="0"/>
        <v>3.9589594228107252</v>
      </c>
      <c r="D45" s="37">
        <v>1.0537765509999999</v>
      </c>
      <c r="E45" s="39">
        <v>0.20319999999999999</v>
      </c>
      <c r="F45">
        <f t="shared" si="1"/>
        <v>0.11731757469933196</v>
      </c>
    </row>
    <row r="46" spans="1:10">
      <c r="A46" s="38">
        <v>220</v>
      </c>
      <c r="B46" s="37">
        <v>0.7</v>
      </c>
      <c r="C46" s="44">
        <f t="shared" si="0"/>
        <v>3.4622621241174447</v>
      </c>
      <c r="D46" s="37">
        <v>1.4750000000000001</v>
      </c>
      <c r="E46" s="39">
        <v>0.2056</v>
      </c>
      <c r="F46">
        <f t="shared" si="1"/>
        <v>0.11870321534538707</v>
      </c>
    </row>
    <row r="47" spans="1:10">
      <c r="A47" s="38">
        <v>225</v>
      </c>
      <c r="B47" s="37">
        <v>1.1000000000000001</v>
      </c>
      <c r="C47" s="44">
        <f t="shared" si="0"/>
        <v>2.9500000000000015</v>
      </c>
      <c r="D47" s="37">
        <v>1.9410405770000001</v>
      </c>
      <c r="E47" s="39">
        <v>0.20880000000000001</v>
      </c>
      <c r="F47">
        <f t="shared" si="1"/>
        <v>0.12055073620679388</v>
      </c>
    </row>
    <row r="48" spans="1:10">
      <c r="A48" s="38">
        <v>230</v>
      </c>
      <c r="B48" s="37">
        <v>1.6</v>
      </c>
      <c r="C48" s="44">
        <f t="shared" si="0"/>
        <v>2.4377378758825565</v>
      </c>
      <c r="D48" s="37">
        <v>2.4377378759999999</v>
      </c>
      <c r="E48" s="39">
        <v>0.21279999999999999</v>
      </c>
      <c r="F48">
        <f t="shared" si="1"/>
        <v>0.12286013728355237</v>
      </c>
    </row>
    <row r="49" spans="1:6">
      <c r="A49" s="38">
        <v>235</v>
      </c>
      <c r="B49" s="37">
        <v>2.1</v>
      </c>
      <c r="C49" s="44">
        <f t="shared" si="0"/>
        <v>1.9410405771892791</v>
      </c>
      <c r="D49" s="37">
        <v>2.95</v>
      </c>
      <c r="E49" s="39">
        <v>0.21679999999999999</v>
      </c>
      <c r="F49">
        <f t="shared" si="1"/>
        <v>0.12516953836031086</v>
      </c>
    </row>
    <row r="50" spans="1:6">
      <c r="A50" s="38">
        <v>240</v>
      </c>
      <c r="B50" s="37">
        <v>2.7</v>
      </c>
      <c r="C50" s="44">
        <f t="shared" si="0"/>
        <v>1.4750000000000028</v>
      </c>
      <c r="D50" s="37">
        <v>3.462262124</v>
      </c>
      <c r="E50" s="39">
        <v>0.22159999999999999</v>
      </c>
      <c r="F50">
        <f t="shared" si="1"/>
        <v>0.12794081965242107</v>
      </c>
    </row>
    <row r="51" spans="1:6">
      <c r="A51" s="38">
        <v>245</v>
      </c>
      <c r="B51" s="37">
        <v>3.2</v>
      </c>
      <c r="C51" s="44">
        <f t="shared" si="0"/>
        <v>1.0537765514247077</v>
      </c>
      <c r="D51" s="37">
        <v>3.958959423</v>
      </c>
      <c r="E51" s="39">
        <v>0.22559999999999999</v>
      </c>
      <c r="F51">
        <f t="shared" si="1"/>
        <v>0.13025022072917958</v>
      </c>
    </row>
    <row r="52" spans="1:6">
      <c r="A52" s="38">
        <v>250</v>
      </c>
      <c r="B52" s="37">
        <v>3.8</v>
      </c>
      <c r="C52" s="44">
        <f t="shared" si="0"/>
        <v>0.69016889279901739</v>
      </c>
      <c r="D52" s="37">
        <v>4.4249999999999998</v>
      </c>
      <c r="E52" s="39">
        <v>0.23039999999999999</v>
      </c>
      <c r="F52">
        <f t="shared" si="1"/>
        <v>0.13302150202128979</v>
      </c>
    </row>
    <row r="53" spans="1:6">
      <c r="A53" s="38">
        <v>255</v>
      </c>
      <c r="B53" s="37">
        <v>4.3</v>
      </c>
      <c r="C53" s="44">
        <f t="shared" si="0"/>
        <v>0.39522505883590558</v>
      </c>
      <c r="D53" s="37">
        <v>4.846223449</v>
      </c>
      <c r="E53" s="39">
        <v>0.2344</v>
      </c>
      <c r="F53">
        <f t="shared" si="1"/>
        <v>0.13533090309804829</v>
      </c>
    </row>
    <row r="54" spans="1:6">
      <c r="A54" s="38">
        <v>260</v>
      </c>
      <c r="B54" s="37">
        <v>4.8</v>
      </c>
      <c r="C54" s="44">
        <f t="shared" si="0"/>
        <v>0.17790676868157024</v>
      </c>
      <c r="D54" s="37">
        <v>5.2098311070000003</v>
      </c>
      <c r="E54" s="39">
        <v>0.2384</v>
      </c>
      <c r="F54">
        <f t="shared" si="1"/>
        <v>0.1376403041748068</v>
      </c>
    </row>
    <row r="55" spans="1:6">
      <c r="A55" s="38">
        <v>265</v>
      </c>
      <c r="B55" s="37">
        <v>5.2</v>
      </c>
      <c r="C55" s="44">
        <f t="shared" si="0"/>
        <v>4.4817128613986304E-2</v>
      </c>
      <c r="D55" s="37">
        <v>5.504774941</v>
      </c>
      <c r="E55" s="39">
        <v>0.24160000000000001</v>
      </c>
      <c r="F55">
        <f t="shared" si="1"/>
        <v>0.1394878250362136</v>
      </c>
    </row>
    <row r="56" spans="1:6">
      <c r="A56" s="38">
        <v>270</v>
      </c>
      <c r="B56" s="37">
        <v>5.4</v>
      </c>
      <c r="C56" s="44">
        <f t="shared" si="0"/>
        <v>1.9925625477900095E-31</v>
      </c>
      <c r="D56" s="37">
        <v>5.7220932309999997</v>
      </c>
      <c r="E56" s="39">
        <v>0.2432</v>
      </c>
      <c r="F56">
        <f t="shared" si="1"/>
        <v>0.14041158546691698</v>
      </c>
    </row>
    <row r="57" spans="1:6">
      <c r="A57" s="38">
        <v>275</v>
      </c>
      <c r="B57" s="37">
        <v>5.7</v>
      </c>
      <c r="C57" s="44">
        <f t="shared" si="0"/>
        <v>4.4817128613985936E-2</v>
      </c>
      <c r="D57" s="37">
        <v>5.8551828710000002</v>
      </c>
      <c r="E57" s="39">
        <v>0.24560000000000001</v>
      </c>
      <c r="F57">
        <f t="shared" si="1"/>
        <v>0.1417972261129721</v>
      </c>
    </row>
    <row r="58" spans="1:6">
      <c r="A58" s="38">
        <v>280</v>
      </c>
      <c r="B58" s="37">
        <v>5.7</v>
      </c>
      <c r="C58" s="44">
        <f t="shared" si="0"/>
        <v>0.17790676868156949</v>
      </c>
      <c r="D58" s="37">
        <v>5.9</v>
      </c>
      <c r="E58" s="39">
        <v>0.24560000000000001</v>
      </c>
      <c r="F58">
        <f t="shared" si="1"/>
        <v>0.1417972261129721</v>
      </c>
    </row>
    <row r="59" spans="1:6">
      <c r="A59" s="38">
        <v>285</v>
      </c>
      <c r="B59" s="37">
        <v>5.7</v>
      </c>
      <c r="C59" s="44">
        <f t="shared" si="0"/>
        <v>0.39522505883590459</v>
      </c>
      <c r="D59" s="37">
        <v>5.8551828710000002</v>
      </c>
      <c r="E59" s="39">
        <v>0.24560000000000001</v>
      </c>
      <c r="F59">
        <f t="shared" si="1"/>
        <v>0.1417972261129721</v>
      </c>
    </row>
    <row r="60" spans="1:6">
      <c r="A60" s="38">
        <v>290</v>
      </c>
      <c r="B60" s="37">
        <v>5.5</v>
      </c>
      <c r="C60" s="44">
        <f t="shared" si="0"/>
        <v>0.69016889279901583</v>
      </c>
      <c r="D60" s="37">
        <v>5.7220932309999997</v>
      </c>
      <c r="E60" s="39">
        <v>0.24399999999999999</v>
      </c>
      <c r="F60">
        <f t="shared" si="1"/>
        <v>0.14087346568226869</v>
      </c>
    </row>
    <row r="61" spans="1:6">
      <c r="A61" s="38">
        <v>295</v>
      </c>
      <c r="B61" s="37">
        <v>5.2</v>
      </c>
      <c r="C61" s="44">
        <f t="shared" si="0"/>
        <v>1.0537765514247059</v>
      </c>
      <c r="D61" s="37">
        <v>5.504774941</v>
      </c>
      <c r="E61" s="39">
        <v>0.24160000000000001</v>
      </c>
      <c r="F61">
        <f t="shared" si="1"/>
        <v>0.1394878250362136</v>
      </c>
    </row>
    <row r="62" spans="1:6">
      <c r="A62" s="38">
        <v>300</v>
      </c>
      <c r="B62" s="37">
        <v>4.8</v>
      </c>
      <c r="C62" s="44">
        <f t="shared" si="0"/>
        <v>1.4750000000000008</v>
      </c>
      <c r="D62" s="37">
        <v>5.2098311070000003</v>
      </c>
      <c r="E62" s="39">
        <v>0.2384</v>
      </c>
      <c r="F62">
        <f t="shared" si="1"/>
        <v>0.1376403041748068</v>
      </c>
    </row>
    <row r="63" spans="1:6">
      <c r="A63" s="38">
        <v>305</v>
      </c>
      <c r="B63" s="37">
        <v>4.4000000000000004</v>
      </c>
      <c r="C63" s="44">
        <f t="shared" si="0"/>
        <v>1.9410405771892769</v>
      </c>
      <c r="D63" s="37">
        <v>4.846223449</v>
      </c>
      <c r="E63" s="39">
        <v>0.23519999999999999</v>
      </c>
      <c r="F63">
        <f t="shared" si="1"/>
        <v>0.13579278331339997</v>
      </c>
    </row>
    <row r="64" spans="1:6">
      <c r="A64" s="38">
        <v>310</v>
      </c>
      <c r="B64" s="37">
        <v>3.9</v>
      </c>
      <c r="C64" s="44">
        <f t="shared" si="0"/>
        <v>2.4377378758825552</v>
      </c>
      <c r="D64" s="37">
        <v>4.4249999999999998</v>
      </c>
      <c r="E64" s="39">
        <v>0.23119999999999999</v>
      </c>
      <c r="F64">
        <f t="shared" si="1"/>
        <v>0.13348338223664147</v>
      </c>
    </row>
    <row r="65" spans="1:6">
      <c r="A65" s="38">
        <v>315</v>
      </c>
      <c r="B65" s="37">
        <v>3.3</v>
      </c>
      <c r="C65" s="44">
        <f t="shared" si="0"/>
        <v>2.9499999999999988</v>
      </c>
      <c r="D65" s="37">
        <v>3.958959423</v>
      </c>
      <c r="E65" s="39">
        <v>0.22639999999999999</v>
      </c>
      <c r="F65">
        <f t="shared" si="1"/>
        <v>0.13071210094453128</v>
      </c>
    </row>
    <row r="66" spans="1:6">
      <c r="A66" s="38">
        <v>320</v>
      </c>
      <c r="B66" s="37">
        <v>2.7</v>
      </c>
      <c r="C66" s="44">
        <f t="shared" si="0"/>
        <v>3.4622621241174425</v>
      </c>
      <c r="D66" s="37">
        <v>3.462262124</v>
      </c>
      <c r="E66" s="39">
        <v>0.22159999999999999</v>
      </c>
      <c r="F66">
        <f t="shared" si="1"/>
        <v>0.12794081965242107</v>
      </c>
    </row>
    <row r="67" spans="1:6">
      <c r="A67" s="38">
        <v>325</v>
      </c>
      <c r="B67" s="37">
        <v>2.2000000000000002</v>
      </c>
      <c r="C67" s="44">
        <f t="shared" ref="C67:C74" si="11">$I$3*COS((A67/180) * PI())^2</f>
        <v>3.9589594228107208</v>
      </c>
      <c r="D67" s="37">
        <v>2.95</v>
      </c>
      <c r="E67" s="39">
        <v>0.21759999999999999</v>
      </c>
      <c r="F67">
        <f t="shared" ref="F67:F74" si="12">E67 / SQRT(3)</f>
        <v>0.12563141857566257</v>
      </c>
    </row>
    <row r="68" spans="1:6">
      <c r="A68" s="38">
        <v>330</v>
      </c>
      <c r="B68" s="37">
        <v>1.7</v>
      </c>
      <c r="C68" s="44">
        <f t="shared" si="11"/>
        <v>4.424999999999998</v>
      </c>
      <c r="D68" s="37">
        <v>2.4377378759999999</v>
      </c>
      <c r="E68" s="39">
        <v>0.21360000000000001</v>
      </c>
      <c r="F68">
        <f t="shared" si="12"/>
        <v>0.12332201749890408</v>
      </c>
    </row>
    <row r="69" spans="1:6">
      <c r="A69" s="38">
        <v>335</v>
      </c>
      <c r="B69" s="37">
        <v>1.3</v>
      </c>
      <c r="C69" s="44">
        <f t="shared" si="11"/>
        <v>4.8462234485752926</v>
      </c>
      <c r="D69" s="37">
        <v>1.9410405770000001</v>
      </c>
      <c r="E69" s="39">
        <v>0.2104</v>
      </c>
      <c r="F69">
        <f t="shared" si="12"/>
        <v>0.12147449663749726</v>
      </c>
    </row>
    <row r="70" spans="1:6">
      <c r="A70" s="38">
        <v>340</v>
      </c>
      <c r="B70" s="37">
        <v>0.8</v>
      </c>
      <c r="C70" s="44">
        <f t="shared" si="11"/>
        <v>5.2098311072009826</v>
      </c>
      <c r="D70" s="37">
        <v>1.4750000000000001</v>
      </c>
      <c r="E70" s="39">
        <v>0.2064</v>
      </c>
      <c r="F70">
        <f t="shared" si="12"/>
        <v>0.11916509556073876</v>
      </c>
    </row>
    <row r="71" spans="1:6">
      <c r="A71" s="38">
        <v>345</v>
      </c>
      <c r="B71" s="37">
        <v>0.5</v>
      </c>
      <c r="C71" s="44">
        <f t="shared" si="11"/>
        <v>5.5047749411640945</v>
      </c>
      <c r="D71" s="37">
        <v>1.0537765509999999</v>
      </c>
      <c r="E71" s="39">
        <v>0.20399999999999999</v>
      </c>
      <c r="F71">
        <f t="shared" si="12"/>
        <v>0.11777945491468365</v>
      </c>
    </row>
    <row r="72" spans="1:6">
      <c r="A72" s="38">
        <v>350</v>
      </c>
      <c r="B72" s="37">
        <v>0.3</v>
      </c>
      <c r="C72" s="44">
        <f t="shared" si="11"/>
        <v>5.7220932313184294</v>
      </c>
      <c r="D72" s="37">
        <v>0.69016889280000004</v>
      </c>
      <c r="E72" s="39">
        <v>0.2024</v>
      </c>
      <c r="F72">
        <f t="shared" si="12"/>
        <v>0.11685569448398025</v>
      </c>
    </row>
    <row r="73" spans="1:6">
      <c r="A73" s="38">
        <v>355</v>
      </c>
      <c r="B73" s="37">
        <v>0.1</v>
      </c>
      <c r="C73" s="44">
        <f t="shared" si="11"/>
        <v>5.8551828713860141</v>
      </c>
      <c r="D73" s="37">
        <v>0.39522505879999997</v>
      </c>
      <c r="E73" s="39">
        <v>0.20080000000000001</v>
      </c>
      <c r="F73">
        <f t="shared" si="12"/>
        <v>0.11593193405327687</v>
      </c>
    </row>
    <row r="74" spans="1:6" ht="15" thickBot="1">
      <c r="A74" s="40">
        <v>360</v>
      </c>
      <c r="B74" s="41">
        <v>0</v>
      </c>
      <c r="C74" s="44">
        <f t="shared" si="11"/>
        <v>5.9</v>
      </c>
      <c r="D74" s="41">
        <v>0.1779067687</v>
      </c>
      <c r="E74" s="42">
        <v>0.2</v>
      </c>
      <c r="F74">
        <f t="shared" si="12"/>
        <v>0.11547005383792516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2"/>
  <sheetViews>
    <sheetView zoomScale="99" zoomScaleNormal="99" workbookViewId="0"/>
  </sheetViews>
  <sheetFormatPr defaultRowHeight="14.45"/>
  <cols>
    <col min="5" max="5" width="9.28515625" bestFit="1" customWidth="1"/>
    <col min="6" max="6" width="11.42578125" customWidth="1"/>
    <col min="7" max="7" width="12.28515625" customWidth="1"/>
    <col min="11" max="11" width="9.28515625" bestFit="1" customWidth="1"/>
    <col min="15" max="16" width="12" bestFit="1" customWidth="1"/>
    <col min="17" max="17" width="12.28515625" bestFit="1" customWidth="1"/>
    <col min="18" max="18" width="9.28515625" bestFit="1" customWidth="1"/>
    <col min="20" max="20" width="10" customWidth="1"/>
    <col min="21" max="21" width="10.28515625" customWidth="1"/>
    <col min="26" max="26" width="22.7109375" customWidth="1"/>
    <col min="30" max="30" width="8.7109375" customWidth="1"/>
    <col min="31" max="31" width="32.5703125" customWidth="1"/>
    <col min="32" max="32" width="9.28515625" bestFit="1" customWidth="1"/>
    <col min="38" max="38" width="8.7109375" customWidth="1"/>
    <col min="39" max="39" width="17.7109375" customWidth="1"/>
    <col min="46" max="46" width="14.7109375" customWidth="1"/>
    <col min="47" max="47" width="8.7109375" customWidth="1"/>
    <col min="52" max="52" width="35.5703125" customWidth="1"/>
    <col min="54" max="54" width="17.7109375" customWidth="1"/>
  </cols>
  <sheetData>
    <row r="1" spans="1:54" ht="15" thickBot="1">
      <c r="A1" s="8" t="s">
        <v>8</v>
      </c>
      <c r="B1" s="9" t="s">
        <v>9</v>
      </c>
      <c r="C1" s="10" t="s">
        <v>10</v>
      </c>
      <c r="D1" s="11" t="s">
        <v>11</v>
      </c>
      <c r="E1" s="12" t="s">
        <v>12</v>
      </c>
      <c r="F1" s="11" t="s">
        <v>13</v>
      </c>
      <c r="G1" s="13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20" t="s">
        <v>21</v>
      </c>
      <c r="O1" s="11" t="s">
        <v>22</v>
      </c>
      <c r="P1" s="14" t="s">
        <v>23</v>
      </c>
      <c r="Q1" s="36" t="s">
        <v>24</v>
      </c>
      <c r="R1" s="35" t="s">
        <v>25</v>
      </c>
      <c r="S1" s="11" t="s">
        <v>26</v>
      </c>
      <c r="T1" s="11" t="s">
        <v>27</v>
      </c>
      <c r="U1" s="16" t="s">
        <v>28</v>
      </c>
      <c r="AE1" t="s">
        <v>6</v>
      </c>
      <c r="AK1" t="s">
        <v>29</v>
      </c>
      <c r="AS1" t="s">
        <v>30</v>
      </c>
      <c r="AZ1" t="s">
        <v>31</v>
      </c>
    </row>
    <row r="2" spans="1:54" ht="15" thickBot="1">
      <c r="A2" s="173">
        <v>1100</v>
      </c>
      <c r="B2" s="6">
        <v>0</v>
      </c>
      <c r="C2" s="62">
        <v>218</v>
      </c>
      <c r="D2" s="7" t="s">
        <v>32</v>
      </c>
      <c r="E2" s="154">
        <f>AVERAGE(D3:D4)</f>
        <v>15.650000000000006</v>
      </c>
      <c r="F2" s="58" t="s">
        <v>32</v>
      </c>
      <c r="G2" s="170">
        <f>SUM(F3:F4)</f>
        <v>4.9999999999965896E-3</v>
      </c>
      <c r="H2" s="165">
        <v>2</v>
      </c>
      <c r="I2" s="165">
        <v>1.837</v>
      </c>
      <c r="J2" s="167">
        <f>SQRT(G2 / (H2*(H2-1)) )*I2</f>
        <v>9.1849999999968665E-2</v>
      </c>
      <c r="K2" s="165">
        <f>0.2 / SQRT(3)</f>
        <v>0.11547005383792516</v>
      </c>
      <c r="L2" s="154">
        <f>SQRT(POWER(J2,2) + POWER($K$2,2))</f>
        <v>0.14754577538285391</v>
      </c>
      <c r="M2" s="154">
        <f xml:space="preserve"> 2 * A2 * E2</f>
        <v>34430.000000000015</v>
      </c>
      <c r="N2" s="154">
        <f>( (AA3/100) *A2 + AA4 * AA5 ) / SQRT(3)</f>
        <v>2.3671361036774656</v>
      </c>
      <c r="O2" s="154">
        <f>SQRT(POWER(2 * A2 * L2, 2) + POWER(2 * E2 * N2, 2))</f>
        <v>332.94916709107235</v>
      </c>
      <c r="P2" s="160">
        <f xml:space="preserve"> 1 / POWER(O2, 2)</f>
        <v>9.0207808951102752E-6</v>
      </c>
      <c r="Q2" s="158">
        <f>SUM(P2:P23)</f>
        <v>3.4257755174117271E-5</v>
      </c>
      <c r="R2" s="154">
        <f>M2 * P2</f>
        <v>0.3105854862186469</v>
      </c>
      <c r="S2" s="154">
        <f>SUM(R2:R23)</f>
        <v>1.1796161092608572</v>
      </c>
      <c r="T2" s="154">
        <f>S2/Q2</f>
        <v>34433.549520842258</v>
      </c>
      <c r="U2" s="174">
        <f>SQRT(1 / Q2)</f>
        <v>170.8521897406591</v>
      </c>
      <c r="Z2" s="155" t="s">
        <v>33</v>
      </c>
      <c r="AA2" s="156"/>
      <c r="AB2" s="157"/>
      <c r="AE2" s="21" t="s">
        <v>34</v>
      </c>
      <c r="AF2" s="21"/>
      <c r="AG2" s="21"/>
    </row>
    <row r="3" spans="1:54" ht="15" thickBot="1">
      <c r="A3" s="171"/>
      <c r="B3" s="2" t="s">
        <v>35</v>
      </c>
      <c r="C3" s="63">
        <v>233.7</v>
      </c>
      <c r="D3" s="67">
        <f>C3-C2</f>
        <v>15.699999999999989</v>
      </c>
      <c r="E3" s="146"/>
      <c r="F3" s="59">
        <f>POWER(D3-E2,2)</f>
        <v>2.4999999999982948E-3</v>
      </c>
      <c r="G3" s="163"/>
      <c r="H3" s="161"/>
      <c r="I3" s="161"/>
      <c r="J3" s="167"/>
      <c r="K3" s="161"/>
      <c r="L3" s="146"/>
      <c r="M3" s="146"/>
      <c r="N3" s="146"/>
      <c r="O3" s="146"/>
      <c r="P3" s="161"/>
      <c r="Q3" s="158"/>
      <c r="R3" s="146"/>
      <c r="S3" s="146"/>
      <c r="T3" s="146"/>
      <c r="U3" s="175"/>
      <c r="Z3" s="17" t="s">
        <v>36</v>
      </c>
      <c r="AA3" s="18">
        <v>0.1</v>
      </c>
      <c r="AB3" s="19" t="s">
        <v>37</v>
      </c>
      <c r="AZ3" s="142" t="s">
        <v>38</v>
      </c>
      <c r="BA3" s="143"/>
      <c r="BB3" s="144"/>
    </row>
    <row r="4" spans="1:54" ht="15" thickBot="1">
      <c r="A4" s="171"/>
      <c r="B4" s="1">
        <v>0</v>
      </c>
      <c r="C4" s="63">
        <v>249.3</v>
      </c>
      <c r="D4" s="3">
        <f>C4-C3</f>
        <v>15.600000000000023</v>
      </c>
      <c r="E4" s="146"/>
      <c r="F4" s="59">
        <f>POWER(D4-E2,2)</f>
        <v>2.4999999999982948E-3</v>
      </c>
      <c r="G4" s="163"/>
      <c r="H4" s="161"/>
      <c r="I4" s="161"/>
      <c r="J4" s="169"/>
      <c r="K4" s="161"/>
      <c r="L4" s="146"/>
      <c r="M4" s="146"/>
      <c r="N4" s="146"/>
      <c r="O4" s="146"/>
      <c r="P4" s="161"/>
      <c r="Q4" s="158"/>
      <c r="R4" s="146"/>
      <c r="S4" s="146"/>
      <c r="T4" s="146"/>
      <c r="U4" s="175"/>
      <c r="Z4" s="17" t="s">
        <v>39</v>
      </c>
      <c r="AA4" s="18">
        <v>3</v>
      </c>
      <c r="AB4" s="19"/>
      <c r="AZ4" s="28" t="s">
        <v>40</v>
      </c>
      <c r="BA4" s="66">
        <f xml:space="preserve"> (AL6 * AF10 * AF10) / (AL8 * AL9)</f>
        <v>1393.5342705916203</v>
      </c>
      <c r="BB4" s="30" t="s">
        <v>41</v>
      </c>
    </row>
    <row r="5" spans="1:54" ht="15" thickBot="1">
      <c r="A5" s="171">
        <v>1300</v>
      </c>
      <c r="B5" s="1">
        <v>0</v>
      </c>
      <c r="C5" s="63">
        <v>214.6</v>
      </c>
      <c r="D5" s="4" t="s">
        <v>32</v>
      </c>
      <c r="E5" s="146">
        <f>AVERAGE(D6:D8)</f>
        <v>13.266666666666671</v>
      </c>
      <c r="F5" s="60" t="s">
        <v>32</v>
      </c>
      <c r="G5" s="163">
        <f>SUM(F6:F8)</f>
        <v>6.6666666666640138E-3</v>
      </c>
      <c r="H5" s="161">
        <v>3</v>
      </c>
      <c r="I5" s="161">
        <v>1.321</v>
      </c>
      <c r="J5" s="166">
        <f>SQRT(G5 / (H5*(H5-1)) )*I5</f>
        <v>4.403333333332457E-2</v>
      </c>
      <c r="K5" s="161"/>
      <c r="L5" s="146">
        <f>SQRT(POWER(J5,2) + POWER($K$2,2))</f>
        <v>0.12358101706078085</v>
      </c>
      <c r="M5" s="146">
        <f>2*A5*E5</f>
        <v>34493.333333333343</v>
      </c>
      <c r="N5" s="146">
        <f>( (AA3/100) *A5 + AA4 * AA5 ) / SQRT(3)</f>
        <v>2.482606157515391</v>
      </c>
      <c r="O5" s="146">
        <f>SQRT(POWER(2 * A5 * L5, 2) + POWER(2 * E5 * N5, 2))</f>
        <v>327.99333288164507</v>
      </c>
      <c r="P5" s="161">
        <f xml:space="preserve"> 1 / POWER(O5, 2)</f>
        <v>9.2954403480094057E-6</v>
      </c>
      <c r="Q5" s="158"/>
      <c r="R5" s="146">
        <f>M5 * P5</f>
        <v>0.32063072240400453</v>
      </c>
      <c r="S5" s="146"/>
      <c r="T5" s="146"/>
      <c r="U5" s="175"/>
      <c r="Z5" s="17" t="s">
        <v>42</v>
      </c>
      <c r="AA5" s="18">
        <v>1</v>
      </c>
      <c r="AB5" s="19" t="s">
        <v>43</v>
      </c>
      <c r="AZ5" s="22" t="s">
        <v>44</v>
      </c>
      <c r="BA5" s="56">
        <f>AL10</f>
        <v>1399.8866617094809</v>
      </c>
      <c r="BB5" s="23" t="s">
        <v>41</v>
      </c>
    </row>
    <row r="6" spans="1:54">
      <c r="A6" s="171"/>
      <c r="B6" s="2" t="s">
        <v>35</v>
      </c>
      <c r="C6" s="63">
        <v>227.9</v>
      </c>
      <c r="D6" s="3">
        <f>C6-C5</f>
        <v>13.300000000000011</v>
      </c>
      <c r="E6" s="146"/>
      <c r="F6" s="59">
        <f>POWER(D6-$E$5,2)</f>
        <v>1.1111111111115769E-3</v>
      </c>
      <c r="G6" s="163"/>
      <c r="H6" s="161"/>
      <c r="I6" s="161"/>
      <c r="J6" s="167"/>
      <c r="K6" s="161"/>
      <c r="L6" s="146"/>
      <c r="M6" s="146"/>
      <c r="N6" s="146"/>
      <c r="O6" s="146"/>
      <c r="P6" s="161"/>
      <c r="Q6" s="158"/>
      <c r="R6" s="146"/>
      <c r="S6" s="146"/>
      <c r="T6" s="146"/>
      <c r="U6" s="175"/>
      <c r="AK6" s="28" t="s">
        <v>45</v>
      </c>
      <c r="AL6" s="66">
        <v>28.87</v>
      </c>
      <c r="AM6" s="30" t="s">
        <v>46</v>
      </c>
      <c r="AZ6" s="22" t="s">
        <v>47</v>
      </c>
      <c r="BA6" s="56">
        <f>2 * AT13</f>
        <v>27.783798634763087</v>
      </c>
      <c r="BB6" s="23" t="s">
        <v>41</v>
      </c>
    </row>
    <row r="7" spans="1:54" ht="15" thickBot="1">
      <c r="A7" s="171"/>
      <c r="B7" s="1">
        <v>0</v>
      </c>
      <c r="C7" s="63">
        <v>241.2</v>
      </c>
      <c r="D7" s="3">
        <f t="shared" ref="D7:D8" si="0">C7-C6</f>
        <v>13.299999999999983</v>
      </c>
      <c r="E7" s="146"/>
      <c r="F7" s="59">
        <f t="shared" ref="F7:F8" si="1">POWER(D7-$E$5,2)</f>
        <v>1.1111111111096821E-3</v>
      </c>
      <c r="G7" s="163"/>
      <c r="H7" s="161"/>
      <c r="I7" s="161"/>
      <c r="J7" s="167"/>
      <c r="K7" s="161"/>
      <c r="L7" s="146"/>
      <c r="M7" s="146"/>
      <c r="N7" s="146"/>
      <c r="O7" s="146"/>
      <c r="P7" s="161"/>
      <c r="Q7" s="158"/>
      <c r="R7" s="146"/>
      <c r="S7" s="146"/>
      <c r="T7" s="146"/>
      <c r="U7" s="175"/>
      <c r="AK7" s="22" t="s">
        <v>48</v>
      </c>
      <c r="AL7" s="56">
        <f>T2 / 100</f>
        <v>344.33549520842257</v>
      </c>
      <c r="AM7" s="23" t="s">
        <v>49</v>
      </c>
      <c r="AZ7" s="24" t="s">
        <v>50</v>
      </c>
      <c r="BA7" s="57">
        <f>ABS(BA5-BA4)</f>
        <v>6.352391117860634</v>
      </c>
      <c r="BB7" s="25" t="s">
        <v>41</v>
      </c>
    </row>
    <row r="8" spans="1:54" ht="15" thickBot="1">
      <c r="A8" s="171"/>
      <c r="B8" s="2" t="s">
        <v>35</v>
      </c>
      <c r="C8" s="63">
        <v>254.4</v>
      </c>
      <c r="D8" s="3">
        <f t="shared" si="0"/>
        <v>13.200000000000017</v>
      </c>
      <c r="E8" s="146"/>
      <c r="F8" s="59">
        <f t="shared" si="1"/>
        <v>4.4444444444427548E-3</v>
      </c>
      <c r="G8" s="163"/>
      <c r="H8" s="161"/>
      <c r="I8" s="161"/>
      <c r="J8" s="169"/>
      <c r="K8" s="161"/>
      <c r="L8" s="146"/>
      <c r="M8" s="146"/>
      <c r="N8" s="146"/>
      <c r="O8" s="146"/>
      <c r="P8" s="161"/>
      <c r="Q8" s="158"/>
      <c r="R8" s="146"/>
      <c r="S8" s="146"/>
      <c r="T8" s="146"/>
      <c r="U8" s="175"/>
      <c r="Z8" s="15" t="s">
        <v>51</v>
      </c>
      <c r="AA8" s="11">
        <v>21.1</v>
      </c>
      <c r="AB8" s="16" t="s">
        <v>52</v>
      </c>
      <c r="AE8" s="142" t="s">
        <v>38</v>
      </c>
      <c r="AF8" s="143"/>
      <c r="AG8" s="144"/>
      <c r="AK8" s="22" t="s">
        <v>53</v>
      </c>
      <c r="AL8" s="56">
        <v>8.31</v>
      </c>
      <c r="AM8" s="23" t="s">
        <v>54</v>
      </c>
    </row>
    <row r="9" spans="1:54">
      <c r="A9" s="171">
        <v>1500</v>
      </c>
      <c r="B9" s="1">
        <v>0</v>
      </c>
      <c r="C9" s="63">
        <v>212.9</v>
      </c>
      <c r="D9" s="4" t="s">
        <v>32</v>
      </c>
      <c r="E9" s="146">
        <f>AVERAGE(D10:D12)</f>
        <v>11.5</v>
      </c>
      <c r="F9" s="60" t="s">
        <v>32</v>
      </c>
      <c r="G9" s="163">
        <f>SUM(F10:F12)</f>
        <v>1.9999999999997728E-2</v>
      </c>
      <c r="H9" s="161">
        <v>3</v>
      </c>
      <c r="I9" s="161">
        <v>1.321</v>
      </c>
      <c r="J9" s="166">
        <f>SQRT(G9 / (H9*(H9-1)) )*I9</f>
        <v>7.626797055994522E-2</v>
      </c>
      <c r="K9" s="161"/>
      <c r="L9" s="146">
        <f>SQRT(POWER(J9,2) + POWER($K$2,2))</f>
        <v>0.13838401882683565</v>
      </c>
      <c r="M9" s="146">
        <f xml:space="preserve"> 2 * A9 * E9</f>
        <v>34500</v>
      </c>
      <c r="N9" s="146">
        <f>( (AA3/100) *A9 + AA4 * AA5 ) / SQRT(3)</f>
        <v>2.598076211353316</v>
      </c>
      <c r="O9" s="146">
        <f>SQRT(POWER(2 * A9 * L9, 2) + POWER(2 * E9 * N9, 2))</f>
        <v>419.4305425216362</v>
      </c>
      <c r="P9" s="161">
        <f xml:space="preserve"> 1 / POWER(O9, 2)</f>
        <v>5.6843380230260805E-6</v>
      </c>
      <c r="Q9" s="158"/>
      <c r="R9" s="146">
        <f>M9 * P9</f>
        <v>0.19610966179439979</v>
      </c>
      <c r="S9" s="146"/>
      <c r="T9" s="146"/>
      <c r="U9" s="175"/>
      <c r="AE9" s="26" t="s">
        <v>55</v>
      </c>
      <c r="AF9" s="65">
        <f>AA8</f>
        <v>21.1</v>
      </c>
      <c r="AG9" s="27" t="s">
        <v>52</v>
      </c>
      <c r="AK9" s="22" t="s">
        <v>56</v>
      </c>
      <c r="AL9" s="56">
        <f>AA8 + 273.15</f>
        <v>294.25</v>
      </c>
      <c r="AM9" s="23" t="s">
        <v>57</v>
      </c>
      <c r="AZ9" t="s">
        <v>58</v>
      </c>
    </row>
    <row r="10" spans="1:54" ht="15" thickBot="1">
      <c r="A10" s="171"/>
      <c r="B10" s="1" t="s">
        <v>35</v>
      </c>
      <c r="C10" s="63">
        <v>224.4</v>
      </c>
      <c r="D10" s="3">
        <f>C10-C9</f>
        <v>11.5</v>
      </c>
      <c r="E10" s="146"/>
      <c r="F10" s="59">
        <f>POWER(D10-$E$9,2)</f>
        <v>0</v>
      </c>
      <c r="G10" s="163"/>
      <c r="H10" s="161"/>
      <c r="I10" s="161"/>
      <c r="J10" s="167"/>
      <c r="K10" s="161"/>
      <c r="L10" s="146"/>
      <c r="M10" s="146"/>
      <c r="N10" s="146"/>
      <c r="O10" s="146"/>
      <c r="P10" s="161"/>
      <c r="Q10" s="158"/>
      <c r="R10" s="146"/>
      <c r="S10" s="146"/>
      <c r="T10" s="146"/>
      <c r="U10" s="175"/>
      <c r="AE10" s="22" t="s">
        <v>59</v>
      </c>
      <c r="AF10" s="56">
        <f xml:space="preserve"> 331 * SQRT(1 + (AF9 / 273))</f>
        <v>343.55334587979411</v>
      </c>
      <c r="AG10" s="23" t="s">
        <v>49</v>
      </c>
      <c r="AK10" s="24" t="s">
        <v>60</v>
      </c>
      <c r="AL10" s="57">
        <f xml:space="preserve"> (AL6 * AL7 * AL7) / (AL8 * AL9)</f>
        <v>1399.8866617094809</v>
      </c>
      <c r="AM10" s="25" t="s">
        <v>41</v>
      </c>
    </row>
    <row r="11" spans="1:54" ht="15" thickBot="1">
      <c r="A11" s="171"/>
      <c r="B11" s="1">
        <v>0</v>
      </c>
      <c r="C11" s="63">
        <v>235.8</v>
      </c>
      <c r="D11" s="3">
        <f t="shared" ref="D11:D12" si="2">C11-C10</f>
        <v>11.400000000000006</v>
      </c>
      <c r="E11" s="146"/>
      <c r="F11" s="59">
        <f t="shared" ref="F11:F12" si="3">POWER(D11-$E$9,2)</f>
        <v>9.999999999998864E-3</v>
      </c>
      <c r="G11" s="163"/>
      <c r="H11" s="161"/>
      <c r="I11" s="161"/>
      <c r="J11" s="167"/>
      <c r="K11" s="161"/>
      <c r="L11" s="146"/>
      <c r="M11" s="146"/>
      <c r="N11" s="146"/>
      <c r="O11" s="146"/>
      <c r="P11" s="161"/>
      <c r="Q11" s="158"/>
      <c r="R11" s="146"/>
      <c r="S11" s="146"/>
      <c r="T11" s="146"/>
      <c r="U11" s="175"/>
      <c r="AE11" s="22" t="s">
        <v>61</v>
      </c>
      <c r="AF11" s="56">
        <f>T2 / 100</f>
        <v>344.33549520842257</v>
      </c>
      <c r="AG11" s="23" t="s">
        <v>49</v>
      </c>
    </row>
    <row r="12" spans="1:54">
      <c r="A12" s="171"/>
      <c r="B12" s="1" t="s">
        <v>35</v>
      </c>
      <c r="C12" s="63">
        <v>247.4</v>
      </c>
      <c r="D12" s="3">
        <f t="shared" si="2"/>
        <v>11.599999999999994</v>
      </c>
      <c r="E12" s="146"/>
      <c r="F12" s="59">
        <f t="shared" si="3"/>
        <v>9.999999999998864E-3</v>
      </c>
      <c r="G12" s="163"/>
      <c r="H12" s="161"/>
      <c r="I12" s="161"/>
      <c r="J12" s="169"/>
      <c r="K12" s="161"/>
      <c r="L12" s="146"/>
      <c r="M12" s="146"/>
      <c r="N12" s="146"/>
      <c r="O12" s="146"/>
      <c r="P12" s="161"/>
      <c r="Q12" s="158"/>
      <c r="R12" s="146"/>
      <c r="S12" s="146"/>
      <c r="T12" s="146"/>
      <c r="U12" s="175"/>
      <c r="AE12" s="22" t="s">
        <v>62</v>
      </c>
      <c r="AF12" s="56">
        <f>2 * (U2 / 100)</f>
        <v>3.417043794813182</v>
      </c>
      <c r="AG12" s="23" t="s">
        <v>49</v>
      </c>
      <c r="AS12" s="28" t="s">
        <v>63</v>
      </c>
      <c r="AT12" s="29">
        <f xml:space="preserve"> U2/100</f>
        <v>1.708521897406591</v>
      </c>
      <c r="AU12" s="152" t="s">
        <v>49</v>
      </c>
      <c r="AV12" s="153"/>
    </row>
    <row r="13" spans="1:54" ht="14.65" customHeight="1" thickBot="1">
      <c r="A13" s="171">
        <v>1700</v>
      </c>
      <c r="B13" s="1">
        <v>0</v>
      </c>
      <c r="C13" s="63">
        <v>211.2</v>
      </c>
      <c r="D13" s="4" t="s">
        <v>32</v>
      </c>
      <c r="E13" s="146">
        <f>AVERAGE(D14:D17)</f>
        <v>10.100000000000001</v>
      </c>
      <c r="F13" s="60" t="s">
        <v>32</v>
      </c>
      <c r="G13" s="163">
        <f>SUM(F14:F17)</f>
        <v>2.0000000000003411E-2</v>
      </c>
      <c r="H13" s="161">
        <v>4</v>
      </c>
      <c r="I13" s="161">
        <v>1.1970000000000001</v>
      </c>
      <c r="J13" s="166">
        <f>SQRT(G13 / (H13*(H13-1)) )*I13</f>
        <v>4.8867320368528568E-2</v>
      </c>
      <c r="K13" s="161"/>
      <c r="L13" s="146">
        <f>SQRT(POWER(J13,2) + POWER($K$2,2))</f>
        <v>0.12538480104595509</v>
      </c>
      <c r="M13" s="146">
        <f xml:space="preserve"> 2 * A13 * E13</f>
        <v>34340.000000000007</v>
      </c>
      <c r="N13" s="146">
        <f>( (AA3/100) *A13 + AA4 * AA5 ) / SQRT(3)</f>
        <v>2.7135462651912414</v>
      </c>
      <c r="O13" s="146">
        <f>SQRT(POWER(2 * A13 * L13, 2) + POWER(2 * E13 * N13, 2))</f>
        <v>429.81777681556099</v>
      </c>
      <c r="P13" s="161">
        <f xml:space="preserve"> 1 / POWER(O13, 2)</f>
        <v>5.4129155692536791E-6</v>
      </c>
      <c r="Q13" s="158"/>
      <c r="R13" s="146">
        <f>M13 * P13</f>
        <v>0.18587952064817137</v>
      </c>
      <c r="S13" s="146"/>
      <c r="T13" s="146"/>
      <c r="U13" s="175"/>
      <c r="W13" t="s">
        <v>64</v>
      </c>
      <c r="AE13" s="24" t="s">
        <v>65</v>
      </c>
      <c r="AF13" s="57">
        <f>ABS(AF11-AF10)</f>
        <v>0.78214932862846354</v>
      </c>
      <c r="AG13" s="25" t="s">
        <v>49</v>
      </c>
      <c r="AS13" s="22" t="s">
        <v>66</v>
      </c>
      <c r="AT13" s="3">
        <f>ABS((AL6 * 2 * AL7 * AT12) / (AL8 * AL9))</f>
        <v>13.891899317381544</v>
      </c>
      <c r="AU13" s="148" t="s">
        <v>41</v>
      </c>
      <c r="AV13" s="149"/>
    </row>
    <row r="14" spans="1:54" ht="15" thickBot="1">
      <c r="A14" s="171"/>
      <c r="B14" s="1" t="s">
        <v>35</v>
      </c>
      <c r="C14" s="63">
        <v>221.4</v>
      </c>
      <c r="D14" s="3">
        <f>C14-C13</f>
        <v>10.200000000000017</v>
      </c>
      <c r="E14" s="146"/>
      <c r="F14" s="59">
        <f>POWER(D14-$E$13,2)</f>
        <v>1.0000000000003126E-2</v>
      </c>
      <c r="G14" s="163"/>
      <c r="H14" s="161"/>
      <c r="I14" s="161"/>
      <c r="J14" s="167"/>
      <c r="K14" s="161"/>
      <c r="L14" s="146"/>
      <c r="M14" s="146"/>
      <c r="N14" s="146"/>
      <c r="O14" s="146"/>
      <c r="P14" s="161"/>
      <c r="Q14" s="158"/>
      <c r="R14" s="146"/>
      <c r="S14" s="146"/>
      <c r="T14" s="146"/>
      <c r="U14" s="175"/>
      <c r="AS14" s="24" t="s">
        <v>60</v>
      </c>
      <c r="AT14" s="33" t="s">
        <v>67</v>
      </c>
      <c r="AU14" s="150" t="s">
        <v>41</v>
      </c>
      <c r="AV14" s="151"/>
    </row>
    <row r="15" spans="1:54">
      <c r="A15" s="171"/>
      <c r="B15" s="1">
        <v>0</v>
      </c>
      <c r="C15" s="63">
        <v>231.4</v>
      </c>
      <c r="D15" s="67">
        <f t="shared" ref="D15:D17" si="4">C15-C14</f>
        <v>10</v>
      </c>
      <c r="E15" s="146"/>
      <c r="F15" s="59">
        <f t="shared" ref="F15:F17" si="5">POWER(D15-$E$13,2)</f>
        <v>1.0000000000000285E-2</v>
      </c>
      <c r="G15" s="163"/>
      <c r="H15" s="161"/>
      <c r="I15" s="161"/>
      <c r="J15" s="167"/>
      <c r="K15" s="161"/>
      <c r="L15" s="146"/>
      <c r="M15" s="146"/>
      <c r="N15" s="146"/>
      <c r="O15" s="146"/>
      <c r="P15" s="161"/>
      <c r="Q15" s="158"/>
      <c r="R15" s="146"/>
      <c r="S15" s="146"/>
      <c r="T15" s="146"/>
      <c r="U15" s="175"/>
      <c r="AE15" t="s">
        <v>68</v>
      </c>
    </row>
    <row r="16" spans="1:54">
      <c r="A16" s="171"/>
      <c r="B16" s="1" t="s">
        <v>35</v>
      </c>
      <c r="C16" s="63">
        <v>241.5</v>
      </c>
      <c r="D16" s="3">
        <f t="shared" si="4"/>
        <v>10.099999999999994</v>
      </c>
      <c r="E16" s="146"/>
      <c r="F16" s="59">
        <f>POWER(D16-$E$13,2)</f>
        <v>5.0487097934144756E-29</v>
      </c>
      <c r="G16" s="163"/>
      <c r="H16" s="161"/>
      <c r="I16" s="161"/>
      <c r="J16" s="167"/>
      <c r="K16" s="161"/>
      <c r="L16" s="146"/>
      <c r="M16" s="146"/>
      <c r="N16" s="146"/>
      <c r="O16" s="146"/>
      <c r="P16" s="161"/>
      <c r="Q16" s="158"/>
      <c r="R16" s="146"/>
      <c r="S16" s="146"/>
      <c r="T16" s="146"/>
      <c r="U16" s="175"/>
    </row>
    <row r="17" spans="1:21">
      <c r="A17" s="171"/>
      <c r="B17" s="1">
        <v>0</v>
      </c>
      <c r="C17" s="63">
        <v>251.6</v>
      </c>
      <c r="D17" s="3">
        <f t="shared" si="4"/>
        <v>10.099999999999994</v>
      </c>
      <c r="E17" s="146"/>
      <c r="F17" s="59">
        <f t="shared" si="5"/>
        <v>5.0487097934144756E-29</v>
      </c>
      <c r="G17" s="163"/>
      <c r="H17" s="161"/>
      <c r="I17" s="161"/>
      <c r="J17" s="169"/>
      <c r="K17" s="161"/>
      <c r="L17" s="146"/>
      <c r="M17" s="146"/>
      <c r="N17" s="146"/>
      <c r="O17" s="146"/>
      <c r="P17" s="161"/>
      <c r="Q17" s="158"/>
      <c r="R17" s="146"/>
      <c r="S17" s="146"/>
      <c r="T17" s="146"/>
      <c r="U17" s="175"/>
    </row>
    <row r="18" spans="1:21">
      <c r="A18" s="171">
        <v>1900</v>
      </c>
      <c r="B18" s="1">
        <v>0</v>
      </c>
      <c r="C18" s="63">
        <v>209.9</v>
      </c>
      <c r="D18" s="4" t="s">
        <v>32</v>
      </c>
      <c r="E18" s="146">
        <f>AVERAGE(D19:D23)</f>
        <v>9.0399999999999974</v>
      </c>
      <c r="F18" s="60" t="s">
        <v>32</v>
      </c>
      <c r="G18" s="163">
        <f>SUM(F19:F23)</f>
        <v>1.1999999999998635E-2</v>
      </c>
      <c r="H18" s="161">
        <v>5</v>
      </c>
      <c r="I18" s="161">
        <v>1.141</v>
      </c>
      <c r="J18" s="166">
        <f>SQRT(G18 / (H18*(H18-1)) )*I18</f>
        <v>2.7948677965154472E-2</v>
      </c>
      <c r="K18" s="161"/>
      <c r="L18" s="146">
        <f>SQRT(POWER(J18,2) + POWER($K$2,2))</f>
        <v>0.11880430098836173</v>
      </c>
      <c r="M18" s="146">
        <f xml:space="preserve"> 2 * A18 * E18</f>
        <v>34351.999999999993</v>
      </c>
      <c r="N18" s="146">
        <f>( (AA3/100) *A18 + AA4 * AA5 ) / SQRT(3)</f>
        <v>2.8290163190291668</v>
      </c>
      <c r="O18" s="146">
        <f>SQRT(POWER(2 * A18 * L18, 2) + POWER(2 * E18 * N18, 2))</f>
        <v>454.34459514631124</v>
      </c>
      <c r="P18" s="161">
        <f xml:space="preserve"> 1 / POWER(O18, 2)</f>
        <v>4.8442803387178248E-6</v>
      </c>
      <c r="Q18" s="158"/>
      <c r="R18" s="146">
        <f>M18 * P18</f>
        <v>0.16641071819563469</v>
      </c>
      <c r="S18" s="146"/>
      <c r="T18" s="146"/>
      <c r="U18" s="175"/>
    </row>
    <row r="19" spans="1:21">
      <c r="A19" s="171"/>
      <c r="B19" s="2" t="s">
        <v>35</v>
      </c>
      <c r="C19" s="63">
        <v>218.9</v>
      </c>
      <c r="D19" s="67">
        <f>C19-C18</f>
        <v>9</v>
      </c>
      <c r="E19" s="146"/>
      <c r="F19" s="59">
        <f>POWER(D19-$E$18,2)</f>
        <v>1.5999999999997897E-3</v>
      </c>
      <c r="G19" s="163"/>
      <c r="H19" s="161"/>
      <c r="I19" s="161"/>
      <c r="J19" s="167"/>
      <c r="K19" s="161"/>
      <c r="L19" s="146"/>
      <c r="M19" s="146"/>
      <c r="N19" s="146"/>
      <c r="O19" s="146"/>
      <c r="P19" s="161"/>
      <c r="Q19" s="158"/>
      <c r="R19" s="146"/>
      <c r="S19" s="146"/>
      <c r="T19" s="146"/>
      <c r="U19" s="175"/>
    </row>
    <row r="20" spans="1:21">
      <c r="A20" s="171"/>
      <c r="B20" s="1">
        <v>0</v>
      </c>
      <c r="C20" s="63">
        <v>228</v>
      </c>
      <c r="D20" s="67">
        <f t="shared" ref="D20:D23" si="6">C20-C19</f>
        <v>9.0999999999999943</v>
      </c>
      <c r="E20" s="146"/>
      <c r="F20" s="59">
        <f t="shared" ref="F20:F23" si="7">POWER(D20-$E$18,2)</f>
        <v>3.5999999999996334E-3</v>
      </c>
      <c r="G20" s="163"/>
      <c r="H20" s="161"/>
      <c r="I20" s="161"/>
      <c r="J20" s="167"/>
      <c r="K20" s="161"/>
      <c r="L20" s="146"/>
      <c r="M20" s="146"/>
      <c r="N20" s="146"/>
      <c r="O20" s="146"/>
      <c r="P20" s="161"/>
      <c r="Q20" s="158"/>
      <c r="R20" s="146"/>
      <c r="S20" s="146"/>
      <c r="T20" s="146"/>
      <c r="U20" s="175"/>
    </row>
    <row r="21" spans="1:21">
      <c r="A21" s="171"/>
      <c r="B21" s="2" t="s">
        <v>35</v>
      </c>
      <c r="C21" s="63">
        <v>237</v>
      </c>
      <c r="D21" s="67">
        <f t="shared" si="6"/>
        <v>9</v>
      </c>
      <c r="E21" s="146"/>
      <c r="F21" s="59">
        <f t="shared" si="7"/>
        <v>1.5999999999997897E-3</v>
      </c>
      <c r="G21" s="163"/>
      <c r="H21" s="161"/>
      <c r="I21" s="161"/>
      <c r="J21" s="167"/>
      <c r="K21" s="161"/>
      <c r="L21" s="146"/>
      <c r="M21" s="146"/>
      <c r="N21" s="146"/>
      <c r="O21" s="146"/>
      <c r="P21" s="161"/>
      <c r="Q21" s="158"/>
      <c r="R21" s="146"/>
      <c r="S21" s="146"/>
      <c r="T21" s="146"/>
      <c r="U21" s="175"/>
    </row>
    <row r="22" spans="1:21">
      <c r="A22" s="171"/>
      <c r="B22" s="1">
        <v>0</v>
      </c>
      <c r="C22" s="63">
        <v>246.1</v>
      </c>
      <c r="D22" s="67">
        <f t="shared" si="6"/>
        <v>9.0999999999999943</v>
      </c>
      <c r="E22" s="146"/>
      <c r="F22" s="59">
        <f t="shared" si="7"/>
        <v>3.5999999999996334E-3</v>
      </c>
      <c r="G22" s="163"/>
      <c r="H22" s="161"/>
      <c r="I22" s="161"/>
      <c r="J22" s="167"/>
      <c r="K22" s="161"/>
      <c r="L22" s="146"/>
      <c r="M22" s="146"/>
      <c r="N22" s="146"/>
      <c r="O22" s="146"/>
      <c r="P22" s="161"/>
      <c r="Q22" s="158"/>
      <c r="R22" s="146"/>
      <c r="S22" s="146"/>
      <c r="T22" s="146"/>
      <c r="U22" s="175"/>
    </row>
    <row r="23" spans="1:21" ht="15" thickBot="1">
      <c r="A23" s="172"/>
      <c r="B23" s="5" t="s">
        <v>35</v>
      </c>
      <c r="C23" s="64">
        <v>255.1</v>
      </c>
      <c r="D23" s="68">
        <f t="shared" si="6"/>
        <v>9</v>
      </c>
      <c r="E23" s="147"/>
      <c r="F23" s="61">
        <f t="shared" si="7"/>
        <v>1.5999999999997897E-3</v>
      </c>
      <c r="G23" s="164"/>
      <c r="H23" s="162"/>
      <c r="I23" s="162"/>
      <c r="J23" s="168"/>
      <c r="K23" s="162"/>
      <c r="L23" s="147"/>
      <c r="M23" s="147"/>
      <c r="N23" s="147"/>
      <c r="O23" s="147"/>
      <c r="P23" s="162"/>
      <c r="Q23" s="159"/>
      <c r="R23" s="147"/>
      <c r="S23" s="147"/>
      <c r="T23" s="147"/>
      <c r="U23" s="176"/>
    </row>
    <row r="24" spans="1:21" ht="15" thickBot="1">
      <c r="A24" s="145" t="s">
        <v>69</v>
      </c>
      <c r="B24" s="145"/>
      <c r="C24" s="145"/>
      <c r="D24" s="34" t="s">
        <v>70</v>
      </c>
      <c r="E24" s="145" t="s">
        <v>71</v>
      </c>
      <c r="F24" s="145"/>
      <c r="G24" s="145"/>
      <c r="H24" s="145"/>
      <c r="I24" s="145"/>
      <c r="J24" s="145"/>
      <c r="K24" s="145"/>
      <c r="L24" s="145"/>
      <c r="M24" s="34" t="s">
        <v>72</v>
      </c>
      <c r="N24" s="145" t="s">
        <v>73</v>
      </c>
      <c r="O24" s="145"/>
      <c r="P24" s="145" t="s">
        <v>74</v>
      </c>
      <c r="Q24" s="145"/>
      <c r="R24" s="145"/>
      <c r="S24" s="145"/>
      <c r="T24" s="145"/>
      <c r="U24" s="145"/>
    </row>
    <row r="28" spans="1:21">
      <c r="A28" t="s">
        <v>75</v>
      </c>
    </row>
    <row r="29" spans="1:21" ht="15" thickBot="1"/>
    <row r="30" spans="1:21" ht="15" thickBot="1">
      <c r="B30" s="8" t="s">
        <v>8</v>
      </c>
      <c r="C30" s="11" t="s">
        <v>12</v>
      </c>
      <c r="D30" s="16" t="s">
        <v>20</v>
      </c>
    </row>
    <row r="31" spans="1:21">
      <c r="B31" s="173">
        <v>1100</v>
      </c>
      <c r="C31" s="181">
        <v>15.650000000000006</v>
      </c>
      <c r="D31" s="177">
        <v>34430.000000000015</v>
      </c>
    </row>
    <row r="32" spans="1:21">
      <c r="B32" s="171"/>
      <c r="C32" s="182"/>
      <c r="D32" s="178"/>
    </row>
    <row r="33" spans="2:4">
      <c r="B33" s="171"/>
      <c r="C33" s="183"/>
      <c r="D33" s="178"/>
    </row>
    <row r="34" spans="2:4">
      <c r="B34" s="171">
        <v>1300</v>
      </c>
      <c r="C34" s="184">
        <v>13.266666666666671</v>
      </c>
      <c r="D34" s="178">
        <v>34493</v>
      </c>
    </row>
    <row r="35" spans="2:4">
      <c r="B35" s="171"/>
      <c r="C35" s="182"/>
      <c r="D35" s="179"/>
    </row>
    <row r="36" spans="2:4">
      <c r="B36" s="171"/>
      <c r="C36" s="182"/>
      <c r="D36" s="179"/>
    </row>
    <row r="37" spans="2:4">
      <c r="B37" s="171"/>
      <c r="C37" s="183"/>
      <c r="D37" s="179"/>
    </row>
    <row r="38" spans="2:4">
      <c r="B38" s="171">
        <v>1500</v>
      </c>
      <c r="C38" s="184">
        <v>11.5</v>
      </c>
      <c r="D38" s="178">
        <v>34500</v>
      </c>
    </row>
    <row r="39" spans="2:4">
      <c r="B39" s="171"/>
      <c r="C39" s="182"/>
      <c r="D39" s="178"/>
    </row>
    <row r="40" spans="2:4">
      <c r="B40" s="171"/>
      <c r="C40" s="182"/>
      <c r="D40" s="178"/>
    </row>
    <row r="41" spans="2:4">
      <c r="B41" s="171"/>
      <c r="C41" s="183"/>
      <c r="D41" s="178"/>
    </row>
    <row r="42" spans="2:4">
      <c r="B42" s="171">
        <v>1700</v>
      </c>
      <c r="C42" s="184">
        <v>10.100000000000001</v>
      </c>
      <c r="D42" s="178">
        <v>34340.000000000007</v>
      </c>
    </row>
    <row r="43" spans="2:4">
      <c r="B43" s="171"/>
      <c r="C43" s="182"/>
      <c r="D43" s="178"/>
    </row>
    <row r="44" spans="2:4">
      <c r="B44" s="171"/>
      <c r="C44" s="182"/>
      <c r="D44" s="178"/>
    </row>
    <row r="45" spans="2:4">
      <c r="B45" s="171"/>
      <c r="C45" s="182"/>
      <c r="D45" s="178"/>
    </row>
    <row r="46" spans="2:4">
      <c r="B46" s="171"/>
      <c r="C46" s="183"/>
      <c r="D46" s="178"/>
    </row>
    <row r="47" spans="2:4">
      <c r="B47" s="171">
        <v>1900</v>
      </c>
      <c r="C47" s="184">
        <v>9.0399999999999974</v>
      </c>
      <c r="D47" s="178">
        <v>34351.999999999993</v>
      </c>
    </row>
    <row r="48" spans="2:4">
      <c r="B48" s="171"/>
      <c r="C48" s="182"/>
      <c r="D48" s="178"/>
    </row>
    <row r="49" spans="2:4">
      <c r="B49" s="171"/>
      <c r="C49" s="182"/>
      <c r="D49" s="178"/>
    </row>
    <row r="50" spans="2:4">
      <c r="B50" s="171"/>
      <c r="C50" s="182"/>
      <c r="D50" s="178"/>
    </row>
    <row r="51" spans="2:4">
      <c r="B51" s="171"/>
      <c r="C51" s="182"/>
      <c r="D51" s="178"/>
    </row>
    <row r="52" spans="2:4" ht="15" thickBot="1">
      <c r="B52" s="172"/>
      <c r="C52" s="185"/>
      <c r="D52" s="180"/>
    </row>
  </sheetData>
  <mergeCells count="90">
    <mergeCell ref="C31:C33"/>
    <mergeCell ref="C34:C37"/>
    <mergeCell ref="C38:C41"/>
    <mergeCell ref="C42:C46"/>
    <mergeCell ref="C47:C52"/>
    <mergeCell ref="D31:D33"/>
    <mergeCell ref="D34:D37"/>
    <mergeCell ref="D38:D41"/>
    <mergeCell ref="D42:D46"/>
    <mergeCell ref="D47:D52"/>
    <mergeCell ref="B31:B33"/>
    <mergeCell ref="B34:B37"/>
    <mergeCell ref="B38:B41"/>
    <mergeCell ref="B42:B46"/>
    <mergeCell ref="B47:B52"/>
    <mergeCell ref="U2:U23"/>
    <mergeCell ref="S2:S23"/>
    <mergeCell ref="R2:R4"/>
    <mergeCell ref="R5:R8"/>
    <mergeCell ref="R9:R12"/>
    <mergeCell ref="R13:R17"/>
    <mergeCell ref="R18:R23"/>
    <mergeCell ref="A9:A12"/>
    <mergeCell ref="A13:A17"/>
    <mergeCell ref="A18:A23"/>
    <mergeCell ref="A5:A8"/>
    <mergeCell ref="A2:A4"/>
    <mergeCell ref="E18:E23"/>
    <mergeCell ref="I2:I4"/>
    <mergeCell ref="I5:I8"/>
    <mergeCell ref="I9:I12"/>
    <mergeCell ref="I13:I17"/>
    <mergeCell ref="I18:I23"/>
    <mergeCell ref="H2:H4"/>
    <mergeCell ref="H5:H8"/>
    <mergeCell ref="H9:H12"/>
    <mergeCell ref="H13:H17"/>
    <mergeCell ref="H18:H23"/>
    <mergeCell ref="E2:E4"/>
    <mergeCell ref="E5:E8"/>
    <mergeCell ref="E9:E12"/>
    <mergeCell ref="E13:E17"/>
    <mergeCell ref="G2:G4"/>
    <mergeCell ref="G5:G8"/>
    <mergeCell ref="G9:G12"/>
    <mergeCell ref="G13:G17"/>
    <mergeCell ref="G18:G23"/>
    <mergeCell ref="K2:K23"/>
    <mergeCell ref="J18:J23"/>
    <mergeCell ref="J13:J17"/>
    <mergeCell ref="J9:J12"/>
    <mergeCell ref="J5:J8"/>
    <mergeCell ref="J2:J4"/>
    <mergeCell ref="L2:L4"/>
    <mergeCell ref="L5:L8"/>
    <mergeCell ref="L9:L12"/>
    <mergeCell ref="L13:L17"/>
    <mergeCell ref="L18:L23"/>
    <mergeCell ref="Z2:AB2"/>
    <mergeCell ref="N2:N4"/>
    <mergeCell ref="N5:N8"/>
    <mergeCell ref="N9:N12"/>
    <mergeCell ref="N13:N17"/>
    <mergeCell ref="O2:O4"/>
    <mergeCell ref="O5:O8"/>
    <mergeCell ref="O9:O12"/>
    <mergeCell ref="O13:O17"/>
    <mergeCell ref="Q2:Q23"/>
    <mergeCell ref="P2:P4"/>
    <mergeCell ref="P5:P8"/>
    <mergeCell ref="P9:P12"/>
    <mergeCell ref="P13:P17"/>
    <mergeCell ref="P18:P23"/>
    <mergeCell ref="T2:T23"/>
    <mergeCell ref="AZ3:BB3"/>
    <mergeCell ref="A24:C24"/>
    <mergeCell ref="E24:L24"/>
    <mergeCell ref="N24:O24"/>
    <mergeCell ref="P24:U24"/>
    <mergeCell ref="N18:N23"/>
    <mergeCell ref="AE8:AG8"/>
    <mergeCell ref="AU13:AV13"/>
    <mergeCell ref="AU14:AV14"/>
    <mergeCell ref="AU12:AV12"/>
    <mergeCell ref="O18:O23"/>
    <mergeCell ref="M2:M4"/>
    <mergeCell ref="M5:M8"/>
    <mergeCell ref="M9:M12"/>
    <mergeCell ref="M13:M17"/>
    <mergeCell ref="M18:M23"/>
  </mergeCells>
  <phoneticPr fontId="7" type="noConversion"/>
  <hyperlinks>
    <hyperlink ref="AE2" r:id="rId1" xr:uid="{05DF0921-98BA-49F4-B7E8-69CB8A25D833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817B-7DC5-450E-BBB0-E4DD5070680A}">
  <dimension ref="A1:BF25"/>
  <sheetViews>
    <sheetView zoomScale="98" zoomScaleNormal="98" workbookViewId="0">
      <selection activeCell="M14" sqref="M14"/>
    </sheetView>
  </sheetViews>
  <sheetFormatPr defaultRowHeight="14.45"/>
  <cols>
    <col min="1" max="1" width="8.7109375" customWidth="1"/>
    <col min="9" max="9" width="14.28515625" customWidth="1"/>
    <col min="10" max="10" width="10.28515625" customWidth="1"/>
    <col min="11" max="16" width="10.42578125" bestFit="1" customWidth="1"/>
    <col min="18" max="18" width="10.42578125" bestFit="1" customWidth="1"/>
    <col min="19" max="19" width="12.7109375" customWidth="1"/>
    <col min="20" max="20" width="18.7109375" customWidth="1"/>
    <col min="21" max="21" width="13.7109375" bestFit="1" customWidth="1"/>
    <col min="23" max="23" width="13.7109375" bestFit="1" customWidth="1"/>
    <col min="24" max="24" width="16.28515625" customWidth="1"/>
    <col min="47" max="47" width="13" customWidth="1"/>
    <col min="48" max="48" width="9.7109375" customWidth="1"/>
    <col min="49" max="49" width="10.28515625" customWidth="1"/>
    <col min="50" max="50" width="22.28515625" customWidth="1"/>
    <col min="57" max="57" width="12.7109375" bestFit="1" customWidth="1"/>
  </cols>
  <sheetData>
    <row r="1" spans="1:58">
      <c r="A1" s="161" t="s">
        <v>76</v>
      </c>
      <c r="B1" s="161" t="s">
        <v>77</v>
      </c>
      <c r="C1" s="148" t="s">
        <v>78</v>
      </c>
      <c r="D1" s="148"/>
      <c r="E1" s="148"/>
      <c r="F1" s="148"/>
      <c r="G1" s="148"/>
      <c r="H1" s="161" t="s">
        <v>79</v>
      </c>
      <c r="I1" s="161" t="s">
        <v>80</v>
      </c>
      <c r="J1" s="161" t="s">
        <v>81</v>
      </c>
      <c r="K1" s="148" t="s">
        <v>82</v>
      </c>
      <c r="L1" s="148"/>
      <c r="M1" s="148"/>
      <c r="N1" s="148"/>
      <c r="O1" s="148"/>
      <c r="P1" s="161" t="s">
        <v>83</v>
      </c>
      <c r="Q1" s="161" t="s">
        <v>84</v>
      </c>
      <c r="R1" s="161" t="s">
        <v>85</v>
      </c>
      <c r="S1" s="158" t="s">
        <v>86</v>
      </c>
      <c r="T1" s="161" t="s">
        <v>87</v>
      </c>
      <c r="U1" s="192" t="s">
        <v>88</v>
      </c>
      <c r="W1" t="s">
        <v>89</v>
      </c>
      <c r="AF1" t="s">
        <v>90</v>
      </c>
      <c r="AP1" t="s">
        <v>6</v>
      </c>
      <c r="BA1" t="s">
        <v>31</v>
      </c>
    </row>
    <row r="2" spans="1:58" ht="15" thickBot="1">
      <c r="A2" s="161"/>
      <c r="B2" s="161"/>
      <c r="C2" s="3">
        <v>1</v>
      </c>
      <c r="D2" s="3">
        <v>2</v>
      </c>
      <c r="E2" s="3">
        <v>3</v>
      </c>
      <c r="F2" s="3">
        <v>4</v>
      </c>
      <c r="G2" s="3">
        <v>5</v>
      </c>
      <c r="H2" s="161"/>
      <c r="I2" s="161"/>
      <c r="J2" s="161"/>
      <c r="K2" s="3">
        <v>1</v>
      </c>
      <c r="L2" s="3">
        <v>2</v>
      </c>
      <c r="M2" s="3">
        <v>3</v>
      </c>
      <c r="N2" s="3">
        <v>4</v>
      </c>
      <c r="O2" s="3">
        <v>5</v>
      </c>
      <c r="P2" s="161"/>
      <c r="Q2" s="161"/>
      <c r="R2" s="161"/>
      <c r="S2" s="158"/>
      <c r="T2" s="161"/>
      <c r="U2" s="192"/>
      <c r="AU2" t="s">
        <v>80</v>
      </c>
      <c r="AV2" t="s">
        <v>56</v>
      </c>
      <c r="AW2" t="s">
        <v>91</v>
      </c>
      <c r="AX2" t="s">
        <v>92</v>
      </c>
    </row>
    <row r="3" spans="1:58" ht="14.65" customHeight="1">
      <c r="A3" s="3">
        <v>1</v>
      </c>
      <c r="B3" s="3">
        <v>60</v>
      </c>
      <c r="C3" s="3">
        <v>15.52</v>
      </c>
      <c r="D3" s="3">
        <v>15.52</v>
      </c>
      <c r="E3" s="3">
        <v>15.52</v>
      </c>
      <c r="F3" s="3">
        <v>15.51</v>
      </c>
      <c r="G3" s="3">
        <v>15.52</v>
      </c>
      <c r="H3" s="74">
        <v>0.6</v>
      </c>
      <c r="I3" s="74">
        <f t="shared" ref="I3:I10" si="0">SQRT(H3)</f>
        <v>0.7745966692414834</v>
      </c>
      <c r="J3" s="77">
        <f>AVERAGE(C3:G3)</f>
        <v>15.518000000000001</v>
      </c>
      <c r="K3" s="72">
        <f>POWER(C3-J3,2)</f>
        <v>3.9999999999955664E-6</v>
      </c>
      <c r="L3" s="72">
        <f>POWER(D3-J3,2)</f>
        <v>3.9999999999955664E-6</v>
      </c>
      <c r="M3" s="72">
        <f>POWER(E3-J3,2)</f>
        <v>3.9999999999955664E-6</v>
      </c>
      <c r="N3" s="72">
        <f>POWER(F3-J3,2)</f>
        <v>6.4000000000014322E-5</v>
      </c>
      <c r="O3" s="72">
        <f>POWER(G3-J3,2)</f>
        <v>3.9999999999955664E-6</v>
      </c>
      <c r="P3" s="77">
        <f>SQRT(SUM(K3:O3)/($E$16*($E$16 - 1)))*$E$15</f>
        <v>2.2819999999999516E-3</v>
      </c>
      <c r="Q3" s="74">
        <f>J3/10</f>
        <v>1.5518000000000001</v>
      </c>
      <c r="R3" s="79">
        <f>SQRT(POWER((1/10)*S3,2))</f>
        <v>2.3539025751575005E-4</v>
      </c>
      <c r="S3" s="77">
        <f>SQRT(POWER(P3,2)+POWER($P$13,2))</f>
        <v>2.3539025751575004E-3</v>
      </c>
      <c r="T3" s="187">
        <f>POWER(2*PI()/AQ3,2)</f>
        <v>9.9017683597127863</v>
      </c>
      <c r="U3" s="190">
        <f>SQRT(POWER(-8*POWER(PI(),2)/POWER(AQ3,3)*AQ4,2))</f>
        <v>9.6559165828745408E-2</v>
      </c>
      <c r="AP3" t="s">
        <v>93</v>
      </c>
      <c r="AQ3" cm="1">
        <f t="array" ref="AQ3:AR7">LINEST(Q3:Q10,I3:I10,TRUE,TRUE)</f>
        <v>1.9967490533462986</v>
      </c>
      <c r="AR3">
        <v>3.4611311511059117E-3</v>
      </c>
      <c r="AS3" t="s">
        <v>94</v>
      </c>
      <c r="AU3" s="52">
        <f t="shared" ref="AU3:AU10" si="1">I3</f>
        <v>0.7745966692414834</v>
      </c>
      <c r="AV3">
        <f>AU3*$AQ$3+$AR$3</f>
        <v>1.5501362971842338</v>
      </c>
      <c r="AW3" s="52">
        <f>AU3*$AQ$9+$AQ$10</f>
        <v>1.5366828546676436</v>
      </c>
      <c r="AX3" s="81">
        <f>AV3-AW3</f>
        <v>1.3453442516590197E-2</v>
      </c>
      <c r="BA3" s="193" t="s">
        <v>95</v>
      </c>
      <c r="BB3" s="194"/>
      <c r="BC3" s="194"/>
      <c r="BD3" s="195"/>
      <c r="BE3" s="29">
        <v>50.283299999999997</v>
      </c>
      <c r="BF3" s="30" t="s">
        <v>96</v>
      </c>
    </row>
    <row r="4" spans="1:58" ht="14.65" customHeight="1">
      <c r="A4" s="3">
        <v>2</v>
      </c>
      <c r="B4" s="3">
        <v>55</v>
      </c>
      <c r="C4" s="3">
        <v>14.86</v>
      </c>
      <c r="D4" s="3">
        <v>14.89</v>
      </c>
      <c r="E4" s="3">
        <v>14.86</v>
      </c>
      <c r="F4" s="3">
        <v>14.86</v>
      </c>
      <c r="G4" s="3">
        <v>14.87</v>
      </c>
      <c r="H4" s="74">
        <v>0.55000000000000004</v>
      </c>
      <c r="I4" s="74">
        <f t="shared" si="0"/>
        <v>0.74161984870956632</v>
      </c>
      <c r="J4" s="77">
        <f>AVERAGE(C4:G4)</f>
        <v>14.868</v>
      </c>
      <c r="K4" s="72">
        <f t="shared" ref="K4:K10" si="2">POWER(C4-J4,2)</f>
        <v>6.4000000000014322E-5</v>
      </c>
      <c r="L4" s="72">
        <f t="shared" ref="L4:L10" si="3">POWER(D4-J4,2)</f>
        <v>4.8400000000001063E-4</v>
      </c>
      <c r="M4" s="72">
        <f t="shared" ref="M4:M10" si="4">POWER(E4-J4,2)</f>
        <v>6.4000000000014322E-5</v>
      </c>
      <c r="N4" s="72">
        <f t="shared" ref="N4:N10" si="5">POWER(F4-J4,2)</f>
        <v>6.4000000000014322E-5</v>
      </c>
      <c r="O4" s="72">
        <f t="shared" ref="O4:O10" si="6">POWER(G4-J4,2)</f>
        <v>3.9999999999955664E-6</v>
      </c>
      <c r="P4" s="77">
        <f t="shared" ref="P4:P10" si="7">SQRT(SUM(K4:O4)/($E$16*($E$16 - 1)))*$E$15</f>
        <v>6.6531161120187282E-3</v>
      </c>
      <c r="Q4" s="74">
        <f t="shared" ref="Q4:Q10" si="8">J4/10</f>
        <v>1.4868000000000001</v>
      </c>
      <c r="R4" s="79">
        <f>SQRT(POWER((1/10)*S4,2))</f>
        <v>6.6781200448431997E-4</v>
      </c>
      <c r="S4" s="77">
        <f>SQRT(POWER(P4,2)+POWER($P$13,2))</f>
        <v>6.6781200448431995E-3</v>
      </c>
      <c r="T4" s="188"/>
      <c r="U4" s="188"/>
      <c r="AP4" t="s">
        <v>97</v>
      </c>
      <c r="AQ4">
        <v>9.7358580788920908E-3</v>
      </c>
      <c r="AR4">
        <v>5.9120792764725425E-3</v>
      </c>
      <c r="AS4" t="s">
        <v>98</v>
      </c>
      <c r="AU4" s="52">
        <f t="shared" si="1"/>
        <v>0.74161984870956632</v>
      </c>
      <c r="AV4">
        <f t="shared" ref="AV4:AV10" si="9">AU4*$AQ$3+$AR$3</f>
        <v>1.4842898620047575</v>
      </c>
      <c r="AW4" s="52">
        <f t="shared" ref="AW4:AW10" si="10">AU4*$AQ$9+$AQ$10</f>
        <v>1.4711574771327594</v>
      </c>
      <c r="AX4" s="81">
        <f t="shared" ref="AX4:AX10" si="11">AV4-AW4</f>
        <v>1.3132384871998193E-2</v>
      </c>
      <c r="BA4" s="196" t="s">
        <v>95</v>
      </c>
      <c r="BB4" s="197"/>
      <c r="BC4" s="197"/>
      <c r="BD4" s="198"/>
      <c r="BE4" s="3">
        <f>(BE3 / 180) * PI()</f>
        <v>0.87760914376806465</v>
      </c>
      <c r="BF4" s="23" t="s">
        <v>99</v>
      </c>
    </row>
    <row r="5" spans="1:58" ht="14.65" customHeight="1">
      <c r="A5" s="3">
        <v>3</v>
      </c>
      <c r="B5" s="3">
        <v>50</v>
      </c>
      <c r="C5" s="3">
        <v>14.14</v>
      </c>
      <c r="D5" s="3">
        <v>14.1</v>
      </c>
      <c r="E5" s="3">
        <v>14.15</v>
      </c>
      <c r="F5" s="3">
        <v>14.15</v>
      </c>
      <c r="G5" s="3">
        <v>14.12</v>
      </c>
      <c r="H5" s="74">
        <v>0.5</v>
      </c>
      <c r="I5" s="74">
        <f t="shared" si="0"/>
        <v>0.70710678118654757</v>
      </c>
      <c r="J5" s="75">
        <f>AVERAGE(C5:G5)</f>
        <v>14.132</v>
      </c>
      <c r="K5" s="72">
        <f t="shared" si="2"/>
        <v>6.4000000000014322E-5</v>
      </c>
      <c r="L5" s="72">
        <f t="shared" si="3"/>
        <v>1.0240000000000019E-3</v>
      </c>
      <c r="M5" s="72">
        <f t="shared" si="4"/>
        <v>3.2400000000002457E-4</v>
      </c>
      <c r="N5" s="72">
        <f t="shared" si="5"/>
        <v>3.2400000000002457E-4</v>
      </c>
      <c r="O5" s="72">
        <f t="shared" si="6"/>
        <v>1.4400000000001093E-4</v>
      </c>
      <c r="P5" s="77">
        <f t="shared" si="7"/>
        <v>1.1062405434624287E-2</v>
      </c>
      <c r="Q5" s="74">
        <f t="shared" si="8"/>
        <v>1.4132</v>
      </c>
      <c r="R5" s="80">
        <f t="shared" ref="R5:R10" si="12">SQRT(POWER((1/10)*S5,2))</f>
        <v>1.1077461231407597E-3</v>
      </c>
      <c r="S5" s="75">
        <f t="shared" ref="S5:S9" si="13">SQRT(POWER(P5,2)+POWER($P$13,2))</f>
        <v>1.1077461231407596E-2</v>
      </c>
      <c r="T5" s="188"/>
      <c r="U5" s="188"/>
      <c r="AP5" t="s">
        <v>100</v>
      </c>
      <c r="AQ5">
        <v>0.9998573765952079</v>
      </c>
      <c r="AR5">
        <v>4.3685072705545369E-3</v>
      </c>
      <c r="AU5" s="52">
        <f t="shared" si="1"/>
        <v>0.70710678118654757</v>
      </c>
      <c r="AV5">
        <f t="shared" si="9"/>
        <v>1.4153759271000932</v>
      </c>
      <c r="AW5" s="52">
        <f t="shared" si="10"/>
        <v>1.402579556555366</v>
      </c>
      <c r="AX5" s="81">
        <f t="shared" si="11"/>
        <v>1.2796370544727154E-2</v>
      </c>
      <c r="BA5" s="196" t="s">
        <v>101</v>
      </c>
      <c r="BB5" s="197"/>
      <c r="BC5" s="197"/>
      <c r="BD5" s="198"/>
      <c r="BE5" s="3">
        <v>225</v>
      </c>
      <c r="BF5" s="23" t="s">
        <v>102</v>
      </c>
    </row>
    <row r="6" spans="1:58" ht="14.65" customHeight="1">
      <c r="A6" s="3">
        <v>4</v>
      </c>
      <c r="B6" s="3">
        <v>45</v>
      </c>
      <c r="C6" s="3">
        <v>13.43</v>
      </c>
      <c r="D6" s="3">
        <v>13.44</v>
      </c>
      <c r="E6" s="3">
        <v>13.44</v>
      </c>
      <c r="F6" s="3">
        <v>13.43</v>
      </c>
      <c r="G6" s="3">
        <v>13.42</v>
      </c>
      <c r="H6" s="74">
        <v>0.45</v>
      </c>
      <c r="I6" s="74">
        <f t="shared" si="0"/>
        <v>0.67082039324993692</v>
      </c>
      <c r="J6" s="77">
        <f t="shared" ref="J6:J9" si="14">AVERAGE(C6:G6)</f>
        <v>13.431999999999999</v>
      </c>
      <c r="K6" s="72">
        <f t="shared" si="2"/>
        <v>3.9999999999955664E-6</v>
      </c>
      <c r="L6" s="72">
        <f t="shared" si="3"/>
        <v>6.4000000000014322E-5</v>
      </c>
      <c r="M6" s="72">
        <f t="shared" si="4"/>
        <v>6.4000000000014322E-5</v>
      </c>
      <c r="N6" s="72">
        <f t="shared" si="5"/>
        <v>3.9999999999955664E-6</v>
      </c>
      <c r="O6" s="72">
        <f t="shared" si="6"/>
        <v>1.4399999999996829E-4</v>
      </c>
      <c r="P6" s="77">
        <f t="shared" si="7"/>
        <v>4.2692310783089757E-3</v>
      </c>
      <c r="Q6" s="74">
        <f t="shared" si="8"/>
        <v>1.3431999999999999</v>
      </c>
      <c r="R6" s="79">
        <f t="shared" si="12"/>
        <v>4.3080932363787761E-4</v>
      </c>
      <c r="S6" s="77">
        <f t="shared" si="13"/>
        <v>4.3080932363787757E-3</v>
      </c>
      <c r="T6" s="188"/>
      <c r="U6" s="188"/>
      <c r="AQ6">
        <v>42062.831611092792</v>
      </c>
      <c r="AR6">
        <v>6</v>
      </c>
      <c r="AU6" s="52">
        <f t="shared" si="1"/>
        <v>0.67082039324993692</v>
      </c>
      <c r="AV6">
        <f t="shared" si="9"/>
        <v>1.3429211163383092</v>
      </c>
      <c r="AW6" s="52">
        <f t="shared" si="10"/>
        <v>1.3304780249167287</v>
      </c>
      <c r="AX6" s="81">
        <f t="shared" si="11"/>
        <v>1.244309142158051E-2</v>
      </c>
      <c r="BA6" s="199" t="s">
        <v>103</v>
      </c>
      <c r="BB6" s="148"/>
      <c r="BC6" s="148"/>
      <c r="BD6" s="200"/>
      <c r="BE6" s="3">
        <f xml:space="preserve"> 9.780318 * (1 + 0.0053024 * POWER(SIN(BE4),2) - 0.0000058 * POWER(SIN(2 * BE4),2) ) - 3.086 * POWER(10, -16) * BE5</f>
        <v>9.8109476836258036</v>
      </c>
      <c r="BF6" s="23" t="s">
        <v>104</v>
      </c>
    </row>
    <row r="7" spans="1:58" ht="14.65" customHeight="1">
      <c r="A7" s="3">
        <v>5</v>
      </c>
      <c r="B7" s="3">
        <v>35</v>
      </c>
      <c r="C7" s="3">
        <v>11.84</v>
      </c>
      <c r="D7" s="3">
        <v>11.83</v>
      </c>
      <c r="E7" s="3">
        <v>11.82</v>
      </c>
      <c r="F7" s="3">
        <v>11.82</v>
      </c>
      <c r="G7" s="3">
        <v>11.83</v>
      </c>
      <c r="H7" s="74">
        <v>0.35</v>
      </c>
      <c r="I7" s="74">
        <f t="shared" si="0"/>
        <v>0.59160797830996159</v>
      </c>
      <c r="J7" s="77">
        <f t="shared" si="14"/>
        <v>11.827999999999999</v>
      </c>
      <c r="K7" s="72">
        <f t="shared" si="2"/>
        <v>1.4400000000001093E-4</v>
      </c>
      <c r="L7" s="72">
        <f t="shared" si="3"/>
        <v>4.0000000000026714E-6</v>
      </c>
      <c r="M7" s="72">
        <f t="shared" si="4"/>
        <v>6.3999999999985902E-5</v>
      </c>
      <c r="N7" s="72">
        <f t="shared" si="5"/>
        <v>6.3999999999985902E-5</v>
      </c>
      <c r="O7" s="72">
        <f t="shared" si="6"/>
        <v>4.0000000000026714E-6</v>
      </c>
      <c r="P7" s="77">
        <f t="shared" si="7"/>
        <v>4.2692310783089757E-3</v>
      </c>
      <c r="Q7" s="74">
        <f t="shared" si="8"/>
        <v>1.1827999999999999</v>
      </c>
      <c r="R7" s="79">
        <f t="shared" si="12"/>
        <v>4.3080932363787761E-4</v>
      </c>
      <c r="S7" s="77">
        <f t="shared" si="13"/>
        <v>4.3080932363787757E-3</v>
      </c>
      <c r="T7" s="188"/>
      <c r="U7" s="188"/>
      <c r="AQ7">
        <v>0.80272101186536282</v>
      </c>
      <c r="AR7">
        <v>1.1450313463732712E-4</v>
      </c>
      <c r="AU7" s="52">
        <f t="shared" si="1"/>
        <v>0.59160797830996159</v>
      </c>
      <c r="AV7">
        <f t="shared" si="9"/>
        <v>1.1847538017936392</v>
      </c>
      <c r="AW7" s="52">
        <f t="shared" si="10"/>
        <v>1.1730819112020006</v>
      </c>
      <c r="AX7" s="81">
        <f t="shared" si="11"/>
        <v>1.1671890591638645E-2</v>
      </c>
      <c r="BA7" s="199" t="s">
        <v>87</v>
      </c>
      <c r="BB7" s="148"/>
      <c r="BC7" s="148"/>
      <c r="BD7" s="200"/>
      <c r="BE7" s="82">
        <f>T3</f>
        <v>9.9017683597127863</v>
      </c>
      <c r="BF7" s="23" t="s">
        <v>104</v>
      </c>
    </row>
    <row r="8" spans="1:58" ht="14.65" customHeight="1">
      <c r="A8" s="3">
        <v>6</v>
      </c>
      <c r="B8" s="3">
        <v>25</v>
      </c>
      <c r="C8" s="3">
        <v>10.02</v>
      </c>
      <c r="D8" s="3">
        <v>10.01</v>
      </c>
      <c r="E8" s="3">
        <v>10.02</v>
      </c>
      <c r="F8" s="3">
        <v>10.02</v>
      </c>
      <c r="G8" s="3">
        <v>10.01</v>
      </c>
      <c r="H8" s="74">
        <v>0.25</v>
      </c>
      <c r="I8" s="74">
        <f t="shared" si="0"/>
        <v>0.5</v>
      </c>
      <c r="J8" s="77">
        <f t="shared" si="14"/>
        <v>10.016</v>
      </c>
      <c r="K8" s="72">
        <f t="shared" si="2"/>
        <v>1.5999999999996476E-5</v>
      </c>
      <c r="L8" s="72">
        <f t="shared" si="3"/>
        <v>3.6000000000002732E-5</v>
      </c>
      <c r="M8" s="72">
        <f t="shared" si="4"/>
        <v>1.5999999999996476E-5</v>
      </c>
      <c r="N8" s="72">
        <f t="shared" si="5"/>
        <v>1.5999999999996476E-5</v>
      </c>
      <c r="O8" s="72">
        <f t="shared" si="6"/>
        <v>3.6000000000002732E-5</v>
      </c>
      <c r="P8" s="77">
        <f t="shared" si="7"/>
        <v>2.7948677965155466E-3</v>
      </c>
      <c r="Q8" s="74">
        <f t="shared" si="8"/>
        <v>1.0016</v>
      </c>
      <c r="R8" s="79">
        <f t="shared" si="12"/>
        <v>2.8538779464674029E-4</v>
      </c>
      <c r="S8" s="77">
        <f t="shared" si="13"/>
        <v>2.853877946467403E-3</v>
      </c>
      <c r="T8" s="188"/>
      <c r="U8" s="188"/>
      <c r="AU8" s="52">
        <f t="shared" si="1"/>
        <v>0.5</v>
      </c>
      <c r="AV8">
        <f t="shared" si="9"/>
        <v>1.0018356578242553</v>
      </c>
      <c r="AW8" s="52">
        <f t="shared" si="10"/>
        <v>0.99105564950833669</v>
      </c>
      <c r="AX8" s="81">
        <f t="shared" si="11"/>
        <v>1.0780008315918632E-2</v>
      </c>
      <c r="BA8" s="199" t="s">
        <v>105</v>
      </c>
      <c r="BB8" s="148"/>
      <c r="BC8" s="148"/>
      <c r="BD8" s="200"/>
      <c r="BE8" s="3">
        <f xml:space="preserve"> 2 * U3</f>
        <v>0.19311833165749082</v>
      </c>
      <c r="BF8" s="23" t="s">
        <v>104</v>
      </c>
    </row>
    <row r="9" spans="1:58" ht="14.65" customHeight="1">
      <c r="A9" s="3">
        <v>7</v>
      </c>
      <c r="B9" s="3">
        <v>15</v>
      </c>
      <c r="C9" s="3">
        <v>7.7</v>
      </c>
      <c r="D9" s="3">
        <v>7.7</v>
      </c>
      <c r="E9" s="3">
        <v>7.71</v>
      </c>
      <c r="F9" s="3">
        <v>7.7</v>
      </c>
      <c r="G9" s="3">
        <v>7.68</v>
      </c>
      <c r="H9" s="74">
        <v>0.15</v>
      </c>
      <c r="I9" s="74">
        <f t="shared" si="0"/>
        <v>0.3872983346207417</v>
      </c>
      <c r="J9" s="77">
        <f t="shared" si="14"/>
        <v>7.6979999999999986</v>
      </c>
      <c r="K9" s="72">
        <f t="shared" si="2"/>
        <v>4.0000000000062247E-6</v>
      </c>
      <c r="L9" s="72">
        <f t="shared" si="3"/>
        <v>4.0000000000062247E-6</v>
      </c>
      <c r="M9" s="72">
        <f t="shared" si="4"/>
        <v>1.4400000000003223E-4</v>
      </c>
      <c r="N9" s="72">
        <f t="shared" si="5"/>
        <v>4.0000000000062247E-6</v>
      </c>
      <c r="O9" s="72">
        <f t="shared" si="6"/>
        <v>3.239999999999606E-4</v>
      </c>
      <c r="P9" s="77">
        <f t="shared" si="7"/>
        <v>5.5897355930312797E-3</v>
      </c>
      <c r="Q9" s="74">
        <f t="shared" si="8"/>
        <v>0.76979999999999982</v>
      </c>
      <c r="R9" s="79">
        <f t="shared" si="12"/>
        <v>5.6194730476561664E-4</v>
      </c>
      <c r="S9" s="77">
        <f t="shared" si="13"/>
        <v>5.6194730476561662E-3</v>
      </c>
      <c r="T9" s="188"/>
      <c r="U9" s="188"/>
      <c r="AP9" t="s">
        <v>106</v>
      </c>
      <c r="AQ9">
        <f>AQ3-AQ4</f>
        <v>1.9870131952674066</v>
      </c>
      <c r="AU9" s="52">
        <f t="shared" si="1"/>
        <v>0.3872983346207417</v>
      </c>
      <c r="AV9">
        <f t="shared" si="9"/>
        <v>0.77679871416766988</v>
      </c>
      <c r="AW9" s="52">
        <f t="shared" si="10"/>
        <v>0.76711595327113857</v>
      </c>
      <c r="AX9" s="81">
        <f t="shared" si="11"/>
        <v>9.6827608965313061E-3</v>
      </c>
      <c r="BA9" s="199" t="s">
        <v>107</v>
      </c>
      <c r="BB9" s="148"/>
      <c r="BC9" s="148"/>
      <c r="BD9" s="148"/>
      <c r="BE9" s="82">
        <f>BE7-BE6</f>
        <v>9.0820676086982743E-2</v>
      </c>
      <c r="BF9" s="23" t="s">
        <v>104</v>
      </c>
    </row>
    <row r="10" spans="1:58" ht="15" thickBot="1">
      <c r="A10" s="70">
        <v>8</v>
      </c>
      <c r="B10" s="70">
        <v>10</v>
      </c>
      <c r="C10" s="70">
        <v>6.43</v>
      </c>
      <c r="D10" s="70">
        <v>6.4</v>
      </c>
      <c r="E10" s="70">
        <v>6.41</v>
      </c>
      <c r="F10" s="70">
        <v>6.42</v>
      </c>
      <c r="G10" s="70">
        <v>6.43</v>
      </c>
      <c r="H10" s="74">
        <v>0.1</v>
      </c>
      <c r="I10" s="74">
        <f t="shared" si="0"/>
        <v>0.31622776601683794</v>
      </c>
      <c r="J10" s="77">
        <f>AVERAGE(C10:G10)</f>
        <v>6.418000000000001</v>
      </c>
      <c r="K10" s="72">
        <f t="shared" si="2"/>
        <v>1.4399999999996829E-4</v>
      </c>
      <c r="L10" s="72">
        <f t="shared" si="3"/>
        <v>3.2400000000002457E-4</v>
      </c>
      <c r="M10" s="72">
        <f t="shared" si="4"/>
        <v>6.4000000000014322E-5</v>
      </c>
      <c r="N10" s="72">
        <f t="shared" si="5"/>
        <v>3.9999999999955664E-6</v>
      </c>
      <c r="O10" s="72">
        <f t="shared" si="6"/>
        <v>1.4399999999996829E-4</v>
      </c>
      <c r="P10" s="77">
        <f t="shared" si="7"/>
        <v>6.6531161120183466E-3</v>
      </c>
      <c r="Q10" s="74">
        <f t="shared" si="8"/>
        <v>0.64180000000000015</v>
      </c>
      <c r="R10" s="79">
        <f t="shared" si="12"/>
        <v>6.6781200448428192E-4</v>
      </c>
      <c r="S10" s="77">
        <f>SQRT(POWER(P10,2)+POWER($P$13,2))</f>
        <v>6.6781200448428188E-3</v>
      </c>
      <c r="T10" s="189"/>
      <c r="U10" s="189"/>
      <c r="AP10" t="s">
        <v>108</v>
      </c>
      <c r="AQ10">
        <f>AR3 - AR4</f>
        <v>-2.4509481253666308E-3</v>
      </c>
      <c r="AU10" s="52">
        <f t="shared" si="1"/>
        <v>0.31622776601683794</v>
      </c>
      <c r="AV10">
        <f t="shared" si="9"/>
        <v>0.6348886235870419</v>
      </c>
      <c r="AW10" s="52">
        <f t="shared" si="10"/>
        <v>0.62589779566002435</v>
      </c>
      <c r="AX10" s="81">
        <f t="shared" si="11"/>
        <v>8.9908279270175528E-3</v>
      </c>
      <c r="BA10" s="201" t="s">
        <v>109</v>
      </c>
      <c r="BB10" s="150"/>
      <c r="BC10" s="150"/>
      <c r="BD10" s="150"/>
      <c r="BE10" s="69" t="b">
        <f>BE9 &lt; BE8</f>
        <v>1</v>
      </c>
      <c r="BF10" s="25"/>
    </row>
    <row r="11" spans="1:58">
      <c r="A11" s="186" t="s">
        <v>110</v>
      </c>
      <c r="B11" s="186"/>
      <c r="C11" s="186"/>
      <c r="D11" s="186"/>
      <c r="E11" s="186"/>
      <c r="F11" s="186"/>
      <c r="G11" s="186"/>
      <c r="H11" s="186" t="s">
        <v>111</v>
      </c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71" t="s">
        <v>112</v>
      </c>
      <c r="U11" s="73" t="s">
        <v>113</v>
      </c>
      <c r="AU11" s="52"/>
    </row>
    <row r="12" spans="1:58" ht="15" thickBot="1">
      <c r="P12" t="s">
        <v>114</v>
      </c>
    </row>
    <row r="13" spans="1:58">
      <c r="A13" s="204" t="s">
        <v>115</v>
      </c>
      <c r="B13" s="152"/>
      <c r="C13" s="152"/>
      <c r="D13" s="152"/>
      <c r="E13" s="29">
        <v>0.01</v>
      </c>
      <c r="F13" s="30" t="s">
        <v>116</v>
      </c>
      <c r="P13" s="78">
        <f>0.001/SQRT(3)</f>
        <v>5.773502691896258E-4</v>
      </c>
    </row>
    <row r="14" spans="1:58">
      <c r="A14" s="199" t="s">
        <v>117</v>
      </c>
      <c r="B14" s="148"/>
      <c r="C14" s="148"/>
      <c r="D14" s="148"/>
      <c r="E14" s="3">
        <v>1</v>
      </c>
      <c r="F14" s="23" t="s">
        <v>118</v>
      </c>
    </row>
    <row r="15" spans="1:58">
      <c r="A15" s="202" t="s">
        <v>119</v>
      </c>
      <c r="B15" s="203"/>
      <c r="C15" s="203"/>
      <c r="D15" s="203"/>
      <c r="E15" s="70">
        <v>1.141</v>
      </c>
      <c r="F15" s="76"/>
    </row>
    <row r="16" spans="1:58" ht="15" thickBot="1">
      <c r="A16" s="201" t="s">
        <v>120</v>
      </c>
      <c r="B16" s="150"/>
      <c r="C16" s="150"/>
      <c r="D16" s="150"/>
      <c r="E16" s="69">
        <v>5</v>
      </c>
      <c r="F16" s="25"/>
    </row>
    <row r="19" spans="54:55" ht="14.65" customHeight="1"/>
    <row r="25" spans="54:55">
      <c r="BB25" s="191"/>
      <c r="BC25" s="191"/>
    </row>
  </sheetData>
  <mergeCells count="30">
    <mergeCell ref="A16:D16"/>
    <mergeCell ref="C1:G1"/>
    <mergeCell ref="B1:B2"/>
    <mergeCell ref="A1:A2"/>
    <mergeCell ref="A15:D15"/>
    <mergeCell ref="A13:D13"/>
    <mergeCell ref="A14:D14"/>
    <mergeCell ref="A11:G11"/>
    <mergeCell ref="T3:T10"/>
    <mergeCell ref="U3:U10"/>
    <mergeCell ref="BB25:BC25"/>
    <mergeCell ref="U1:U2"/>
    <mergeCell ref="T1:T2"/>
    <mergeCell ref="BA3:BD3"/>
    <mergeCell ref="BA5:BD5"/>
    <mergeCell ref="BA4:BD4"/>
    <mergeCell ref="BA6:BD6"/>
    <mergeCell ref="BA7:BD7"/>
    <mergeCell ref="BA8:BD8"/>
    <mergeCell ref="BA9:BD9"/>
    <mergeCell ref="BA10:BD10"/>
    <mergeCell ref="R1:R2"/>
    <mergeCell ref="H1:H2"/>
    <mergeCell ref="H11:S11"/>
    <mergeCell ref="S1:S2"/>
    <mergeCell ref="P1:P2"/>
    <mergeCell ref="Q1:Q2"/>
    <mergeCell ref="I1:I2"/>
    <mergeCell ref="J1:J2"/>
    <mergeCell ref="K1:O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1990-9222-480D-9927-AE0EEEAA4F81}">
  <dimension ref="A1:AD13"/>
  <sheetViews>
    <sheetView topLeftCell="H1" workbookViewId="0">
      <selection activeCell="AD7" sqref="AD7"/>
    </sheetView>
  </sheetViews>
  <sheetFormatPr defaultRowHeight="14.45"/>
  <cols>
    <col min="1" max="1" width="38.7109375" customWidth="1"/>
    <col min="3" max="3" width="21.7109375" customWidth="1"/>
    <col min="6" max="6" width="14.28515625" customWidth="1"/>
    <col min="12" max="12" width="11" bestFit="1" customWidth="1"/>
    <col min="14" max="14" width="13.28515625" customWidth="1"/>
    <col min="16" max="16" width="11.28515625" customWidth="1"/>
    <col min="19" max="19" width="9.28515625" bestFit="1" customWidth="1"/>
    <col min="21" max="21" width="9.28515625" bestFit="1" customWidth="1"/>
    <col min="29" max="29" width="9.28515625" bestFit="1" customWidth="1"/>
  </cols>
  <sheetData>
    <row r="1" spans="1:30">
      <c r="A1" s="84" t="s">
        <v>121</v>
      </c>
      <c r="B1" s="84">
        <v>20.8</v>
      </c>
      <c r="C1" s="84" t="s">
        <v>122</v>
      </c>
      <c r="D1" s="84">
        <v>998.2</v>
      </c>
    </row>
    <row r="2" spans="1:30">
      <c r="A2" s="84"/>
      <c r="B2" s="84" t="s">
        <v>123</v>
      </c>
      <c r="C2" s="84"/>
      <c r="D2" s="84"/>
      <c r="E2" t="s">
        <v>124</v>
      </c>
      <c r="H2" t="s">
        <v>125</v>
      </c>
      <c r="K2" t="s">
        <v>126</v>
      </c>
    </row>
    <row r="3" spans="1:30">
      <c r="A3" s="84" t="s">
        <v>127</v>
      </c>
      <c r="B3" s="84">
        <f>18.77/1000</f>
        <v>1.8769999999999998E-2</v>
      </c>
      <c r="C3" s="84"/>
      <c r="D3" s="84"/>
      <c r="N3" s="84" t="s">
        <v>128</v>
      </c>
      <c r="O3" s="84" t="s">
        <v>129</v>
      </c>
      <c r="P3" s="84" t="s">
        <v>130</v>
      </c>
      <c r="Q3" s="85" t="s">
        <v>128</v>
      </c>
      <c r="R3" s="3" t="s">
        <v>131</v>
      </c>
      <c r="S3" s="3" t="s">
        <v>132</v>
      </c>
      <c r="T3" s="86" t="s">
        <v>128</v>
      </c>
      <c r="U3" s="84" t="s">
        <v>133</v>
      </c>
      <c r="V3" s="84" t="s">
        <v>134</v>
      </c>
      <c r="AA3" t="s">
        <v>135</v>
      </c>
      <c r="AB3" t="s">
        <v>136</v>
      </c>
      <c r="AC3" t="s">
        <v>137</v>
      </c>
      <c r="AD3" t="s">
        <v>138</v>
      </c>
    </row>
    <row r="4" spans="1:30">
      <c r="A4" s="84" t="s">
        <v>139</v>
      </c>
      <c r="B4" s="84">
        <f>44.45/1000</f>
        <v>4.4450000000000003E-2</v>
      </c>
      <c r="C4" s="84"/>
      <c r="D4" s="84"/>
      <c r="N4" s="84" t="s">
        <v>140</v>
      </c>
      <c r="O4" s="84">
        <f>D1 * ((B5-B4)/POWER(B4-B3,2))</f>
        <v>2739.7195048572771</v>
      </c>
      <c r="P4" s="84">
        <f>SQRT((O4*L5)^2+(O5*L5)^2+(O6*L5)^2)</f>
        <v>3.2913356207159176E-2</v>
      </c>
      <c r="Q4" s="85" t="s">
        <v>140</v>
      </c>
      <c r="R4" s="3">
        <f>D1 * ((B6-B4)/POWER(B4-B3,2))</f>
        <v>1468.2474694539042</v>
      </c>
      <c r="S4" s="3">
        <f>SQRT((R4*$L$5)^2 + (R5*$L$5)^2 + (R6*$L$5)^2)</f>
        <v>3.2353878529532046E-2</v>
      </c>
      <c r="T4" s="86" t="s">
        <v>140</v>
      </c>
      <c r="U4" s="84">
        <f>D1*(-B4+B8)/(B4+B7-B8-B3)^2</f>
        <v>2229163.6039298824</v>
      </c>
      <c r="V4" s="84">
        <f>SQRT((U4*L5)^2+(U5*L5)^2+(U6*L5)^2+(U7*L5)^2)</f>
        <v>2.6616891025702505</v>
      </c>
      <c r="X4" t="s">
        <v>141</v>
      </c>
      <c r="Y4">
        <f>P4*2</f>
        <v>6.5826712414318353E-2</v>
      </c>
      <c r="AA4">
        <v>1026.8</v>
      </c>
      <c r="AB4">
        <v>1041.4000000000001</v>
      </c>
      <c r="AC4">
        <f>AVERAGE(AA4:AB4)</f>
        <v>1034.0999999999999</v>
      </c>
      <c r="AD4">
        <v>1070.7</v>
      </c>
    </row>
    <row r="5" spans="1:30">
      <c r="A5" s="84" t="s">
        <v>142</v>
      </c>
      <c r="B5" s="84">
        <f>46.26/1000</f>
        <v>4.6259999999999996E-2</v>
      </c>
      <c r="C5" s="84"/>
      <c r="D5" s="84"/>
      <c r="E5" t="s">
        <v>129</v>
      </c>
      <c r="F5">
        <f>D1*((B5-B3)/(B4-B3))</f>
        <v>1068.5559968847349</v>
      </c>
      <c r="H5" t="s">
        <v>133</v>
      </c>
      <c r="I5">
        <f>D1*((B7-B3)/(B4+B7-B3-B8))</f>
        <v>15889.012874251583</v>
      </c>
      <c r="K5" t="s">
        <v>143</v>
      </c>
      <c r="L5">
        <f>L8/SQRT(3)</f>
        <v>5.7735026918962578E-7</v>
      </c>
      <c r="N5" s="84" t="s">
        <v>144</v>
      </c>
      <c r="O5" s="84">
        <f>D1 * ((B3-B5)/POWER(B4-B3,2))</f>
        <v>-41610.436015760701</v>
      </c>
      <c r="P5" s="84"/>
      <c r="Q5" s="85" t="s">
        <v>144</v>
      </c>
      <c r="R5" s="3">
        <f>D1 * ((B3-B6)/POWER(B4-B3,2))</f>
        <v>-40338.963980357323</v>
      </c>
      <c r="S5" s="3"/>
      <c r="T5" s="86" t="s">
        <v>144</v>
      </c>
      <c r="U5" s="84">
        <f>D1*(-B7+B3)/(B4+B7-B3-B8)^2</f>
        <v>-2378594.7416544417</v>
      </c>
      <c r="V5" s="84"/>
      <c r="X5" t="s">
        <v>145</v>
      </c>
      <c r="Y5">
        <f>S4 * 2</f>
        <v>6.4707757059064092E-2</v>
      </c>
    </row>
    <row r="6" spans="1:30">
      <c r="A6" s="84" t="s">
        <v>146</v>
      </c>
      <c r="B6" s="84">
        <f>45.42/1000</f>
        <v>4.5420000000000002E-2</v>
      </c>
      <c r="C6" s="84"/>
      <c r="D6" s="84"/>
      <c r="E6" t="s">
        <v>131</v>
      </c>
      <c r="F6">
        <f>D1*((B6-B3)/(B4-B3))</f>
        <v>1035.9045950155764</v>
      </c>
      <c r="N6" s="84" t="s">
        <v>147</v>
      </c>
      <c r="O6" s="84">
        <f>D1 / (B4-B3)</f>
        <v>38870.716510903418</v>
      </c>
      <c r="P6" s="84"/>
      <c r="Q6" s="85" t="s">
        <v>148</v>
      </c>
      <c r="R6" s="3">
        <f>D1 / (B4-B3)</f>
        <v>38870.716510903418</v>
      </c>
      <c r="S6" s="3"/>
      <c r="T6" s="86" t="s">
        <v>149</v>
      </c>
      <c r="U6" s="84">
        <f>D1*(B4-B8)/POWER(B4+B7-B3-B8, 2)</f>
        <v>-2229163.6039298894</v>
      </c>
      <c r="V6" s="84"/>
      <c r="X6" t="s">
        <v>150</v>
      </c>
      <c r="Y6">
        <f>V4*2</f>
        <v>5.323378205140501</v>
      </c>
      <c r="AC6" t="s">
        <v>151</v>
      </c>
      <c r="AD6" t="s">
        <v>151</v>
      </c>
    </row>
    <row r="7" spans="1:30">
      <c r="A7" s="84" t="s">
        <v>152</v>
      </c>
      <c r="B7" s="84">
        <f>125.1/1000</f>
        <v>0.12509999999999999</v>
      </c>
      <c r="C7" s="84"/>
      <c r="D7" s="84"/>
      <c r="N7" s="84"/>
      <c r="O7" s="84"/>
      <c r="P7" s="84"/>
      <c r="Q7" s="85"/>
      <c r="R7" s="3"/>
      <c r="S7" s="3"/>
      <c r="T7" s="86" t="s">
        <v>153</v>
      </c>
      <c r="U7" s="84">
        <f>D1*(B7-B3)/(B4+B7-B3-B8)^2</f>
        <v>2378594.7416544417</v>
      </c>
      <c r="V7" s="84"/>
      <c r="X7" t="s">
        <v>154</v>
      </c>
      <c r="AC7">
        <f>ABS(AC4-F6)</f>
        <v>1.804595015576524</v>
      </c>
      <c r="AD7">
        <f>AD4-F5</f>
        <v>2.14400311526515</v>
      </c>
    </row>
    <row r="8" spans="1:30">
      <c r="A8" s="84" t="s">
        <v>155</v>
      </c>
      <c r="B8" s="84">
        <f>144.1/1000</f>
        <v>0.14410000000000001</v>
      </c>
      <c r="C8" s="84"/>
      <c r="D8" s="84"/>
      <c r="K8" t="s">
        <v>156</v>
      </c>
      <c r="L8">
        <f>0.001/1000</f>
        <v>9.9999999999999995E-7</v>
      </c>
      <c r="M8" t="s">
        <v>157</v>
      </c>
    </row>
    <row r="9" spans="1:30">
      <c r="A9" s="205" t="s">
        <v>158</v>
      </c>
      <c r="B9" s="205"/>
      <c r="C9" s="205"/>
      <c r="D9" s="84"/>
      <c r="E9" s="191" t="s">
        <v>159</v>
      </c>
      <c r="F9" s="191"/>
      <c r="H9" s="191" t="s">
        <v>160</v>
      </c>
      <c r="I9" s="191"/>
      <c r="K9" s="191" t="s">
        <v>161</v>
      </c>
      <c r="L9" s="191"/>
      <c r="U9">
        <f>D1*(-B4+B8)/(B4+B7-B8-B3)^2</f>
        <v>2229163.6039298824</v>
      </c>
    </row>
    <row r="10" spans="1:30">
      <c r="U10">
        <f>D1*(-B7+B3)/(B4+B7-B3-B8)^2</f>
        <v>-2378594.7416544417</v>
      </c>
    </row>
    <row r="11" spans="1:30">
      <c r="L11">
        <f>L8/SQRT(3)</f>
        <v>5.7735026918962578E-7</v>
      </c>
      <c r="U11">
        <f>D1*(B4-B8)/POWER(B4+B7-B3-B8, 2)</f>
        <v>-2229163.6039298894</v>
      </c>
    </row>
    <row r="12" spans="1:30">
      <c r="U12">
        <f>D1*(B7-B3)/(B4+B7-B3-B8)^2</f>
        <v>2378594.7416544417</v>
      </c>
      <c r="X12" s="191" t="s">
        <v>162</v>
      </c>
      <c r="Y12" s="191"/>
      <c r="AA12" s="191" t="s">
        <v>112</v>
      </c>
      <c r="AB12" s="191"/>
      <c r="AC12" s="191"/>
      <c r="AD12" s="191"/>
    </row>
    <row r="13" spans="1:30">
      <c r="N13" s="191" t="s">
        <v>163</v>
      </c>
      <c r="O13" s="191"/>
      <c r="P13" s="191"/>
      <c r="Q13" s="191"/>
      <c r="R13" s="191"/>
      <c r="S13" s="191"/>
      <c r="T13" s="191"/>
      <c r="U13" s="191"/>
      <c r="V13" s="191"/>
    </row>
  </sheetData>
  <mergeCells count="7">
    <mergeCell ref="N13:V13"/>
    <mergeCell ref="X12:Y12"/>
    <mergeCell ref="AA12:AD12"/>
    <mergeCell ref="A9:C9"/>
    <mergeCell ref="E9:F9"/>
    <mergeCell ref="H9:I9"/>
    <mergeCell ref="K9:L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2F62-5CAC-420F-9F31-D085A7E57EE4}">
  <dimension ref="A1:CE32"/>
  <sheetViews>
    <sheetView topLeftCell="A3" zoomScale="89" workbookViewId="0">
      <selection activeCell="AF15" sqref="AF15"/>
    </sheetView>
  </sheetViews>
  <sheetFormatPr defaultRowHeight="14.45"/>
  <cols>
    <col min="7" max="7" width="14.28515625" customWidth="1"/>
    <col min="13" max="13" width="12" bestFit="1" customWidth="1"/>
    <col min="27" max="27" width="12" bestFit="1" customWidth="1"/>
    <col min="31" max="31" width="10.7109375" customWidth="1"/>
    <col min="34" max="34" width="10.28515625" customWidth="1"/>
    <col min="37" max="37" width="10.42578125" customWidth="1"/>
    <col min="40" max="40" width="18" customWidth="1"/>
    <col min="43" max="43" width="19.5703125" customWidth="1"/>
    <col min="44" max="44" width="24.5703125" customWidth="1"/>
    <col min="51" max="51" width="12" bestFit="1" customWidth="1"/>
    <col min="63" max="63" width="16.7109375" customWidth="1"/>
    <col min="68" max="68" width="15" customWidth="1"/>
    <col min="69" max="69" width="14.28515625" customWidth="1"/>
    <col min="70" max="72" width="12" bestFit="1" customWidth="1"/>
    <col min="73" max="73" width="12.28515625" customWidth="1"/>
    <col min="74" max="74" width="17.7109375" customWidth="1"/>
    <col min="77" max="77" width="14.5703125" customWidth="1"/>
    <col min="78" max="78" width="22.7109375" customWidth="1"/>
  </cols>
  <sheetData>
    <row r="1" spans="1:83" ht="15" thickBot="1">
      <c r="A1" s="207" t="s">
        <v>69</v>
      </c>
      <c r="B1" s="208"/>
      <c r="C1" s="208"/>
      <c r="D1" s="208"/>
      <c r="E1" s="209"/>
      <c r="G1" s="207" t="s">
        <v>164</v>
      </c>
      <c r="H1" s="208"/>
      <c r="I1" s="209"/>
      <c r="L1" s="207" t="s">
        <v>165</v>
      </c>
      <c r="M1" s="208"/>
      <c r="N1" s="208"/>
      <c r="O1" s="208"/>
      <c r="P1" s="209"/>
      <c r="R1" s="207" t="s">
        <v>5</v>
      </c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9"/>
      <c r="AQ1" s="207" t="s">
        <v>75</v>
      </c>
      <c r="AR1" s="208"/>
      <c r="AS1" s="208"/>
      <c r="AT1" s="209"/>
      <c r="AW1" t="s">
        <v>166</v>
      </c>
      <c r="AX1" s="207" t="s">
        <v>64</v>
      </c>
      <c r="AY1" s="208"/>
      <c r="AZ1" s="208"/>
      <c r="BA1" s="208"/>
      <c r="BB1" s="208"/>
      <c r="BC1" s="208"/>
      <c r="BD1" s="208"/>
      <c r="BE1" s="208"/>
      <c r="BF1" s="208"/>
      <c r="BG1" s="208"/>
      <c r="BH1" s="209"/>
      <c r="BJ1" s="207" t="s">
        <v>89</v>
      </c>
      <c r="BK1" s="208"/>
      <c r="BL1" s="208"/>
      <c r="BM1" s="209"/>
      <c r="BO1" s="207" t="s">
        <v>90</v>
      </c>
      <c r="BP1" s="208"/>
      <c r="BQ1" s="208"/>
      <c r="BR1" s="208"/>
      <c r="BS1" s="208"/>
      <c r="BT1" s="208"/>
      <c r="BU1" s="208"/>
      <c r="BV1" s="209"/>
      <c r="BY1" s="207" t="s">
        <v>6</v>
      </c>
      <c r="BZ1" s="208"/>
      <c r="CA1" s="208"/>
      <c r="CB1" s="208"/>
      <c r="CC1" s="208"/>
      <c r="CD1" s="208"/>
      <c r="CE1" s="209"/>
    </row>
    <row r="2" spans="1:83" ht="15" thickBot="1"/>
    <row r="3" spans="1:83" ht="15" thickBot="1">
      <c r="A3" s="210" t="s">
        <v>167</v>
      </c>
      <c r="B3" s="152" t="s">
        <v>168</v>
      </c>
      <c r="C3" s="152"/>
      <c r="D3" s="152"/>
      <c r="E3" s="153"/>
      <c r="G3" s="204" t="s">
        <v>169</v>
      </c>
      <c r="H3" s="152"/>
      <c r="I3" s="153"/>
      <c r="L3" s="210" t="s">
        <v>167</v>
      </c>
      <c r="M3" s="152" t="s">
        <v>170</v>
      </c>
      <c r="N3" s="152"/>
      <c r="O3" s="152"/>
      <c r="P3" s="153"/>
      <c r="R3" s="191"/>
      <c r="S3" s="191"/>
      <c r="T3" s="191"/>
      <c r="U3" s="191"/>
      <c r="V3" s="191"/>
      <c r="W3" s="191"/>
      <c r="X3" s="191"/>
      <c r="Z3" s="15" t="s">
        <v>171</v>
      </c>
      <c r="AA3" s="11">
        <f>(H4*H5)/(100*SQRT(3))</f>
        <v>2.1650635094610966E-2</v>
      </c>
      <c r="AB3" s="16" t="s">
        <v>172</v>
      </c>
      <c r="AQ3" s="207" t="s">
        <v>173</v>
      </c>
      <c r="AR3" s="208"/>
      <c r="AS3" s="208"/>
      <c r="AT3" s="209"/>
      <c r="AX3" t="s">
        <v>174</v>
      </c>
    </row>
    <row r="4" spans="1:83" ht="15" thickBot="1">
      <c r="A4" s="211"/>
      <c r="B4" s="3" t="s">
        <v>175</v>
      </c>
      <c r="C4" s="3" t="s">
        <v>176</v>
      </c>
      <c r="D4" s="3" t="s">
        <v>177</v>
      </c>
      <c r="E4" s="23" t="s">
        <v>178</v>
      </c>
      <c r="G4" s="22" t="s">
        <v>179</v>
      </c>
      <c r="H4" s="3">
        <v>7.5</v>
      </c>
      <c r="I4" s="23" t="s">
        <v>172</v>
      </c>
      <c r="L4" s="211"/>
      <c r="M4" s="3" t="s">
        <v>175</v>
      </c>
      <c r="N4" s="3" t="s">
        <v>176</v>
      </c>
      <c r="O4" s="3" t="s">
        <v>177</v>
      </c>
      <c r="P4" s="23" t="s">
        <v>178</v>
      </c>
      <c r="R4" s="191"/>
      <c r="S4" s="191"/>
      <c r="T4" s="191"/>
      <c r="U4" s="191"/>
      <c r="V4" s="191"/>
      <c r="W4" s="191"/>
      <c r="X4" s="191"/>
      <c r="AD4" s="28" t="s">
        <v>180</v>
      </c>
      <c r="AE4" s="30">
        <v>0.02</v>
      </c>
      <c r="AG4" s="28" t="s">
        <v>180</v>
      </c>
      <c r="AH4" s="30">
        <v>0.03</v>
      </c>
      <c r="AJ4" s="28" t="s">
        <v>180</v>
      </c>
      <c r="AK4" s="30">
        <v>0.04</v>
      </c>
      <c r="AM4" s="28" t="s">
        <v>180</v>
      </c>
      <c r="AN4" s="30">
        <v>0.05</v>
      </c>
      <c r="AQ4" s="87" t="s">
        <v>181</v>
      </c>
      <c r="AR4" cm="1">
        <f t="array" ref="AR4:AS8">LINEST(R19:R27,S19:S27,TRUE,TRUE)</f>
        <v>76701814677.704117</v>
      </c>
      <c r="AS4">
        <v>60.416593832836497</v>
      </c>
      <c r="AT4" s="88" t="s">
        <v>182</v>
      </c>
      <c r="BO4" s="28" t="s">
        <v>183</v>
      </c>
      <c r="BP4" s="29" t="s">
        <v>184</v>
      </c>
      <c r="BQ4" s="29" t="s">
        <v>185</v>
      </c>
      <c r="BR4" s="29" t="s">
        <v>23</v>
      </c>
      <c r="BS4" s="29" t="s">
        <v>186</v>
      </c>
      <c r="BT4" s="29" t="s">
        <v>187</v>
      </c>
      <c r="BU4" s="29" t="s">
        <v>188</v>
      </c>
      <c r="BV4" s="30" t="s">
        <v>189</v>
      </c>
      <c r="BY4" s="28" t="s">
        <v>188</v>
      </c>
      <c r="BZ4" s="30">
        <f>BU5</f>
        <v>155960754347.53055</v>
      </c>
    </row>
    <row r="5" spans="1:83" ht="15" thickBot="1">
      <c r="A5" s="22">
        <v>300</v>
      </c>
      <c r="B5" s="3">
        <v>3.6</v>
      </c>
      <c r="C5" s="3">
        <v>2.4</v>
      </c>
      <c r="D5" s="3">
        <v>1.75</v>
      </c>
      <c r="E5" s="23">
        <v>1.35</v>
      </c>
      <c r="G5" s="24" t="s">
        <v>190</v>
      </c>
      <c r="H5" s="69">
        <v>0.5</v>
      </c>
      <c r="I5" s="25"/>
      <c r="L5" s="22">
        <v>300</v>
      </c>
      <c r="M5" s="3">
        <f>B5 * $M$19</f>
        <v>2.721303687321236E-3</v>
      </c>
      <c r="N5" s="3">
        <f t="shared" ref="M5:P8" si="0">C5 * $M$19</f>
        <v>1.8142024582141572E-3</v>
      </c>
      <c r="O5" s="3">
        <f t="shared" si="0"/>
        <v>1.3228559591144896E-3</v>
      </c>
      <c r="P5" s="23">
        <f t="shared" si="0"/>
        <v>1.0204888827454635E-3</v>
      </c>
      <c r="R5" s="191"/>
      <c r="S5" s="191"/>
      <c r="T5" s="191"/>
      <c r="U5" s="191"/>
      <c r="V5" s="191"/>
      <c r="W5" s="191"/>
      <c r="X5" s="191"/>
      <c r="Z5" s="28" t="s">
        <v>167</v>
      </c>
      <c r="AA5" s="30" t="s">
        <v>191</v>
      </c>
      <c r="AD5" s="22" t="s">
        <v>168</v>
      </c>
      <c r="AE5" s="23" t="s">
        <v>192</v>
      </c>
      <c r="AG5" s="22" t="s">
        <v>168</v>
      </c>
      <c r="AH5" s="23" t="s">
        <v>192</v>
      </c>
      <c r="AJ5" s="22" t="s">
        <v>168</v>
      </c>
      <c r="AK5" s="23" t="s">
        <v>192</v>
      </c>
      <c r="AM5" s="22" t="s">
        <v>168</v>
      </c>
      <c r="AN5" s="23" t="s">
        <v>192</v>
      </c>
      <c r="AQ5" s="87" t="s">
        <v>193</v>
      </c>
      <c r="AR5">
        <v>3166383445.9692602</v>
      </c>
      <c r="AS5">
        <v>6.3419637654864944</v>
      </c>
      <c r="AT5" s="88" t="s">
        <v>194</v>
      </c>
      <c r="BO5" s="22">
        <f>AX18</f>
        <v>2</v>
      </c>
      <c r="BP5" s="3">
        <f>AY18</f>
        <v>153403629355.40823</v>
      </c>
      <c r="BQ5" s="3">
        <f>BK10</f>
        <v>6332766891.9385204</v>
      </c>
      <c r="BR5" s="3">
        <f>1 / (BQ5^2)</f>
        <v>2.4935208038983352E-20</v>
      </c>
      <c r="BS5" s="161">
        <f>SUM(BR5:BR8)</f>
        <v>3.1220978042314012E-20</v>
      </c>
      <c r="BT5" s="94">
        <f>BP5*BR5</f>
        <v>3.825151411912198E-9</v>
      </c>
      <c r="BU5" s="161">
        <f>SUM(BT5:BT8) / BS5</f>
        <v>155960754347.53055</v>
      </c>
      <c r="BV5" s="178">
        <f>SQRT(1/BS5)</f>
        <v>5659482848.2787609</v>
      </c>
      <c r="BY5" s="22" t="s">
        <v>189</v>
      </c>
      <c r="BZ5" s="23">
        <f>BV5</f>
        <v>5659482848.2787609</v>
      </c>
    </row>
    <row r="6" spans="1:83" ht="15" thickBot="1">
      <c r="A6" s="22">
        <v>275</v>
      </c>
      <c r="B6" s="3">
        <v>3.5</v>
      </c>
      <c r="C6" s="3">
        <v>2.2999999999999998</v>
      </c>
      <c r="D6" s="3">
        <v>1.7</v>
      </c>
      <c r="E6" s="23">
        <v>1.3</v>
      </c>
      <c r="L6" s="22">
        <v>275</v>
      </c>
      <c r="M6" s="3">
        <f t="shared" si="0"/>
        <v>2.6457119182289792E-3</v>
      </c>
      <c r="N6" s="3">
        <f t="shared" si="0"/>
        <v>1.7386106891219006E-3</v>
      </c>
      <c r="O6" s="3">
        <f t="shared" si="0"/>
        <v>1.2850600745683614E-3</v>
      </c>
      <c r="P6" s="23">
        <f t="shared" si="0"/>
        <v>9.8269299819933511E-4</v>
      </c>
      <c r="R6" s="191"/>
      <c r="S6" s="191"/>
      <c r="T6" s="191"/>
      <c r="U6" s="191"/>
      <c r="V6" s="191"/>
      <c r="W6" s="191"/>
      <c r="X6" s="191"/>
      <c r="Z6" s="22">
        <v>300</v>
      </c>
      <c r="AA6" s="23">
        <f>(($H$10/100)*Z6+$H$11*$H$9)/(SQRT(3))</f>
        <v>0.9237604307034013</v>
      </c>
      <c r="AD6" s="22">
        <f t="shared" ref="AD6:AD14" si="1">B5</f>
        <v>3.6</v>
      </c>
      <c r="AE6" s="23">
        <f t="shared" ref="AE6:AE14" si="2">2 * AD6 * ($AE$4^2) * ($M$19^2)*$AA$3</f>
        <v>3.5629698458550491E-11</v>
      </c>
      <c r="AG6" s="22">
        <f>C5</f>
        <v>2.4</v>
      </c>
      <c r="AH6" s="23">
        <f t="shared" ref="AH6:AH11" si="3">2 * AG6 * ($AE$4^2) * ($M$19^2)*$AA$3</f>
        <v>2.3753132305700328E-11</v>
      </c>
      <c r="AJ6" s="22">
        <f>D5</f>
        <v>1.75</v>
      </c>
      <c r="AK6" s="23">
        <f>2 * AJ6 * ($AE$4^2) * ($M$19^2)*$AA$3</f>
        <v>1.7319992306239821E-11</v>
      </c>
      <c r="AM6" s="22">
        <f>E5</f>
        <v>1.35</v>
      </c>
      <c r="AN6" s="23">
        <f>2 * AM6 * ($AE$4^2) * ($M$19^2)*$AA$3</f>
        <v>1.3361136921956435E-11</v>
      </c>
      <c r="AQ6" s="87" t="s">
        <v>195</v>
      </c>
      <c r="AR6">
        <v>0.98821136237929774</v>
      </c>
      <c r="AS6">
        <v>7.9469123453823505</v>
      </c>
      <c r="AT6" s="89"/>
      <c r="BO6" s="22">
        <f t="shared" ref="BO6" si="4">AX19</f>
        <v>3</v>
      </c>
      <c r="BP6" s="3">
        <f>AY19</f>
        <v>154669077762.90558</v>
      </c>
      <c r="BQ6" s="3">
        <f t="shared" ref="BQ6:BQ8" si="5">BK11</f>
        <v>17813617904.242397</v>
      </c>
      <c r="BR6" s="3">
        <f t="shared" ref="BR6:BR8" si="6">1 / (BQ6^2)</f>
        <v>3.1513434304963928E-21</v>
      </c>
      <c r="BS6" s="161"/>
      <c r="BT6" s="94">
        <f t="shared" ref="BT6" si="7">BP6*BR6</f>
        <v>4.8741538210906825E-10</v>
      </c>
      <c r="BU6" s="161"/>
      <c r="BV6" s="178"/>
      <c r="BY6" s="22" t="s">
        <v>196</v>
      </c>
      <c r="BZ6" s="23">
        <f>2*BZ5</f>
        <v>11318965696.557522</v>
      </c>
    </row>
    <row r="7" spans="1:83">
      <c r="A7" s="22">
        <v>250</v>
      </c>
      <c r="B7" s="3">
        <v>3.3</v>
      </c>
      <c r="C7" s="3">
        <v>2.2000000000000002</v>
      </c>
      <c r="D7" s="3">
        <v>1.6</v>
      </c>
      <c r="E7" s="23">
        <v>1.25</v>
      </c>
      <c r="G7" s="204" t="s">
        <v>197</v>
      </c>
      <c r="H7" s="152"/>
      <c r="I7" s="153"/>
      <c r="L7" s="22">
        <v>250</v>
      </c>
      <c r="M7" s="3">
        <f t="shared" si="0"/>
        <v>2.4945283800444661E-3</v>
      </c>
      <c r="N7" s="3">
        <f t="shared" si="0"/>
        <v>1.6630189200296443E-3</v>
      </c>
      <c r="O7" s="3">
        <f t="shared" si="0"/>
        <v>1.2094683054761049E-3</v>
      </c>
      <c r="P7" s="23">
        <f t="shared" si="0"/>
        <v>9.4489711365320695E-4</v>
      </c>
      <c r="R7" s="191"/>
      <c r="S7" s="191"/>
      <c r="T7" s="191"/>
      <c r="U7" s="191"/>
      <c r="V7" s="191"/>
      <c r="W7" s="191"/>
      <c r="X7" s="191"/>
      <c r="Z7" s="22">
        <v>275</v>
      </c>
      <c r="AA7" s="23">
        <f t="shared" ref="AA7:AA14" si="8">(($H$10/100)*Z7+$H$11*$H$9)/(SQRT(3))</f>
        <v>0.85159164705469814</v>
      </c>
      <c r="AD7" s="22">
        <f t="shared" si="1"/>
        <v>3.5</v>
      </c>
      <c r="AE7" s="23">
        <f t="shared" si="2"/>
        <v>3.4639984612479642E-11</v>
      </c>
      <c r="AG7" s="22">
        <f t="shared" ref="AG7:AG11" si="9">C6</f>
        <v>2.2999999999999998</v>
      </c>
      <c r="AH7" s="23">
        <f t="shared" si="3"/>
        <v>2.2763418459629476E-11</v>
      </c>
      <c r="AJ7" s="22">
        <f t="shared" ref="AJ7:AJ9" si="10">D6</f>
        <v>1.7</v>
      </c>
      <c r="AK7" s="23">
        <f>2 * AJ7 * ($AE$4^2) * ($M$19^2)*$AA$3</f>
        <v>1.6825135383204396E-11</v>
      </c>
      <c r="AM7" s="22">
        <f t="shared" ref="AM7:AM9" si="11">E6</f>
        <v>1.3</v>
      </c>
      <c r="AN7" s="23">
        <f>2 * AM7 * ($AE$4^2) * ($M$19^2)*$AA$3</f>
        <v>1.2866279998921012E-11</v>
      </c>
      <c r="AQ7" s="87"/>
      <c r="AR7">
        <v>586.79210942129475</v>
      </c>
      <c r="AS7">
        <v>7</v>
      </c>
      <c r="AT7" s="89"/>
      <c r="AX7" t="s">
        <v>198</v>
      </c>
      <c r="BO7" s="22">
        <f t="shared" ref="BO7:BP7" si="12">AX20</f>
        <v>4</v>
      </c>
      <c r="BP7" s="3">
        <f t="shared" si="12"/>
        <v>140509888754.03833</v>
      </c>
      <c r="BQ7" s="3">
        <f t="shared" si="5"/>
        <v>26290385427.75629</v>
      </c>
      <c r="BR7" s="3">
        <f t="shared" si="6"/>
        <v>1.4467919838436218E-21</v>
      </c>
      <c r="BS7" s="161"/>
      <c r="BT7" s="94">
        <f>BP7*BR7</f>
        <v>2.0328858070010172E-10</v>
      </c>
      <c r="BU7" s="161"/>
      <c r="BV7" s="178"/>
      <c r="BY7" s="22" t="s">
        <v>199</v>
      </c>
      <c r="BZ7" s="23">
        <f>1.602176620898 * 10^(-19)</f>
        <v>1.6021766208979998E-19</v>
      </c>
      <c r="CA7" s="206" t="s">
        <v>200</v>
      </c>
      <c r="CB7" s="206"/>
    </row>
    <row r="8" spans="1:83" ht="15" thickBot="1">
      <c r="A8" s="22">
        <v>225</v>
      </c>
      <c r="B8" s="3">
        <v>3.1</v>
      </c>
      <c r="C8" s="3">
        <v>2.1</v>
      </c>
      <c r="D8" s="3">
        <v>1.4</v>
      </c>
      <c r="E8" s="23">
        <v>1.1499999999999999</v>
      </c>
      <c r="G8" s="22" t="s">
        <v>179</v>
      </c>
      <c r="H8" s="3">
        <v>1000</v>
      </c>
      <c r="I8" s="23" t="s">
        <v>201</v>
      </c>
      <c r="L8" s="22">
        <v>225</v>
      </c>
      <c r="M8" s="3">
        <f t="shared" si="0"/>
        <v>2.3433448418599531E-3</v>
      </c>
      <c r="N8" s="3">
        <f t="shared" si="0"/>
        <v>1.5874271509373876E-3</v>
      </c>
      <c r="O8" s="3">
        <f t="shared" si="0"/>
        <v>1.0582847672915916E-3</v>
      </c>
      <c r="P8" s="23">
        <f t="shared" si="0"/>
        <v>8.6930534456095031E-4</v>
      </c>
      <c r="R8" s="191"/>
      <c r="S8" s="191"/>
      <c r="T8" s="191"/>
      <c r="U8" s="191"/>
      <c r="V8" s="191"/>
      <c r="W8" s="191"/>
      <c r="X8" s="191"/>
      <c r="Z8" s="22">
        <v>250</v>
      </c>
      <c r="AA8" s="23">
        <f t="shared" si="8"/>
        <v>0.77942286340599487</v>
      </c>
      <c r="AD8" s="22">
        <f t="shared" si="1"/>
        <v>3.3</v>
      </c>
      <c r="AE8" s="23">
        <f t="shared" si="2"/>
        <v>3.266055692033795E-11</v>
      </c>
      <c r="AG8" s="22">
        <f t="shared" si="9"/>
        <v>2.2000000000000002</v>
      </c>
      <c r="AH8" s="23">
        <f t="shared" si="3"/>
        <v>2.1773704613558633E-11</v>
      </c>
      <c r="AJ8" s="22">
        <f t="shared" si="10"/>
        <v>1.6</v>
      </c>
      <c r="AK8" s="23">
        <f>2 * AJ8 * ($AE$4^2) * ($M$19^2)*$AA$3</f>
        <v>1.583542153713355E-11</v>
      </c>
      <c r="AM8" s="22">
        <f t="shared" si="11"/>
        <v>1.25</v>
      </c>
      <c r="AN8" s="23">
        <f>2 * AM8 * ($AE$4^2) * ($M$19^2)*$AA$3</f>
        <v>1.2371423075885586E-11</v>
      </c>
      <c r="AQ8" s="90"/>
      <c r="AR8" s="91">
        <v>37057.926089223663</v>
      </c>
      <c r="AS8" s="91">
        <v>442.07391077633292</v>
      </c>
      <c r="AT8" s="92"/>
      <c r="BO8" s="24">
        <f t="shared" ref="BO8:BP8" si="13">AX21</f>
        <v>5</v>
      </c>
      <c r="BP8" s="69">
        <f t="shared" si="13"/>
        <v>209400728410.62881</v>
      </c>
      <c r="BQ8" s="69">
        <f t="shared" si="5"/>
        <v>24342254071.612244</v>
      </c>
      <c r="BR8" s="69">
        <f t="shared" si="6"/>
        <v>1.6876345889906436E-21</v>
      </c>
      <c r="BS8" s="162"/>
      <c r="BT8" s="95">
        <f>BP8*BR8</f>
        <v>3.5339191222561297E-10</v>
      </c>
      <c r="BU8" s="162"/>
      <c r="BV8" s="180"/>
      <c r="BY8" s="22" t="s">
        <v>202</v>
      </c>
      <c r="BZ8" s="23">
        <f>9.10938291 * (10^-31)</f>
        <v>9.1093829100000017E-31</v>
      </c>
      <c r="CA8" s="206"/>
      <c r="CB8" s="206"/>
    </row>
    <row r="9" spans="1:83">
      <c r="A9" s="22">
        <v>200</v>
      </c>
      <c r="B9" s="3">
        <v>2.85</v>
      </c>
      <c r="C9" s="3">
        <v>1.95</v>
      </c>
      <c r="D9" s="3"/>
      <c r="E9" s="23"/>
      <c r="G9" s="22" t="s">
        <v>203</v>
      </c>
      <c r="H9" s="3">
        <f xml:space="preserve"> 100 * 10^(-3)</f>
        <v>0.1</v>
      </c>
      <c r="I9" s="23" t="s">
        <v>201</v>
      </c>
      <c r="L9" s="22">
        <v>200</v>
      </c>
      <c r="M9" s="3">
        <f>B9 * $M$19</f>
        <v>2.1543654191293117E-3</v>
      </c>
      <c r="N9" s="3">
        <f>C9 * $M$19</f>
        <v>1.4740394972990027E-3</v>
      </c>
      <c r="O9" s="3"/>
      <c r="P9" s="23"/>
      <c r="R9" s="191"/>
      <c r="S9" s="191"/>
      <c r="T9" s="191"/>
      <c r="U9" s="191"/>
      <c r="V9" s="191"/>
      <c r="W9" s="191"/>
      <c r="X9" s="191"/>
      <c r="Z9" s="22">
        <v>225</v>
      </c>
      <c r="AA9" s="23">
        <f t="shared" si="8"/>
        <v>0.70725407975729171</v>
      </c>
      <c r="AD9" s="22">
        <f t="shared" si="1"/>
        <v>3.1</v>
      </c>
      <c r="AE9" s="23">
        <f t="shared" si="2"/>
        <v>3.0681129228196251E-11</v>
      </c>
      <c r="AG9" s="22">
        <f t="shared" si="9"/>
        <v>2.1</v>
      </c>
      <c r="AH9" s="23">
        <f t="shared" si="3"/>
        <v>2.0783990767487784E-11</v>
      </c>
      <c r="AJ9" s="22">
        <f t="shared" si="10"/>
        <v>1.4</v>
      </c>
      <c r="AK9" s="23">
        <f>2 * AJ9 * ($AE$4^2) * ($M$19^2)*$AA$3</f>
        <v>1.3855993844991855E-11</v>
      </c>
      <c r="AM9" s="22">
        <f t="shared" si="11"/>
        <v>1.1499999999999999</v>
      </c>
      <c r="AN9" s="23">
        <f>2 * AM9 * ($AE$4^2) * ($M$19^2)*$AA$3</f>
        <v>1.1381709229814738E-11</v>
      </c>
      <c r="BJ9" s="28" t="s">
        <v>183</v>
      </c>
      <c r="BK9" s="30" t="s">
        <v>185</v>
      </c>
      <c r="BY9" s="22" t="s">
        <v>184</v>
      </c>
      <c r="BZ9" s="23">
        <f>BZ7/BZ8</f>
        <v>175882014921.03043</v>
      </c>
      <c r="CA9" s="206"/>
      <c r="CB9" s="206"/>
    </row>
    <row r="10" spans="1:83" ht="15" thickBot="1">
      <c r="A10" s="22">
        <v>175</v>
      </c>
      <c r="B10" s="3">
        <v>2.7</v>
      </c>
      <c r="C10" s="3">
        <v>1.6</v>
      </c>
      <c r="D10" s="3"/>
      <c r="E10" s="23"/>
      <c r="G10" s="22" t="s">
        <v>204</v>
      </c>
      <c r="H10" s="3">
        <v>0.5</v>
      </c>
      <c r="I10" s="23" t="s">
        <v>37</v>
      </c>
      <c r="L10" s="22">
        <v>175</v>
      </c>
      <c r="M10" s="3">
        <f>B10 * $M$19</f>
        <v>2.040977765490927E-3</v>
      </c>
      <c r="N10" s="3">
        <f>C10 * $M$19</f>
        <v>1.2094683054761049E-3</v>
      </c>
      <c r="O10" s="3"/>
      <c r="P10" s="23"/>
      <c r="R10" s="191"/>
      <c r="S10" s="191"/>
      <c r="T10" s="191"/>
      <c r="U10" s="191"/>
      <c r="V10" s="191"/>
      <c r="W10" s="191"/>
      <c r="X10" s="191"/>
      <c r="Z10" s="22">
        <v>200</v>
      </c>
      <c r="AA10" s="23">
        <f t="shared" si="8"/>
        <v>0.63508529610858844</v>
      </c>
      <c r="AD10" s="22">
        <f t="shared" si="1"/>
        <v>2.85</v>
      </c>
      <c r="AE10" s="23">
        <f t="shared" si="2"/>
        <v>2.8206844613019141E-11</v>
      </c>
      <c r="AG10" s="22">
        <f t="shared" si="9"/>
        <v>1.95</v>
      </c>
      <c r="AH10" s="23">
        <f t="shared" si="3"/>
        <v>1.9299419998381513E-11</v>
      </c>
      <c r="AJ10" s="22"/>
      <c r="AK10" s="23"/>
      <c r="AM10" s="22"/>
      <c r="AN10" s="23"/>
      <c r="BJ10" s="22">
        <v>2</v>
      </c>
      <c r="BK10" s="23">
        <f>2*AR5</f>
        <v>6332766891.9385204</v>
      </c>
      <c r="BY10" s="24" t="s">
        <v>205</v>
      </c>
      <c r="BZ10" s="25">
        <f>ABS(BZ4-BZ9)</f>
        <v>19921260573.499878</v>
      </c>
    </row>
    <row r="11" spans="1:83" ht="15" thickBot="1">
      <c r="A11" s="22">
        <v>150</v>
      </c>
      <c r="B11" s="3">
        <v>2.2999999999999998</v>
      </c>
      <c r="C11" s="3"/>
      <c r="D11" s="3"/>
      <c r="E11" s="23"/>
      <c r="G11" s="24" t="s">
        <v>39</v>
      </c>
      <c r="H11" s="69">
        <v>1</v>
      </c>
      <c r="I11" s="25"/>
      <c r="L11" s="22">
        <v>150</v>
      </c>
      <c r="M11" s="3">
        <f>B11 * $M$19</f>
        <v>1.7386106891219006E-3</v>
      </c>
      <c r="N11" s="3"/>
      <c r="O11" s="3"/>
      <c r="P11" s="23"/>
      <c r="R11" s="191"/>
      <c r="S11" s="191"/>
      <c r="T11" s="191"/>
      <c r="U11" s="191"/>
      <c r="V11" s="191"/>
      <c r="W11" s="191"/>
      <c r="X11" s="191"/>
      <c r="Z11" s="22">
        <v>175</v>
      </c>
      <c r="AA11" s="23">
        <f t="shared" si="8"/>
        <v>0.56291651245988517</v>
      </c>
      <c r="AD11" s="22">
        <f t="shared" si="1"/>
        <v>2.7</v>
      </c>
      <c r="AE11" s="23">
        <f t="shared" si="2"/>
        <v>2.672227384391287E-11</v>
      </c>
      <c r="AG11" s="22">
        <f t="shared" si="9"/>
        <v>1.6</v>
      </c>
      <c r="AH11" s="23">
        <f t="shared" si="3"/>
        <v>1.583542153713355E-11</v>
      </c>
      <c r="AJ11" s="22"/>
      <c r="AK11" s="23"/>
      <c r="AM11" s="22"/>
      <c r="AN11" s="23"/>
      <c r="AQ11" s="207" t="s">
        <v>206</v>
      </c>
      <c r="AR11" s="208"/>
      <c r="AS11" s="208"/>
      <c r="AT11" s="209"/>
      <c r="AX11" t="s">
        <v>207</v>
      </c>
      <c r="BJ11" s="22">
        <v>3</v>
      </c>
      <c r="BK11" s="23">
        <f>2*AR13</f>
        <v>17813617904.242397</v>
      </c>
    </row>
    <row r="12" spans="1:83">
      <c r="A12" s="22">
        <v>125</v>
      </c>
      <c r="B12" s="3">
        <v>1.85</v>
      </c>
      <c r="C12" s="3"/>
      <c r="D12" s="3"/>
      <c r="E12" s="23"/>
      <c r="L12" s="22">
        <v>125</v>
      </c>
      <c r="M12" s="3">
        <f>B12 * $M$19</f>
        <v>1.3984477282067464E-3</v>
      </c>
      <c r="N12" s="3"/>
      <c r="O12" s="3"/>
      <c r="P12" s="23"/>
      <c r="R12" s="191"/>
      <c r="S12" s="191"/>
      <c r="T12" s="191"/>
      <c r="U12" s="191"/>
      <c r="V12" s="191"/>
      <c r="W12" s="191"/>
      <c r="X12" s="191"/>
      <c r="Z12" s="22">
        <v>150</v>
      </c>
      <c r="AA12" s="23">
        <f t="shared" si="8"/>
        <v>0.49074772881118189</v>
      </c>
      <c r="AD12" s="22">
        <f t="shared" si="1"/>
        <v>2.2999999999999998</v>
      </c>
      <c r="AE12" s="23">
        <f t="shared" si="2"/>
        <v>2.2763418459629476E-11</v>
      </c>
      <c r="AG12" s="22"/>
      <c r="AH12" s="23"/>
      <c r="AJ12" s="22"/>
      <c r="AK12" s="23"/>
      <c r="AM12" s="22"/>
      <c r="AN12" s="23"/>
      <c r="AQ12" s="87" t="s">
        <v>181</v>
      </c>
      <c r="AR12" cm="1">
        <f t="array" ref="AR12:AS16">LINEST(R19:R24,T19:T24,TRUE,TRUE)</f>
        <v>77334538881.452789</v>
      </c>
      <c r="AS12">
        <v>60.768222046774184</v>
      </c>
      <c r="AT12" s="88" t="s">
        <v>182</v>
      </c>
      <c r="BJ12" s="22">
        <v>4</v>
      </c>
      <c r="BK12" s="23">
        <f>2*AR21</f>
        <v>26290385427.75629</v>
      </c>
      <c r="BZ12" s="93" t="s">
        <v>208</v>
      </c>
    </row>
    <row r="13" spans="1:83" ht="15" thickBot="1">
      <c r="A13" s="24">
        <v>100</v>
      </c>
      <c r="B13" s="69">
        <v>1.35</v>
      </c>
      <c r="C13" s="69"/>
      <c r="D13" s="69"/>
      <c r="E13" s="25"/>
      <c r="L13" s="24">
        <v>100</v>
      </c>
      <c r="M13" s="69">
        <f>B13 * $M$19</f>
        <v>1.0204888827454635E-3</v>
      </c>
      <c r="N13" s="69"/>
      <c r="O13" s="69"/>
      <c r="P13" s="25"/>
      <c r="R13" s="191"/>
      <c r="S13" s="191"/>
      <c r="T13" s="191"/>
      <c r="U13" s="191"/>
      <c r="V13" s="191"/>
      <c r="W13" s="191"/>
      <c r="X13" s="191"/>
      <c r="Z13" s="22">
        <v>125</v>
      </c>
      <c r="AA13" s="23">
        <f t="shared" si="8"/>
        <v>0.41857894516247868</v>
      </c>
      <c r="AD13" s="22">
        <f t="shared" si="1"/>
        <v>1.85</v>
      </c>
      <c r="AE13" s="23">
        <f t="shared" si="2"/>
        <v>1.830970615231067E-11</v>
      </c>
      <c r="AG13" s="22"/>
      <c r="AH13" s="23"/>
      <c r="AJ13" s="22"/>
      <c r="AK13" s="23"/>
      <c r="AM13" s="22"/>
      <c r="AN13" s="23"/>
      <c r="AQ13" s="87" t="s">
        <v>193</v>
      </c>
      <c r="AR13">
        <v>8906808952.1211987</v>
      </c>
      <c r="AS13">
        <v>20.91107818438233</v>
      </c>
      <c r="AT13" s="88" t="s">
        <v>194</v>
      </c>
      <c r="BJ13" s="24">
        <v>5</v>
      </c>
      <c r="BK13" s="25">
        <f>2*AR29</f>
        <v>24342254071.612244</v>
      </c>
      <c r="BZ13" t="s">
        <v>209</v>
      </c>
    </row>
    <row r="14" spans="1:83" ht="15" thickBot="1">
      <c r="R14" s="191"/>
      <c r="S14" s="191"/>
      <c r="T14" s="191"/>
      <c r="U14" s="191"/>
      <c r="V14" s="191"/>
      <c r="W14" s="191"/>
      <c r="X14" s="191"/>
      <c r="Z14" s="24">
        <v>100</v>
      </c>
      <c r="AA14" s="25">
        <f t="shared" si="8"/>
        <v>0.34641016151377546</v>
      </c>
      <c r="AD14" s="24">
        <f t="shared" si="1"/>
        <v>1.35</v>
      </c>
      <c r="AE14" s="25">
        <f t="shared" si="2"/>
        <v>1.3361136921956435E-11</v>
      </c>
      <c r="AG14" s="24"/>
      <c r="AH14" s="25"/>
      <c r="AJ14" s="24"/>
      <c r="AK14" s="25"/>
      <c r="AM14" s="24"/>
      <c r="AN14" s="25"/>
      <c r="AQ14" s="87" t="s">
        <v>195</v>
      </c>
      <c r="AR14">
        <v>0.94961460693918931</v>
      </c>
      <c r="AS14">
        <v>11.737655607090113</v>
      </c>
      <c r="AT14" s="89"/>
    </row>
    <row r="15" spans="1:83" ht="15" thickBot="1">
      <c r="AQ15" s="87"/>
      <c r="AR15">
        <v>75.388087638263798</v>
      </c>
      <c r="AS15">
        <v>4</v>
      </c>
      <c r="AT15" s="89"/>
      <c r="BA15" t="s">
        <v>210</v>
      </c>
    </row>
    <row r="16" spans="1:83" ht="15" thickBot="1">
      <c r="L16" s="28" t="s">
        <v>211</v>
      </c>
      <c r="M16" s="29">
        <f>4 * PI() * 10^(-7)</f>
        <v>1.2566370614359173E-6</v>
      </c>
      <c r="N16" s="30" t="s">
        <v>212</v>
      </c>
      <c r="AQ16" s="90"/>
      <c r="AR16" s="91">
        <v>10386.409763397383</v>
      </c>
      <c r="AS16" s="91">
        <v>551.09023660261585</v>
      </c>
      <c r="AT16" s="92"/>
    </row>
    <row r="17" spans="12:51" ht="15" thickBot="1">
      <c r="L17" s="22" t="s">
        <v>15</v>
      </c>
      <c r="M17" s="3">
        <v>124</v>
      </c>
      <c r="N17" s="23"/>
      <c r="R17" s="210" t="s">
        <v>167</v>
      </c>
      <c r="S17" s="152" t="s">
        <v>213</v>
      </c>
      <c r="T17" s="152"/>
      <c r="U17" s="152"/>
      <c r="V17" s="153"/>
      <c r="AX17" s="28" t="s">
        <v>183</v>
      </c>
      <c r="AY17" s="30" t="s">
        <v>184</v>
      </c>
    </row>
    <row r="18" spans="12:51" ht="15" thickBot="1">
      <c r="L18" s="22" t="s">
        <v>53</v>
      </c>
      <c r="M18" s="3">
        <v>0.14749999999999999</v>
      </c>
      <c r="N18" s="23" t="s">
        <v>102</v>
      </c>
      <c r="R18" s="211"/>
      <c r="S18" s="3">
        <v>0.02</v>
      </c>
      <c r="T18" s="3">
        <v>0.03</v>
      </c>
      <c r="U18" s="3">
        <v>0.04</v>
      </c>
      <c r="V18" s="3">
        <v>0.05</v>
      </c>
      <c r="W18" s="32" t="s">
        <v>180</v>
      </c>
      <c r="AX18" s="22">
        <v>2</v>
      </c>
      <c r="AY18" s="23">
        <f>2 * AR4</f>
        <v>153403629355.40823</v>
      </c>
    </row>
    <row r="19" spans="12:51" ht="15" thickBot="1">
      <c r="L19" s="24" t="s">
        <v>214</v>
      </c>
      <c r="M19" s="69">
        <f>((4/5)^(3/2)) * M16 * (M17/M18)</f>
        <v>7.5591769092256552E-4</v>
      </c>
      <c r="N19" s="25" t="s">
        <v>215</v>
      </c>
      <c r="R19" s="22">
        <v>300</v>
      </c>
      <c r="S19" s="3">
        <f>(S$18^2) * (M5^2)</f>
        <v>2.9621975034512622E-9</v>
      </c>
      <c r="T19" s="3">
        <f t="shared" ref="S19:V22" si="14">(T$18^2) * (N5^2)</f>
        <v>2.9621975034512614E-9</v>
      </c>
      <c r="U19" s="3">
        <f t="shared" si="14"/>
        <v>2.799916621703546E-9</v>
      </c>
      <c r="V19" s="23">
        <f>(V$18^2) * (P5^2)</f>
        <v>2.6034938995177116E-9</v>
      </c>
      <c r="AQ19" s="207" t="s">
        <v>216</v>
      </c>
      <c r="AR19" s="208"/>
      <c r="AS19" s="208"/>
      <c r="AT19" s="209"/>
      <c r="AX19" s="22">
        <v>3</v>
      </c>
      <c r="AY19" s="23">
        <f>2*AR12</f>
        <v>154669077762.90558</v>
      </c>
    </row>
    <row r="20" spans="12:51">
      <c r="R20" s="22">
        <v>275</v>
      </c>
      <c r="S20" s="3">
        <f>(S$18^2) * (M6^2)</f>
        <v>2.799916621703546E-9</v>
      </c>
      <c r="T20" s="3">
        <f t="shared" si="14"/>
        <v>2.7204904154960373E-9</v>
      </c>
      <c r="U20" s="3">
        <f t="shared" si="14"/>
        <v>2.6422070323994284E-9</v>
      </c>
      <c r="V20" s="23">
        <f t="shared" si="14"/>
        <v>2.4142138217749966E-9</v>
      </c>
      <c r="AQ20" s="87" t="s">
        <v>181</v>
      </c>
      <c r="AR20" cm="1">
        <f t="array" ref="AR20:AS24">LINEST(R19:R22,U19:U22,TRUE,TRUE)</f>
        <v>70254944377.019165</v>
      </c>
      <c r="AS20">
        <v>94.334743770568934</v>
      </c>
      <c r="AT20" s="88" t="s">
        <v>182</v>
      </c>
      <c r="AX20" s="22">
        <v>4</v>
      </c>
      <c r="AY20" s="23">
        <f>2*AR20</f>
        <v>140509888754.03833</v>
      </c>
    </row>
    <row r="21" spans="12:51" ht="15" thickBot="1">
      <c r="L21" s="191"/>
      <c r="M21" s="191"/>
      <c r="N21" s="191"/>
      <c r="R21" s="22">
        <v>250</v>
      </c>
      <c r="S21" s="3">
        <f t="shared" si="14"/>
        <v>2.4890687355389076E-9</v>
      </c>
      <c r="T21" s="3">
        <f t="shared" si="14"/>
        <v>2.489068735538908E-9</v>
      </c>
      <c r="U21" s="3">
        <f t="shared" si="14"/>
        <v>2.3405017311219853E-9</v>
      </c>
      <c r="V21" s="23">
        <f t="shared" si="14"/>
        <v>2.2320763884754042E-9</v>
      </c>
      <c r="AQ21" s="87" t="s">
        <v>193</v>
      </c>
      <c r="AR21">
        <v>13145192713.878145</v>
      </c>
      <c r="AS21">
        <v>31.868494077949101</v>
      </c>
      <c r="AT21" s="88" t="s">
        <v>194</v>
      </c>
      <c r="AX21" s="24">
        <v>5</v>
      </c>
      <c r="AY21" s="25">
        <f>2*AR28</f>
        <v>209400728410.62881</v>
      </c>
    </row>
    <row r="22" spans="12:51">
      <c r="L22" s="191"/>
      <c r="M22" s="191"/>
      <c r="N22" s="191"/>
      <c r="R22" s="22">
        <v>225</v>
      </c>
      <c r="S22" s="3">
        <f t="shared" si="14"/>
        <v>2.1965060191486595E-9</v>
      </c>
      <c r="T22" s="3">
        <f t="shared" si="14"/>
        <v>2.2679324635798721E-9</v>
      </c>
      <c r="U22" s="3">
        <f t="shared" si="14"/>
        <v>1.7919466378902694E-9</v>
      </c>
      <c r="V22" s="23">
        <f t="shared" si="14"/>
        <v>1.8892294552055819E-9</v>
      </c>
      <c r="AQ22" s="87" t="s">
        <v>195</v>
      </c>
      <c r="AR22">
        <v>0.93456365839607414</v>
      </c>
      <c r="AS22">
        <v>10.111591554059828</v>
      </c>
      <c r="AT22" s="89"/>
    </row>
    <row r="23" spans="12:51">
      <c r="L23" s="191"/>
      <c r="M23" s="191"/>
      <c r="N23" s="191"/>
      <c r="R23" s="22">
        <v>200</v>
      </c>
      <c r="S23" s="3">
        <f>(S$18^2) * (M9^2)</f>
        <v>1.8565161436560859E-9</v>
      </c>
      <c r="T23" s="3">
        <f>(T$18^2) * (N9^2)</f>
        <v>1.955513195637747E-9</v>
      </c>
      <c r="U23" s="3"/>
      <c r="V23" s="23"/>
      <c r="AQ23" s="87"/>
      <c r="AR23">
        <v>28.564055859137635</v>
      </c>
      <c r="AS23">
        <v>2</v>
      </c>
      <c r="AT23" s="89"/>
    </row>
    <row r="24" spans="12:51" ht="15" thickBot="1">
      <c r="L24" s="191"/>
      <c r="M24" s="191"/>
      <c r="N24" s="191"/>
      <c r="R24" s="22">
        <v>175</v>
      </c>
      <c r="S24" s="3">
        <f>(S$18^2) * (M10^2)</f>
        <v>1.6662360956913351E-9</v>
      </c>
      <c r="T24" s="3">
        <f>(T$18^2) * (N10^2)</f>
        <v>1.3165322237561165E-9</v>
      </c>
      <c r="U24" s="3"/>
      <c r="V24" s="23"/>
      <c r="AQ24" s="90"/>
      <c r="AR24" s="91">
        <v>2920.5114324877318</v>
      </c>
      <c r="AS24" s="91">
        <v>204.48856751226811</v>
      </c>
      <c r="AT24" s="92"/>
    </row>
    <row r="25" spans="12:51">
      <c r="L25" s="191"/>
      <c r="M25" s="191"/>
      <c r="N25" s="191"/>
      <c r="R25" s="22">
        <v>150</v>
      </c>
      <c r="S25" s="3">
        <f>(S$18^2) * (M11^2)</f>
        <v>1.2091068513315722E-9</v>
      </c>
      <c r="T25" s="3"/>
      <c r="U25" s="3"/>
      <c r="V25" s="23"/>
    </row>
    <row r="26" spans="12:51" ht="15" thickBot="1">
      <c r="L26" s="191"/>
      <c r="M26" s="191"/>
      <c r="N26" s="191"/>
      <c r="R26" s="22">
        <v>125</v>
      </c>
      <c r="S26" s="3">
        <f>(S$18^2) * (M12^2)</f>
        <v>7.8226241941064412E-10</v>
      </c>
      <c r="T26" s="3"/>
      <c r="U26" s="3"/>
      <c r="V26" s="23"/>
    </row>
    <row r="27" spans="12:51" ht="15" thickBot="1">
      <c r="R27" s="24">
        <v>100</v>
      </c>
      <c r="S27" s="69">
        <f>(S$18^2) * (M13^2)</f>
        <v>4.1655902392283378E-10</v>
      </c>
      <c r="T27" s="69"/>
      <c r="U27" s="69"/>
      <c r="V27" s="25"/>
      <c r="AQ27" s="207" t="s">
        <v>217</v>
      </c>
      <c r="AR27" s="208"/>
      <c r="AS27" s="208"/>
      <c r="AT27" s="209"/>
    </row>
    <row r="28" spans="12:51">
      <c r="AQ28" s="87" t="s">
        <v>181</v>
      </c>
      <c r="AR28" s="52" cm="1">
        <f t="array" ref="AR28:AS32">LINEST(R19:R22,V19:V22,TRUE,TRUE)</f>
        <v>104700364205.31441</v>
      </c>
      <c r="AS28">
        <v>23.285487817486342</v>
      </c>
      <c r="AT28" s="88" t="s">
        <v>182</v>
      </c>
    </row>
    <row r="29" spans="12:51">
      <c r="AQ29" s="87" t="s">
        <v>193</v>
      </c>
      <c r="AR29">
        <v>12171127035.806122</v>
      </c>
      <c r="AS29">
        <v>27.992243933295715</v>
      </c>
      <c r="AT29" s="88" t="s">
        <v>194</v>
      </c>
    </row>
    <row r="30" spans="12:51">
      <c r="AQ30" s="87" t="s">
        <v>195</v>
      </c>
      <c r="AR30">
        <v>0.97368439190819178</v>
      </c>
      <c r="AS30">
        <v>6.4123426018460963</v>
      </c>
      <c r="AT30" s="89"/>
    </row>
    <row r="31" spans="12:51">
      <c r="AQ31" s="87"/>
      <c r="AR31">
        <v>74.000523834468368</v>
      </c>
      <c r="AS31">
        <v>2</v>
      </c>
      <c r="AT31" s="89"/>
    </row>
    <row r="32" spans="12:51" ht="15" thickBot="1">
      <c r="AQ32" s="90"/>
      <c r="AR32" s="91">
        <v>3042.7637247130992</v>
      </c>
      <c r="AS32" s="91">
        <v>82.236275286900721</v>
      </c>
      <c r="AT32" s="92"/>
    </row>
  </sheetData>
  <mergeCells count="27">
    <mergeCell ref="AQ27:AT27"/>
    <mergeCell ref="AQ1:AT1"/>
    <mergeCell ref="R17:R18"/>
    <mergeCell ref="S17:V17"/>
    <mergeCell ref="R1:AO1"/>
    <mergeCell ref="AQ3:AT3"/>
    <mergeCell ref="L21:N26"/>
    <mergeCell ref="AQ11:AT11"/>
    <mergeCell ref="AQ19:AT19"/>
    <mergeCell ref="R3:X14"/>
    <mergeCell ref="G7:I7"/>
    <mergeCell ref="CA7:CB9"/>
    <mergeCell ref="BY1:CE1"/>
    <mergeCell ref="A1:E1"/>
    <mergeCell ref="G1:I1"/>
    <mergeCell ref="L1:P1"/>
    <mergeCell ref="L3:L4"/>
    <mergeCell ref="M3:P3"/>
    <mergeCell ref="A3:A4"/>
    <mergeCell ref="B3:E3"/>
    <mergeCell ref="G3:I3"/>
    <mergeCell ref="BV5:BV8"/>
    <mergeCell ref="BO1:BV1"/>
    <mergeCell ref="AX1:BH1"/>
    <mergeCell ref="BJ1:BM1"/>
    <mergeCell ref="BS5:BS8"/>
    <mergeCell ref="BU5:BU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B201-1475-4944-858E-2F4E712B3DA1}">
  <dimension ref="A1:BS35"/>
  <sheetViews>
    <sheetView topLeftCell="AH1" zoomScale="96" zoomScaleNormal="96" workbookViewId="0">
      <selection activeCell="AN7" sqref="AN7"/>
    </sheetView>
  </sheetViews>
  <sheetFormatPr defaultRowHeight="14.45"/>
  <cols>
    <col min="4" max="4" width="8.7109375" customWidth="1"/>
    <col min="9" max="9" width="26.7109375" customWidth="1"/>
    <col min="10" max="10" width="8.7109375" customWidth="1"/>
    <col min="13" max="13" width="17.7109375" customWidth="1"/>
    <col min="15" max="15" width="28.7109375" customWidth="1"/>
    <col min="19" max="19" width="10.7109375" customWidth="1"/>
    <col min="21" max="21" width="26.5703125" customWidth="1"/>
    <col min="29" max="29" width="19" customWidth="1"/>
    <col min="31" max="31" width="8.7109375" customWidth="1"/>
    <col min="32" max="32" width="14.7109375" customWidth="1"/>
    <col min="34" max="34" width="28.42578125" customWidth="1"/>
    <col min="35" max="35" width="12.5703125" customWidth="1"/>
    <col min="38" max="38" width="13.7109375" customWidth="1"/>
    <col min="40" max="40" width="28.85546875" customWidth="1"/>
    <col min="53" max="53" width="17.7109375" customWidth="1"/>
  </cols>
  <sheetData>
    <row r="1" spans="1:71" ht="15" thickBot="1">
      <c r="A1" s="207" t="s">
        <v>69</v>
      </c>
      <c r="B1" s="208"/>
      <c r="C1" s="208"/>
      <c r="D1" s="208"/>
      <c r="E1" s="208"/>
      <c r="F1" s="208"/>
      <c r="G1" s="208"/>
      <c r="H1" s="208"/>
      <c r="I1" s="208"/>
      <c r="J1" s="209"/>
      <c r="L1" s="207" t="s">
        <v>165</v>
      </c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9"/>
      <c r="AE1" s="207" t="s">
        <v>5</v>
      </c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9"/>
      <c r="AX1" s="207" t="s">
        <v>75</v>
      </c>
      <c r="AY1" s="209"/>
      <c r="BA1" s="207" t="s">
        <v>64</v>
      </c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9"/>
      <c r="BR1" s="207" t="s">
        <v>89</v>
      </c>
      <c r="BS1" s="209"/>
    </row>
    <row r="2" spans="1:71" ht="15" thickBot="1">
      <c r="L2" s="212" t="s">
        <v>218</v>
      </c>
      <c r="M2" s="213"/>
      <c r="O2" s="212" t="s">
        <v>219</v>
      </c>
      <c r="P2" s="214"/>
      <c r="Q2" s="214"/>
      <c r="R2" s="214"/>
      <c r="S2" s="213"/>
      <c r="U2" s="212" t="s">
        <v>48</v>
      </c>
      <c r="V2" s="214"/>
      <c r="W2" s="214"/>
      <c r="X2" s="214"/>
      <c r="Y2" s="214"/>
      <c r="Z2" s="213"/>
      <c r="AB2" s="207" t="s">
        <v>220</v>
      </c>
      <c r="AC2" s="209"/>
      <c r="AE2" s="212" t="s">
        <v>218</v>
      </c>
      <c r="AF2" s="213"/>
      <c r="AH2" s="212" t="s">
        <v>219</v>
      </c>
      <c r="AI2" s="214"/>
      <c r="AJ2" s="214"/>
      <c r="AK2" s="214"/>
      <c r="AL2" s="213"/>
      <c r="AN2" s="212" t="s">
        <v>48</v>
      </c>
      <c r="AO2" s="214"/>
      <c r="AP2" s="214"/>
      <c r="AQ2" s="214"/>
      <c r="AR2" s="214"/>
      <c r="AS2" s="213"/>
      <c r="AU2" s="212" t="s">
        <v>220</v>
      </c>
      <c r="AV2" s="213"/>
    </row>
    <row r="3" spans="1:71" ht="15" thickBot="1"/>
    <row r="4" spans="1:71" ht="15" thickBot="1">
      <c r="A4" s="15" t="s">
        <v>76</v>
      </c>
      <c r="B4" s="11" t="s">
        <v>221</v>
      </c>
      <c r="C4" s="16" t="s">
        <v>222</v>
      </c>
      <c r="E4" s="97" t="s">
        <v>76</v>
      </c>
      <c r="F4" s="11" t="s">
        <v>223</v>
      </c>
      <c r="G4" s="16" t="s">
        <v>224</v>
      </c>
      <c r="I4" s="28" t="s">
        <v>225</v>
      </c>
      <c r="J4" s="30">
        <f>179.5-179</f>
        <v>0.5</v>
      </c>
      <c r="L4" s="15" t="s">
        <v>76</v>
      </c>
      <c r="M4" s="98" t="s">
        <v>226</v>
      </c>
      <c r="O4" s="28" t="s">
        <v>120</v>
      </c>
      <c r="P4" s="30">
        <v>10</v>
      </c>
      <c r="R4" s="15" t="s">
        <v>76</v>
      </c>
      <c r="S4" s="16" t="s">
        <v>227</v>
      </c>
      <c r="U4" s="28" t="s">
        <v>228</v>
      </c>
      <c r="V4" s="30">
        <f>J4+J5</f>
        <v>1</v>
      </c>
      <c r="AB4" s="31" t="s">
        <v>229</v>
      </c>
      <c r="AC4" s="32">
        <f>SQRT(P7^2 + V6^2)</f>
        <v>0.41996086863010929</v>
      </c>
      <c r="AE4" s="15" t="s">
        <v>76</v>
      </c>
      <c r="AF4" s="98" t="s">
        <v>230</v>
      </c>
      <c r="AH4" s="28" t="s">
        <v>120</v>
      </c>
      <c r="AI4" s="30">
        <v>5</v>
      </c>
      <c r="AK4" s="15" t="s">
        <v>76</v>
      </c>
      <c r="AL4" s="16" t="s">
        <v>231</v>
      </c>
      <c r="AN4" s="28" t="s">
        <v>232</v>
      </c>
      <c r="AO4" s="30">
        <f>J4+J5</f>
        <v>1</v>
      </c>
      <c r="AU4" s="31" t="s">
        <v>233</v>
      </c>
      <c r="AV4" s="32">
        <f>SQRT(AI7^2 + AO6^2)</f>
        <v>0.42410646478475489</v>
      </c>
      <c r="AX4" s="15" t="s">
        <v>234</v>
      </c>
      <c r="AY4" s="16">
        <f>BB31/BB29</f>
        <v>1.3347311781250581</v>
      </c>
      <c r="BR4" t="s">
        <v>235</v>
      </c>
      <c r="BS4">
        <v>1.4</v>
      </c>
    </row>
    <row r="5" spans="1:71" ht="15" thickBot="1">
      <c r="A5" s="26">
        <v>1</v>
      </c>
      <c r="B5" s="96">
        <v>258</v>
      </c>
      <c r="C5" s="27">
        <f>97 + (2/3)</f>
        <v>97.666666666666671</v>
      </c>
      <c r="E5" s="26">
        <v>1</v>
      </c>
      <c r="F5" s="96">
        <v>218</v>
      </c>
      <c r="G5" s="27">
        <f>141 + (1/3)</f>
        <v>141.33333333333334</v>
      </c>
      <c r="I5" s="24" t="s">
        <v>236</v>
      </c>
      <c r="J5" s="25">
        <f>0.5</f>
        <v>0.5</v>
      </c>
      <c r="L5" s="26">
        <v>1</v>
      </c>
      <c r="M5" s="27">
        <f>(B5-C5)/2</f>
        <v>80.166666666666657</v>
      </c>
      <c r="O5" s="22" t="s">
        <v>237</v>
      </c>
      <c r="P5" s="23">
        <v>1.0589999999999999</v>
      </c>
      <c r="R5" s="26">
        <v>1</v>
      </c>
      <c r="S5" s="27">
        <f>POWER(M5-$P$6,2)</f>
        <v>0.12840277777778863</v>
      </c>
      <c r="U5" s="22" t="s">
        <v>238</v>
      </c>
      <c r="V5" s="23">
        <f>V4/SQRT(3)</f>
        <v>0.57735026918962584</v>
      </c>
      <c r="AE5" s="26">
        <v>1</v>
      </c>
      <c r="AF5" s="27">
        <f>(F5-G5)/2</f>
        <v>38.333333333333329</v>
      </c>
      <c r="AH5" s="22" t="s">
        <v>237</v>
      </c>
      <c r="AI5" s="23">
        <v>1.141</v>
      </c>
      <c r="AK5" s="26">
        <v>1</v>
      </c>
      <c r="AL5" s="27">
        <f>POWER(AF5-$AI$6,2)</f>
        <v>0.13444444444445</v>
      </c>
      <c r="AN5" s="22" t="s">
        <v>239</v>
      </c>
      <c r="AO5" s="23">
        <f>AO4/SQRT(3)</f>
        <v>0.57735026918962584</v>
      </c>
      <c r="BR5" t="s">
        <v>234</v>
      </c>
      <c r="BS5">
        <f>AY4</f>
        <v>1.3347311781250581</v>
      </c>
    </row>
    <row r="6" spans="1:71" ht="15" thickBot="1">
      <c r="A6" s="22">
        <v>2</v>
      </c>
      <c r="B6" s="3">
        <v>259</v>
      </c>
      <c r="C6" s="23">
        <v>98</v>
      </c>
      <c r="E6" s="22">
        <v>2</v>
      </c>
      <c r="F6" s="3">
        <v>218</v>
      </c>
      <c r="G6" s="23">
        <f>140 + (2/3)</f>
        <v>140.66666666666666</v>
      </c>
      <c r="L6" s="22">
        <v>2</v>
      </c>
      <c r="M6" s="23">
        <f t="shared" ref="M6:M14" si="0">(B6-C6)/2</f>
        <v>80.5</v>
      </c>
      <c r="O6" s="22" t="s">
        <v>240</v>
      </c>
      <c r="P6" s="23">
        <f>SUM(M5:M14)/P4</f>
        <v>80.525000000000006</v>
      </c>
      <c r="R6" s="22">
        <v>2</v>
      </c>
      <c r="S6" s="27">
        <f>POWER(M6-$P$6,2)</f>
        <v>6.2500000000028418E-4</v>
      </c>
      <c r="U6" s="24" t="s">
        <v>241</v>
      </c>
      <c r="V6" s="25">
        <f>SQRT((V5^2) / 2)</f>
        <v>0.40824829046386307</v>
      </c>
      <c r="AE6" s="22">
        <v>2</v>
      </c>
      <c r="AF6" s="23">
        <f>(F6-G6)/2</f>
        <v>38.666666666666671</v>
      </c>
      <c r="AH6" s="22" t="s">
        <v>242</v>
      </c>
      <c r="AI6" s="125">
        <f>SUM(AF5:AF9)/AI4</f>
        <v>38.700000000000003</v>
      </c>
      <c r="AK6" s="22">
        <v>2</v>
      </c>
      <c r="AL6" s="27">
        <f>POWER(AF6-$AI$6,2)</f>
        <v>1.1111111111109847E-3</v>
      </c>
      <c r="AN6" s="24" t="s">
        <v>243</v>
      </c>
      <c r="AO6" s="25">
        <f>SQRT((AO5^2) / 2)</f>
        <v>0.40824829046386307</v>
      </c>
      <c r="AX6" s="191"/>
      <c r="AY6" s="191"/>
      <c r="BR6" t="s">
        <v>244</v>
      </c>
      <c r="BS6">
        <f>BB35</f>
        <v>5.5292001925052313E-2</v>
      </c>
    </row>
    <row r="7" spans="1:71" ht="15" thickBot="1">
      <c r="A7" s="22">
        <v>3</v>
      </c>
      <c r="B7" s="3">
        <v>259.5</v>
      </c>
      <c r="C7" s="23">
        <v>98</v>
      </c>
      <c r="E7" s="22">
        <v>3</v>
      </c>
      <c r="F7" s="3">
        <f>218 + (1/3)</f>
        <v>218.33333333333334</v>
      </c>
      <c r="G7" s="23">
        <v>140.5</v>
      </c>
      <c r="L7" s="22">
        <v>3</v>
      </c>
      <c r="M7" s="23">
        <f t="shared" si="0"/>
        <v>80.75</v>
      </c>
      <c r="O7" s="24" t="s">
        <v>245</v>
      </c>
      <c r="P7" s="25">
        <f>P5*SQRT(SUM(S5:S14) / (P4 * (P4-1)))</f>
        <v>9.8490936201709345E-2</v>
      </c>
      <c r="R7" s="22">
        <v>3</v>
      </c>
      <c r="S7" s="27">
        <f t="shared" ref="S7:S14" si="1">POWER(M7-$P$6,2)</f>
        <v>5.0624999999997443E-2</v>
      </c>
      <c r="AE7" s="22">
        <v>3</v>
      </c>
      <c r="AF7" s="23">
        <f>(F7-G7)/2</f>
        <v>38.916666666666671</v>
      </c>
      <c r="AH7" s="24" t="s">
        <v>246</v>
      </c>
      <c r="AI7" s="25">
        <f>AI5*SQRT(SUM(AL5:AL9) / (AI4 * (AI4-1)))</f>
        <v>0.1148896287989295</v>
      </c>
      <c r="AK7" s="22">
        <v>3</v>
      </c>
      <c r="AL7" s="27">
        <f>POWER(AF7-$AI$6,2)</f>
        <v>4.6944444444445267E-2</v>
      </c>
      <c r="AX7" s="191"/>
      <c r="AY7" s="191"/>
      <c r="BR7" t="s">
        <v>247</v>
      </c>
      <c r="BS7">
        <f>2*BS6</f>
        <v>0.11058400385010463</v>
      </c>
    </row>
    <row r="8" spans="1:71">
      <c r="A8" s="22">
        <v>4</v>
      </c>
      <c r="B8" s="3">
        <v>260</v>
      </c>
      <c r="C8" s="23">
        <f>98 + (2/3)</f>
        <v>98.666666666666671</v>
      </c>
      <c r="E8" s="22">
        <v>4</v>
      </c>
      <c r="F8" s="3">
        <f>217 + (2/3)</f>
        <v>217.66666666666666</v>
      </c>
      <c r="G8" s="23">
        <v>140</v>
      </c>
      <c r="L8" s="22">
        <v>4</v>
      </c>
      <c r="M8" s="23">
        <f t="shared" si="0"/>
        <v>80.666666666666657</v>
      </c>
      <c r="R8" s="22">
        <v>4</v>
      </c>
      <c r="S8" s="27">
        <f t="shared" si="1"/>
        <v>2.006944444444015E-2</v>
      </c>
      <c r="U8" s="191"/>
      <c r="V8" s="191"/>
      <c r="W8" s="191"/>
      <c r="X8" s="191"/>
      <c r="Y8" s="191"/>
      <c r="Z8" s="191"/>
      <c r="AE8" s="22">
        <v>4</v>
      </c>
      <c r="AF8" s="23">
        <f>(F8-G8)/2</f>
        <v>38.833333333333329</v>
      </c>
      <c r="AK8" s="22">
        <v>4</v>
      </c>
      <c r="AL8" s="27">
        <f>POWER(AF8-$AI$6,2)</f>
        <v>1.7777777777775755E-2</v>
      </c>
      <c r="AN8" s="191"/>
      <c r="AO8" s="191"/>
      <c r="AP8" s="191"/>
      <c r="AQ8" s="191"/>
      <c r="AR8" s="191"/>
      <c r="AS8" s="191"/>
      <c r="AX8" s="191"/>
      <c r="AY8" s="191"/>
      <c r="BR8" t="s">
        <v>248</v>
      </c>
      <c r="BS8">
        <f>ABS(BS5-BS4)</f>
        <v>6.5268821874941763E-2</v>
      </c>
    </row>
    <row r="9" spans="1:71" ht="15" thickBot="1">
      <c r="A9" s="22">
        <v>5</v>
      </c>
      <c r="B9" s="3">
        <v>260</v>
      </c>
      <c r="C9" s="23">
        <v>98</v>
      </c>
      <c r="E9" s="24">
        <v>5</v>
      </c>
      <c r="F9" s="69">
        <v>218</v>
      </c>
      <c r="G9" s="25">
        <v>140.5</v>
      </c>
      <c r="L9" s="22">
        <v>5</v>
      </c>
      <c r="M9" s="23">
        <f t="shared" si="0"/>
        <v>81</v>
      </c>
      <c r="R9" s="22">
        <v>5</v>
      </c>
      <c r="S9" s="27">
        <f t="shared" si="1"/>
        <v>0.22562499999999461</v>
      </c>
      <c r="U9" s="191"/>
      <c r="V9" s="191"/>
      <c r="W9" s="191"/>
      <c r="X9" s="191"/>
      <c r="Y9" s="191"/>
      <c r="Z9" s="191"/>
      <c r="AE9" s="24">
        <v>5</v>
      </c>
      <c r="AF9" s="25">
        <f>(F9-G9)/2</f>
        <v>38.75</v>
      </c>
      <c r="AK9" s="24">
        <v>5</v>
      </c>
      <c r="AL9" s="99">
        <f>POWER(AF9-$AI$6,2)</f>
        <v>2.499999999999716E-3</v>
      </c>
      <c r="AN9" s="191"/>
      <c r="AO9" s="191"/>
      <c r="AP9" s="191"/>
      <c r="AQ9" s="191"/>
      <c r="AR9" s="191"/>
      <c r="AS9" s="191"/>
      <c r="AX9" s="191"/>
      <c r="AY9" s="191"/>
    </row>
    <row r="10" spans="1:71">
      <c r="A10" s="22">
        <v>6</v>
      </c>
      <c r="B10" s="3">
        <v>259</v>
      </c>
      <c r="C10" s="23">
        <f>98 + (2/3)</f>
        <v>98.666666666666671</v>
      </c>
      <c r="L10" s="22">
        <v>6</v>
      </c>
      <c r="M10" s="23">
        <f t="shared" si="0"/>
        <v>80.166666666666657</v>
      </c>
      <c r="R10" s="22">
        <v>6</v>
      </c>
      <c r="S10" s="27">
        <f t="shared" si="1"/>
        <v>0.12840277777778863</v>
      </c>
      <c r="U10" s="191"/>
      <c r="V10" s="191"/>
      <c r="W10" s="191"/>
      <c r="X10" s="191"/>
      <c r="Y10" s="191"/>
      <c r="Z10" s="191"/>
      <c r="AN10" s="191"/>
      <c r="AO10" s="191"/>
      <c r="AP10" s="191"/>
      <c r="AQ10" s="191"/>
      <c r="AR10" s="191"/>
      <c r="AS10" s="191"/>
    </row>
    <row r="11" spans="1:71">
      <c r="A11" s="22">
        <v>7</v>
      </c>
      <c r="B11" s="3">
        <v>259</v>
      </c>
      <c r="C11" s="23">
        <f>98 + (2/3)</f>
        <v>98.666666666666671</v>
      </c>
      <c r="L11" s="22">
        <v>7</v>
      </c>
      <c r="M11" s="23">
        <f t="shared" si="0"/>
        <v>80.166666666666657</v>
      </c>
      <c r="R11" s="22">
        <v>7</v>
      </c>
      <c r="S11" s="27">
        <f t="shared" si="1"/>
        <v>0.12840277777778863</v>
      </c>
      <c r="U11" s="191"/>
      <c r="V11" s="191"/>
      <c r="W11" s="191"/>
      <c r="X11" s="191"/>
      <c r="Y11" s="191"/>
      <c r="Z11" s="191"/>
      <c r="AN11" s="191"/>
      <c r="AO11" s="191"/>
      <c r="AP11" s="191"/>
      <c r="AQ11" s="191"/>
      <c r="AR11" s="191"/>
      <c r="AS11" s="191"/>
    </row>
    <row r="12" spans="1:71">
      <c r="A12" s="22">
        <v>8</v>
      </c>
      <c r="B12" s="3">
        <v>260</v>
      </c>
      <c r="C12" s="23">
        <f>98 + (1/3)</f>
        <v>98.333333333333329</v>
      </c>
      <c r="L12" s="22">
        <v>8</v>
      </c>
      <c r="M12" s="23">
        <f t="shared" si="0"/>
        <v>80.833333333333343</v>
      </c>
      <c r="R12" s="22">
        <v>8</v>
      </c>
      <c r="S12" s="27">
        <f t="shared" si="1"/>
        <v>9.5069444444446788E-2</v>
      </c>
      <c r="U12" s="191"/>
      <c r="V12" s="191"/>
      <c r="W12" s="191"/>
      <c r="X12" s="191"/>
      <c r="Y12" s="191"/>
      <c r="Z12" s="191"/>
      <c r="AN12" s="191"/>
      <c r="AO12" s="191"/>
      <c r="AP12" s="191"/>
      <c r="AQ12" s="191"/>
      <c r="AR12" s="191"/>
      <c r="AS12" s="191"/>
    </row>
    <row r="13" spans="1:71">
      <c r="A13" s="22">
        <v>9</v>
      </c>
      <c r="B13" s="3">
        <v>260</v>
      </c>
      <c r="C13" s="23">
        <v>99</v>
      </c>
      <c r="L13" s="22">
        <v>9</v>
      </c>
      <c r="M13" s="23">
        <f t="shared" si="0"/>
        <v>80.5</v>
      </c>
      <c r="R13" s="22">
        <v>9</v>
      </c>
      <c r="S13" s="27">
        <f t="shared" si="1"/>
        <v>6.2500000000028418E-4</v>
      </c>
    </row>
    <row r="14" spans="1:71" ht="15" thickBot="1">
      <c r="A14" s="24">
        <v>10</v>
      </c>
      <c r="B14" s="69">
        <v>260</v>
      </c>
      <c r="C14" s="25">
        <v>99</v>
      </c>
      <c r="L14" s="24">
        <v>10</v>
      </c>
      <c r="M14" s="25">
        <f t="shared" si="0"/>
        <v>80.5</v>
      </c>
      <c r="R14" s="24">
        <v>10</v>
      </c>
      <c r="S14" s="99">
        <f t="shared" si="1"/>
        <v>6.2500000000028418E-4</v>
      </c>
    </row>
    <row r="19" spans="53:54" ht="15" thickBot="1"/>
    <row r="20" spans="53:54">
      <c r="BA20" s="28" t="s">
        <v>249</v>
      </c>
      <c r="BB20" s="30">
        <f>P6</f>
        <v>80.525000000000006</v>
      </c>
    </row>
    <row r="21" spans="53:54">
      <c r="BA21" s="22" t="s">
        <v>250</v>
      </c>
      <c r="BB21" s="23">
        <f>AI6</f>
        <v>38.700000000000003</v>
      </c>
    </row>
    <row r="22" spans="53:54">
      <c r="BA22" s="22" t="s">
        <v>251</v>
      </c>
      <c r="BB22" s="23">
        <f>AC4</f>
        <v>0.41996086863010929</v>
      </c>
    </row>
    <row r="23" spans="53:54">
      <c r="BA23" s="22" t="s">
        <v>252</v>
      </c>
      <c r="BB23" s="23">
        <f>AV4</f>
        <v>0.42410646478475489</v>
      </c>
    </row>
    <row r="24" spans="53:54">
      <c r="BA24" s="22" t="s">
        <v>253</v>
      </c>
      <c r="BB24" s="23">
        <f>RADIANS(BB20)</f>
        <v>1.4054263801684339</v>
      </c>
    </row>
    <row r="25" spans="53:54">
      <c r="BA25" s="22" t="s">
        <v>254</v>
      </c>
      <c r="BB25" s="23">
        <f t="shared" ref="BB25:BB27" si="2">RADIANS(BB21)</f>
        <v>0.67544242052180559</v>
      </c>
    </row>
    <row r="26" spans="53:54">
      <c r="BA26" s="22" t="s">
        <v>255</v>
      </c>
      <c r="BB26" s="23">
        <f t="shared" si="2"/>
        <v>7.3296998871307754E-3</v>
      </c>
    </row>
    <row r="27" spans="53:54">
      <c r="BA27" s="22" t="s">
        <v>256</v>
      </c>
      <c r="BB27" s="23">
        <f t="shared" si="2"/>
        <v>7.4020541894873572E-3</v>
      </c>
    </row>
    <row r="28" spans="53:54">
      <c r="BA28" s="22" t="s">
        <v>257</v>
      </c>
      <c r="BB28" s="23">
        <f>(BB24 + BB25) / 2</f>
        <v>1.0404344003451198</v>
      </c>
    </row>
    <row r="29" spans="53:54">
      <c r="BA29" s="22" t="s">
        <v>258</v>
      </c>
      <c r="BB29" s="23">
        <f>SIN(BB24/2)</f>
        <v>0.64629047575948007</v>
      </c>
    </row>
    <row r="30" spans="53:54">
      <c r="BA30" s="22" t="s">
        <v>259</v>
      </c>
      <c r="BB30" s="23">
        <f>COS(BB24/2)</f>
        <v>0.76309148923480008</v>
      </c>
    </row>
    <row r="31" spans="53:54">
      <c r="BA31" s="22" t="s">
        <v>260</v>
      </c>
      <c r="BB31" s="23">
        <f>SIN(BB28)</f>
        <v>0.86262404812145521</v>
      </c>
    </row>
    <row r="32" spans="53:54">
      <c r="BA32" s="22" t="s">
        <v>261</v>
      </c>
      <c r="BB32" s="23">
        <f>COS(BB28)</f>
        <v>0.50584558078780661</v>
      </c>
    </row>
    <row r="33" spans="53:54">
      <c r="BA33" s="22" t="s">
        <v>262</v>
      </c>
      <c r="BB33" s="23">
        <f>(((BB32*BB29-BB31*BB30)/(2*BB29^2))*BB22)^2</f>
        <v>2.7745262392622393E-2</v>
      </c>
    </row>
    <row r="34" spans="53:54">
      <c r="BA34" s="22" t="s">
        <v>263</v>
      </c>
      <c r="BB34" s="23">
        <f>((BB32 * BB23)/(2*BB29))^2</f>
        <v>2.754673953242992E-2</v>
      </c>
    </row>
    <row r="35" spans="53:54" ht="15" thickBot="1">
      <c r="BA35" s="24" t="s">
        <v>244</v>
      </c>
      <c r="BB35" s="25">
        <f>BB33+BB34</f>
        <v>5.5292001925052313E-2</v>
      </c>
    </row>
  </sheetData>
  <mergeCells count="17">
    <mergeCell ref="BR1:BS1"/>
    <mergeCell ref="L1:AC1"/>
    <mergeCell ref="AB2:AC2"/>
    <mergeCell ref="AN2:AS2"/>
    <mergeCell ref="AN8:AS12"/>
    <mergeCell ref="AU2:AV2"/>
    <mergeCell ref="AE1:AV1"/>
    <mergeCell ref="AX1:AY1"/>
    <mergeCell ref="AX6:AY9"/>
    <mergeCell ref="BA1:BN1"/>
    <mergeCell ref="AE2:AF2"/>
    <mergeCell ref="AH2:AL2"/>
    <mergeCell ref="A1:J1"/>
    <mergeCell ref="L2:M2"/>
    <mergeCell ref="O2:S2"/>
    <mergeCell ref="U8:Z12"/>
    <mergeCell ref="U2:Z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113-4462-4F27-9B62-C5120B563AA9}">
  <dimension ref="A1:CK20"/>
  <sheetViews>
    <sheetView topLeftCell="C1" zoomScaleNormal="100" workbookViewId="0">
      <selection activeCell="BI12" sqref="BI12"/>
    </sheetView>
  </sheetViews>
  <sheetFormatPr defaultRowHeight="14.45"/>
  <cols>
    <col min="10" max="10" width="13.28515625" customWidth="1"/>
    <col min="24" max="24" width="11.28515625" customWidth="1"/>
    <col min="33" max="33" width="9.7109375" customWidth="1"/>
    <col min="36" max="36" width="9.7109375" customWidth="1"/>
    <col min="37" max="37" width="9.5703125" customWidth="1"/>
    <col min="40" max="40" width="9.5703125" customWidth="1"/>
    <col min="55" max="55" width="8.140625" customWidth="1"/>
    <col min="56" max="56" width="7.7109375" customWidth="1"/>
  </cols>
  <sheetData>
    <row r="1" spans="1:89" ht="15" thickBot="1">
      <c r="A1" s="207" t="s">
        <v>69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9"/>
      <c r="N1" s="207" t="s">
        <v>264</v>
      </c>
      <c r="O1" s="208"/>
      <c r="P1" s="208"/>
      <c r="Q1" s="208"/>
      <c r="R1" s="208"/>
      <c r="S1" s="209"/>
      <c r="U1" s="207" t="s">
        <v>159</v>
      </c>
      <c r="V1" s="208"/>
      <c r="W1" s="208"/>
      <c r="X1" s="208"/>
      <c r="Y1" s="208"/>
      <c r="Z1" s="208"/>
      <c r="AA1" s="208"/>
      <c r="AB1" s="208"/>
      <c r="AC1" s="208"/>
      <c r="AD1" s="209"/>
      <c r="AG1" s="207" t="s">
        <v>265</v>
      </c>
      <c r="AH1" s="208"/>
      <c r="AI1" s="208"/>
      <c r="AJ1" s="208"/>
      <c r="AK1" s="208"/>
      <c r="AL1" s="208"/>
      <c r="AM1" s="208"/>
      <c r="AN1" s="209"/>
      <c r="AP1" s="207" t="s">
        <v>266</v>
      </c>
      <c r="AQ1" s="208"/>
      <c r="AR1" s="208"/>
      <c r="AS1" s="208"/>
      <c r="AT1" s="208"/>
      <c r="AU1" s="209"/>
      <c r="AX1" s="207" t="s">
        <v>163</v>
      </c>
      <c r="AY1" s="208"/>
      <c r="AZ1" s="208"/>
      <c r="BA1" s="209"/>
      <c r="BD1" s="207" t="s">
        <v>267</v>
      </c>
      <c r="BE1" s="208"/>
      <c r="BF1" s="208"/>
      <c r="BG1" s="208"/>
      <c r="BH1" s="209"/>
      <c r="BJ1" s="207" t="s">
        <v>268</v>
      </c>
      <c r="BK1" s="208"/>
      <c r="BL1" s="208"/>
      <c r="BM1" s="208"/>
      <c r="BN1" s="209"/>
      <c r="BQ1" s="207" t="s">
        <v>112</v>
      </c>
      <c r="BR1" s="208"/>
      <c r="BS1" s="208"/>
      <c r="BT1" s="208"/>
      <c r="BU1" s="209"/>
      <c r="BX1" s="207" t="s">
        <v>113</v>
      </c>
      <c r="BY1" s="208"/>
      <c r="BZ1" s="208"/>
      <c r="CA1" s="208"/>
      <c r="CB1" s="209"/>
      <c r="CF1" s="207" t="s">
        <v>269</v>
      </c>
      <c r="CG1" s="208"/>
      <c r="CH1" s="208"/>
      <c r="CI1" s="208"/>
      <c r="CJ1" s="208"/>
      <c r="CK1" s="209"/>
    </row>
    <row r="2" spans="1:89" ht="15" thickBot="1"/>
    <row r="3" spans="1:89" ht="15" thickBot="1">
      <c r="A3" s="204" t="s">
        <v>76</v>
      </c>
      <c r="B3" s="152" t="s">
        <v>270</v>
      </c>
      <c r="C3" s="219" t="s">
        <v>271</v>
      </c>
      <c r="D3" s="220"/>
      <c r="E3" s="220"/>
      <c r="F3" s="220"/>
      <c r="G3" s="221"/>
      <c r="J3" s="204" t="s">
        <v>272</v>
      </c>
      <c r="K3" s="152"/>
      <c r="L3" s="153"/>
      <c r="N3" s="217" t="s">
        <v>270</v>
      </c>
      <c r="O3" s="215" t="s">
        <v>273</v>
      </c>
      <c r="P3" s="215"/>
      <c r="Q3" s="215"/>
      <c r="R3" s="216"/>
      <c r="Y3" s="111"/>
      <c r="AX3" s="191"/>
      <c r="AY3" s="191"/>
      <c r="AZ3" s="191"/>
      <c r="BA3" s="191"/>
      <c r="BD3" s="28" t="s">
        <v>274</v>
      </c>
      <c r="BE3" s="29">
        <v>1</v>
      </c>
      <c r="BF3" s="29">
        <v>2</v>
      </c>
      <c r="BG3" s="29">
        <v>2.5</v>
      </c>
      <c r="BH3" s="30">
        <v>3</v>
      </c>
      <c r="BJ3" s="28" t="s">
        <v>275</v>
      </c>
      <c r="BK3" s="29">
        <f>1/POWER(BE4,2)</f>
        <v>157.31856484714174</v>
      </c>
      <c r="BL3" s="29">
        <f>1/POWER(BF4,2)</f>
        <v>236.03176878976404</v>
      </c>
      <c r="BM3" s="29">
        <f>1/POWER(BG4,2)</f>
        <v>254.70043111176224</v>
      </c>
      <c r="BN3" s="30">
        <f>1/POWER(BH4,2)</f>
        <v>274.31548409530279</v>
      </c>
      <c r="BQ3" s="15" t="s">
        <v>276</v>
      </c>
      <c r="BR3" s="11">
        <f>AH5/($AQ$8*BE3)</f>
        <v>-54.09035409035409</v>
      </c>
      <c r="BS3" s="11">
        <f>AL5/($AQ$8*BF3)</f>
        <v>-52.991452991453002</v>
      </c>
      <c r="BT3" s="11">
        <f>AH12/($AQ$8*BG3)</f>
        <v>-53.137973137973141</v>
      </c>
      <c r="BU3" s="16">
        <f>AL12/($AQ$8*BH3)</f>
        <v>-52.665852665852675</v>
      </c>
    </row>
    <row r="4" spans="1:89" ht="15" thickBot="1">
      <c r="A4" s="199"/>
      <c r="B4" s="148"/>
      <c r="C4" s="102">
        <v>0</v>
      </c>
      <c r="D4" s="102">
        <v>1</v>
      </c>
      <c r="E4" s="102">
        <v>2</v>
      </c>
      <c r="F4" s="102">
        <v>2.5</v>
      </c>
      <c r="G4" s="102">
        <v>3</v>
      </c>
      <c r="H4" s="103" t="s">
        <v>274</v>
      </c>
      <c r="J4" s="22" t="s">
        <v>179</v>
      </c>
      <c r="K4" s="3">
        <v>200</v>
      </c>
      <c r="L4" s="23" t="s">
        <v>277</v>
      </c>
      <c r="N4" s="218"/>
      <c r="O4" s="84">
        <v>1</v>
      </c>
      <c r="P4" s="84">
        <v>2</v>
      </c>
      <c r="Q4" s="84">
        <v>2.5</v>
      </c>
      <c r="R4" s="85">
        <v>3</v>
      </c>
      <c r="S4" s="107" t="s">
        <v>278</v>
      </c>
      <c r="U4" s="28" t="s">
        <v>270</v>
      </c>
      <c r="V4" s="116" t="s">
        <v>279</v>
      </c>
      <c r="W4" s="114" t="s">
        <v>280</v>
      </c>
      <c r="Y4" s="191"/>
      <c r="Z4" s="191"/>
      <c r="AA4" s="191"/>
      <c r="AB4" s="191"/>
      <c r="AG4" s="28"/>
      <c r="AH4" s="152" t="s">
        <v>281</v>
      </c>
      <c r="AI4" s="152"/>
      <c r="AJ4" s="30"/>
      <c r="AK4" s="28"/>
      <c r="AL4" s="152" t="s">
        <v>282</v>
      </c>
      <c r="AM4" s="152"/>
      <c r="AN4" s="30"/>
      <c r="AP4" s="28" t="s">
        <v>278</v>
      </c>
      <c r="AQ4" s="29">
        <v>1</v>
      </c>
      <c r="AR4" s="29">
        <v>2</v>
      </c>
      <c r="AS4" s="29">
        <v>2.5</v>
      </c>
      <c r="AT4" s="30">
        <v>3</v>
      </c>
      <c r="AX4" s="191"/>
      <c r="AY4" s="191"/>
      <c r="AZ4" s="191"/>
      <c r="BA4" s="191"/>
      <c r="BD4" s="22" t="s">
        <v>283</v>
      </c>
      <c r="BE4" s="3">
        <f>SQRT(POWER(BE5*BE10,2)+POWER(BE6*$BE$11,2)+POWER(BE7*BE12,2))</f>
        <v>7.9727842532234597E-2</v>
      </c>
      <c r="BF4" s="3">
        <f>SQRT(POWER(BF5*BF10,2)+POWER(BF6*$BE$11,2)+POWER(BF7*BF12,2))</f>
        <v>6.5090074635937453E-2</v>
      </c>
      <c r="BG4" s="3">
        <f>SQRT(POWER(BG5*BG10,2)+POWER(BG6*$BE$11,2)+POWER(BG7*BG12,2))</f>
        <v>6.2659245337107733E-2</v>
      </c>
      <c r="BH4" s="23">
        <f>SQRT(POWER(BH5*BH10,2)+POWER(BH6*$BE$11,2)+POWER(BH7*BH12,2))</f>
        <v>6.037745997447995E-2</v>
      </c>
      <c r="BJ4" s="22" t="s">
        <v>284</v>
      </c>
      <c r="BK4" s="3">
        <f>SQRT(1/SUM(BK3:BN3))</f>
        <v>3.2926706958651603E-2</v>
      </c>
      <c r="BL4" s="3"/>
      <c r="BM4" s="3"/>
      <c r="BN4" s="23"/>
      <c r="BX4" s="15" t="s">
        <v>285</v>
      </c>
      <c r="BY4" s="11">
        <f>SQRT(POWER((BE5/$AQ$7)*BE10,2)+POWER((BE7/$AQ$7)*BE12,2))</f>
        <v>0.93687241508057695</v>
      </c>
      <c r="BZ4" s="11">
        <f>SQRT(POWER((BF5/$AQ$7)*BF10,2)+POWER((BF7/$AQ$7)*BF12,2))</f>
        <v>0.76486574139179531</v>
      </c>
      <c r="CA4" s="11">
        <f>SQRT(POWER((BG5/$AQ$7)*BG10,2)+POWER((BG7/$AQ$7)*BG12,2))</f>
        <v>0.73630135448306899</v>
      </c>
      <c r="CB4" s="11">
        <f>SQRT(POWER((BH5/$AQ$7)*BH10,2)+POWER((BH7/$AQ$7)*BH12,2))</f>
        <v>0.70948836508784996</v>
      </c>
      <c r="CF4" s="28" t="s">
        <v>275</v>
      </c>
      <c r="CG4" s="29">
        <f>1/POWER(BY4,2)</f>
        <v>1.1393026200623662</v>
      </c>
      <c r="CH4" s="29">
        <f t="shared" ref="CH4:CI4" si="0">1/POWER(BZ4,2)</f>
        <v>1.7093444321776576</v>
      </c>
      <c r="CI4" s="29">
        <f t="shared" si="0"/>
        <v>1.8445430732722097</v>
      </c>
      <c r="CJ4" s="30">
        <f>1/POWER(CB4,2)</f>
        <v>1.9865954859158006</v>
      </c>
    </row>
    <row r="5" spans="1:89" ht="15" thickBot="1">
      <c r="A5" s="22">
        <v>1</v>
      </c>
      <c r="B5" s="100">
        <v>6</v>
      </c>
      <c r="C5" s="3">
        <v>3.6</v>
      </c>
      <c r="D5" s="3">
        <v>2.2000000000000002</v>
      </c>
      <c r="E5" s="3">
        <v>0.8</v>
      </c>
      <c r="F5" s="3">
        <v>0</v>
      </c>
      <c r="G5" s="23">
        <v>-0.4</v>
      </c>
      <c r="J5" s="22" t="s">
        <v>203</v>
      </c>
      <c r="K5" s="3">
        <v>0.1</v>
      </c>
      <c r="L5" s="23" t="s">
        <v>277</v>
      </c>
      <c r="N5" s="104">
        <v>6</v>
      </c>
      <c r="O5" s="121">
        <f>D5-$C5</f>
        <v>-1.4</v>
      </c>
      <c r="P5" s="121">
        <f t="shared" ref="P5:R17" si="1">E5-$C5</f>
        <v>-2.8</v>
      </c>
      <c r="Q5" s="121">
        <f t="shared" si="1"/>
        <v>-3.6</v>
      </c>
      <c r="R5" s="122">
        <f t="shared" si="1"/>
        <v>-4</v>
      </c>
      <c r="U5" s="22">
        <f t="shared" ref="U5:U17" si="2">B5</f>
        <v>6</v>
      </c>
      <c r="V5" s="117">
        <f>($K$6*N5/100+$K$7*$K$5)</f>
        <v>0.33000000000000007</v>
      </c>
      <c r="W5" s="120">
        <f>V5/SQRT(3)</f>
        <v>0.19052558883257656</v>
      </c>
      <c r="Y5" s="191"/>
      <c r="Z5" s="191"/>
      <c r="AA5" s="191"/>
      <c r="AB5" s="191"/>
      <c r="AG5" s="22" t="s">
        <v>286</v>
      </c>
      <c r="AH5" s="3" cm="1">
        <f t="array" ref="AH5:AI9">LINEST(O5:O17,N5:N17,TRUE,TRUE)</f>
        <v>-0.2434065934065934</v>
      </c>
      <c r="AI5" s="3">
        <v>3.0769230769230764E-2</v>
      </c>
      <c r="AJ5" s="23" t="s">
        <v>287</v>
      </c>
      <c r="AK5" s="22" t="s">
        <v>286</v>
      </c>
      <c r="AL5" s="3" cm="1">
        <f t="array" ref="AL5:AM9">LINEST(P5:P17,N5:N17,TRUE,TRUE)</f>
        <v>-0.47692307692307701</v>
      </c>
      <c r="AM5" s="3">
        <v>4.6153846153846163E-2</v>
      </c>
      <c r="AN5" s="23" t="s">
        <v>287</v>
      </c>
      <c r="AP5" s="110" t="s">
        <v>288</v>
      </c>
      <c r="AQ5" s="69">
        <f>($AQ$7*AH5)/(AQ$4*$AQ$8)</f>
        <v>-4.6030891330891333</v>
      </c>
      <c r="AR5" s="69">
        <f>($AQ$7*AL5)/(AR$4*$AQ$8)</f>
        <v>-4.5095726495726502</v>
      </c>
      <c r="AS5" s="69">
        <f>($AQ$7*AH12)/(AS$4*$AQ$8)</f>
        <v>-4.522041514041514</v>
      </c>
      <c r="AT5" s="69">
        <f>($AQ$7*AL12)/(AT$4*$AQ$8)</f>
        <v>-4.4818640618640622</v>
      </c>
      <c r="AX5" s="191"/>
      <c r="AY5" s="191"/>
      <c r="AZ5" s="191"/>
      <c r="BA5" s="191"/>
      <c r="BD5" s="22" t="s">
        <v>289</v>
      </c>
      <c r="BE5" s="3">
        <f>$AQ$7/AQ4*$AQ$8</f>
        <v>3.8294999999999996E-4</v>
      </c>
      <c r="BF5" s="3">
        <f>$AQ$7/AR4*$AQ$8</f>
        <v>1.9147499999999998E-4</v>
      </c>
      <c r="BG5" s="3">
        <f>$AQ$7/AS4*$AQ$8</f>
        <v>1.5317999999999999E-4</v>
      </c>
      <c r="BH5" s="23">
        <f>$AQ$7/AT4*$AQ$8</f>
        <v>1.2764999999999999E-4</v>
      </c>
      <c r="BJ5" s="22" t="s">
        <v>290</v>
      </c>
      <c r="BK5" s="3">
        <f>AQ5*BK3</f>
        <v>-724.15137628105629</v>
      </c>
      <c r="BL5" s="3">
        <f>AR5*BL3</f>
        <v>-1064.4024089645754</v>
      </c>
      <c r="BM5" s="3">
        <f>AS5*BM3</f>
        <v>-1151.7659231316597</v>
      </c>
      <c r="BN5" s="23">
        <f>AT5*BN3</f>
        <v>-1229.4447097795803</v>
      </c>
      <c r="CF5" s="22" t="s">
        <v>291</v>
      </c>
      <c r="CG5" s="3">
        <f>SQRT(1/SUM(CG4:CJ4))</f>
        <v>0.38691782520610901</v>
      </c>
      <c r="CH5" s="3"/>
      <c r="CI5" s="3"/>
      <c r="CJ5" s="23"/>
    </row>
    <row r="6" spans="1:89" ht="15" thickBot="1">
      <c r="A6" s="22">
        <v>2</v>
      </c>
      <c r="B6" s="100">
        <v>5</v>
      </c>
      <c r="C6" s="3">
        <v>3</v>
      </c>
      <c r="D6" s="3">
        <v>1.8</v>
      </c>
      <c r="E6" s="3">
        <v>0.6</v>
      </c>
      <c r="F6" s="3">
        <v>0</v>
      </c>
      <c r="G6" s="23">
        <v>-0.4</v>
      </c>
      <c r="J6" s="22" t="s">
        <v>204</v>
      </c>
      <c r="K6" s="3">
        <v>0.5</v>
      </c>
      <c r="L6" s="23" t="s">
        <v>37</v>
      </c>
      <c r="N6" s="104">
        <v>5</v>
      </c>
      <c r="O6" s="121">
        <f t="shared" ref="O6:O17" si="3">D6-$C6</f>
        <v>-1.2</v>
      </c>
      <c r="P6" s="121">
        <f t="shared" si="1"/>
        <v>-2.4</v>
      </c>
      <c r="Q6" s="121">
        <f t="shared" si="1"/>
        <v>-3</v>
      </c>
      <c r="R6" s="122">
        <f t="shared" si="1"/>
        <v>-3.4</v>
      </c>
      <c r="U6" s="22">
        <f t="shared" si="2"/>
        <v>5</v>
      </c>
      <c r="V6" s="117">
        <f t="shared" ref="V6:V17" si="4">($K$6*N6/100+$K$7*$K$5)</f>
        <v>0.32500000000000007</v>
      </c>
      <c r="W6" s="119">
        <f t="shared" ref="W6:W17" si="5">V6/SQRT(3)</f>
        <v>0.18763883748662843</v>
      </c>
      <c r="Y6" s="191"/>
      <c r="Z6" s="191"/>
      <c r="AA6" s="191"/>
      <c r="AB6" s="191"/>
      <c r="AG6" s="22" t="s">
        <v>292</v>
      </c>
      <c r="AH6" s="3">
        <v>4.7294547410839998E-3</v>
      </c>
      <c r="AI6" s="3">
        <v>1.7695999267389986E-2</v>
      </c>
      <c r="AJ6" s="23" t="s">
        <v>293</v>
      </c>
      <c r="AK6" s="22" t="s">
        <v>292</v>
      </c>
      <c r="AL6" s="3">
        <v>6.9025113566931915E-3</v>
      </c>
      <c r="AM6" s="3">
        <v>2.5826832605062102E-2</v>
      </c>
      <c r="AN6" s="23" t="s">
        <v>293</v>
      </c>
      <c r="AP6" s="93"/>
      <c r="AX6" s="191"/>
      <c r="AY6" s="191"/>
      <c r="AZ6" s="191"/>
      <c r="BA6" s="191"/>
      <c r="BD6" s="22" t="s">
        <v>294</v>
      </c>
      <c r="BE6" s="3">
        <f>AH5/AQ5*$AQ$8</f>
        <v>2.3795534665099882E-4</v>
      </c>
      <c r="BF6" s="3">
        <f>AL5/AR5*$AQ$8</f>
        <v>4.7591069330199764E-4</v>
      </c>
      <c r="BG6" s="3">
        <f>AH12/AS5*$AQ$8</f>
        <v>5.9488836662749704E-4</v>
      </c>
      <c r="BH6" s="23">
        <f>AL12/AT5*$AQ$8</f>
        <v>7.1386603995299649E-4</v>
      </c>
      <c r="BJ6" s="24" t="s">
        <v>295</v>
      </c>
      <c r="BK6" s="69">
        <f>SUM(BK5:BN5)/SUM(BK3:BN3)</f>
        <v>-4.5207252795545827</v>
      </c>
      <c r="BL6" s="69"/>
      <c r="BM6" s="69"/>
      <c r="BN6" s="25"/>
      <c r="CF6" s="22" t="s">
        <v>296</v>
      </c>
      <c r="CG6" s="3">
        <f>BR3*CG4</f>
        <v>-61.625282135241541</v>
      </c>
      <c r="CH6" s="3">
        <f>BS3*CH4</f>
        <v>-90.580645123944265</v>
      </c>
      <c r="CI6" s="3">
        <f>BT3*CI4</f>
        <v>-98.015280279373101</v>
      </c>
      <c r="CJ6" s="23">
        <f>BU3*CJ4</f>
        <v>-104.62574516788956</v>
      </c>
    </row>
    <row r="7" spans="1:89" ht="15" thickBot="1">
      <c r="A7" s="22">
        <v>3</v>
      </c>
      <c r="B7" s="100">
        <v>4</v>
      </c>
      <c r="C7" s="3">
        <v>2.2999999999999998</v>
      </c>
      <c r="D7" s="3">
        <v>1.3</v>
      </c>
      <c r="E7" s="3">
        <v>0.4</v>
      </c>
      <c r="F7" s="3">
        <v>0</v>
      </c>
      <c r="G7" s="23">
        <v>-0.3</v>
      </c>
      <c r="J7" s="24" t="s">
        <v>39</v>
      </c>
      <c r="K7" s="69">
        <v>3</v>
      </c>
      <c r="L7" s="25"/>
      <c r="N7" s="104">
        <v>4</v>
      </c>
      <c r="O7" s="121">
        <f t="shared" si="3"/>
        <v>-0.99999999999999978</v>
      </c>
      <c r="P7" s="121">
        <f t="shared" si="1"/>
        <v>-1.9</v>
      </c>
      <c r="Q7" s="121">
        <f t="shared" si="1"/>
        <v>-2.2999999999999998</v>
      </c>
      <c r="R7" s="122">
        <f t="shared" si="1"/>
        <v>-2.5999999999999996</v>
      </c>
      <c r="U7" s="22">
        <f t="shared" si="2"/>
        <v>4</v>
      </c>
      <c r="V7" s="117">
        <f t="shared" si="4"/>
        <v>0.32000000000000006</v>
      </c>
      <c r="W7" s="119">
        <f t="shared" si="5"/>
        <v>0.18475208614068028</v>
      </c>
      <c r="Z7" s="93"/>
      <c r="AG7" s="22"/>
      <c r="AH7" s="3">
        <v>0.99586428774408309</v>
      </c>
      <c r="AI7" s="3">
        <v>6.3803832729147789E-2</v>
      </c>
      <c r="AJ7" s="23"/>
      <c r="AK7" s="22"/>
      <c r="AL7" s="3">
        <v>0.99770114942528731</v>
      </c>
      <c r="AM7" s="3">
        <v>9.3119969240376604E-2</v>
      </c>
      <c r="AN7" s="23"/>
      <c r="AP7" s="28" t="s">
        <v>297</v>
      </c>
      <c r="AQ7" s="29">
        <v>8.5099999999999995E-2</v>
      </c>
      <c r="AR7" s="29" t="s">
        <v>298</v>
      </c>
      <c r="AS7" s="30" t="s">
        <v>299</v>
      </c>
      <c r="AX7" s="191"/>
      <c r="AY7" s="191"/>
      <c r="AZ7" s="191"/>
      <c r="BA7" s="191"/>
      <c r="BD7" s="24" t="s">
        <v>300</v>
      </c>
      <c r="BE7" s="69">
        <f>-1*(($AQ$7*AH5)/($AQ$8*POWER(AQ4,2)))</f>
        <v>4.6030891330891333</v>
      </c>
      <c r="BF7" s="69">
        <f>-1*(($AQ$7*AL5)/($AQ$8*POWER(AR4,2)))</f>
        <v>2.2547863247863251</v>
      </c>
      <c r="BG7" s="69">
        <f>-1*(($AQ$7*AH12)/($AQ$8*POWER(AS4,2)))</f>
        <v>1.8088166056166057</v>
      </c>
      <c r="BH7" s="69">
        <f>-1*(($AQ$7*AL12)/($AQ$8*POWER(AT4,2)))</f>
        <v>1.4939546872880207</v>
      </c>
      <c r="BI7" s="108"/>
      <c r="CF7" s="24" t="s">
        <v>301</v>
      </c>
      <c r="CG7" s="69">
        <f>SUM(CG6:CJ6)/SUM(CG4:CJ4)</f>
        <v>-53.12250622226</v>
      </c>
      <c r="CH7" s="69"/>
      <c r="CI7" s="69"/>
      <c r="CJ7" s="25"/>
    </row>
    <row r="8" spans="1:89" ht="15" thickBot="1">
      <c r="A8" s="22">
        <v>4</v>
      </c>
      <c r="B8" s="100">
        <v>3</v>
      </c>
      <c r="C8" s="3">
        <v>1.6</v>
      </c>
      <c r="D8" s="3">
        <v>0.9</v>
      </c>
      <c r="E8" s="3">
        <v>0.1</v>
      </c>
      <c r="F8" s="3">
        <v>0</v>
      </c>
      <c r="G8" s="23">
        <v>-0.3</v>
      </c>
      <c r="N8" s="104">
        <v>3</v>
      </c>
      <c r="O8" s="121">
        <f t="shared" si="3"/>
        <v>-0.70000000000000007</v>
      </c>
      <c r="P8" s="121">
        <f t="shared" si="1"/>
        <v>-1.5</v>
      </c>
      <c r="Q8" s="121">
        <f t="shared" si="1"/>
        <v>-1.6</v>
      </c>
      <c r="R8" s="122">
        <f t="shared" si="1"/>
        <v>-1.9000000000000001</v>
      </c>
      <c r="U8" s="22">
        <f t="shared" si="2"/>
        <v>3</v>
      </c>
      <c r="V8" s="117">
        <f t="shared" si="4"/>
        <v>0.31500000000000006</v>
      </c>
      <c r="W8" s="119">
        <f t="shared" si="5"/>
        <v>0.18186533479473216</v>
      </c>
      <c r="Z8" s="93"/>
      <c r="AG8" s="22"/>
      <c r="AH8" s="3">
        <v>2648.759509202454</v>
      </c>
      <c r="AI8" s="3">
        <v>11</v>
      </c>
      <c r="AJ8" s="23"/>
      <c r="AK8" s="22"/>
      <c r="AL8" s="3">
        <v>4773.9999999999918</v>
      </c>
      <c r="AM8" s="3">
        <v>11</v>
      </c>
      <c r="AN8" s="23"/>
      <c r="AP8" s="24" t="s">
        <v>302</v>
      </c>
      <c r="AQ8" s="69">
        <v>4.4999999999999997E-3</v>
      </c>
      <c r="AR8" s="69" t="s">
        <v>215</v>
      </c>
      <c r="AS8" s="25"/>
      <c r="AX8" s="191"/>
      <c r="AY8" s="191"/>
      <c r="AZ8" s="191"/>
      <c r="BA8" s="191"/>
    </row>
    <row r="9" spans="1:89" ht="15" thickBot="1">
      <c r="A9" s="22">
        <v>5</v>
      </c>
      <c r="B9" s="100">
        <v>2</v>
      </c>
      <c r="C9" s="3">
        <v>0.8</v>
      </c>
      <c r="D9" s="3">
        <v>0.4</v>
      </c>
      <c r="E9" s="3">
        <v>0</v>
      </c>
      <c r="F9" s="3">
        <v>-0.1</v>
      </c>
      <c r="G9" s="23">
        <v>-0.3</v>
      </c>
      <c r="J9" s="204" t="s">
        <v>303</v>
      </c>
      <c r="K9" s="152"/>
      <c r="L9" s="153"/>
      <c r="N9" s="104">
        <v>2</v>
      </c>
      <c r="O9" s="121">
        <f t="shared" si="3"/>
        <v>-0.4</v>
      </c>
      <c r="P9" s="121">
        <f t="shared" si="1"/>
        <v>-0.8</v>
      </c>
      <c r="Q9" s="121">
        <f t="shared" si="1"/>
        <v>-0.9</v>
      </c>
      <c r="R9" s="122">
        <f t="shared" si="1"/>
        <v>-1.1000000000000001</v>
      </c>
      <c r="U9" s="22">
        <f t="shared" si="2"/>
        <v>2</v>
      </c>
      <c r="V9" s="117">
        <f t="shared" si="4"/>
        <v>0.31000000000000005</v>
      </c>
      <c r="W9" s="119">
        <f t="shared" si="5"/>
        <v>0.17897858344878403</v>
      </c>
      <c r="Z9" s="93"/>
      <c r="AA9" s="108"/>
      <c r="AG9" s="24"/>
      <c r="AH9" s="69">
        <v>10.782912087912084</v>
      </c>
      <c r="AI9" s="69">
        <v>4.4780219780219767E-2</v>
      </c>
      <c r="AJ9" s="25"/>
      <c r="AK9" s="24"/>
      <c r="AL9" s="69">
        <v>41.396923076923073</v>
      </c>
      <c r="AM9" s="69">
        <v>9.538461538461554E-2</v>
      </c>
      <c r="AN9" s="25"/>
      <c r="AP9" s="93"/>
      <c r="BK9" s="108"/>
    </row>
    <row r="10" spans="1:89" ht="15" thickBot="1">
      <c r="A10" s="22">
        <v>6</v>
      </c>
      <c r="B10" s="100">
        <v>1</v>
      </c>
      <c r="C10" s="3">
        <v>0.1</v>
      </c>
      <c r="D10" s="3">
        <v>0</v>
      </c>
      <c r="E10" s="3">
        <v>-0.1</v>
      </c>
      <c r="F10" s="3">
        <v>-0.2</v>
      </c>
      <c r="G10" s="23">
        <v>-0.3</v>
      </c>
      <c r="J10" s="22" t="s">
        <v>179</v>
      </c>
      <c r="K10" s="3">
        <v>20</v>
      </c>
      <c r="L10" s="23" t="s">
        <v>172</v>
      </c>
      <c r="N10" s="104">
        <v>1</v>
      </c>
      <c r="O10" s="121">
        <f t="shared" si="3"/>
        <v>-0.1</v>
      </c>
      <c r="P10" s="121">
        <f t="shared" si="1"/>
        <v>-0.2</v>
      </c>
      <c r="Q10" s="121">
        <f t="shared" si="1"/>
        <v>-0.30000000000000004</v>
      </c>
      <c r="R10" s="122">
        <f t="shared" si="1"/>
        <v>-0.4</v>
      </c>
      <c r="U10" s="22">
        <f t="shared" si="2"/>
        <v>1</v>
      </c>
      <c r="V10" s="117">
        <f t="shared" si="4"/>
        <v>0.30500000000000005</v>
      </c>
      <c r="W10" s="115">
        <f t="shared" si="5"/>
        <v>0.17609183210283591</v>
      </c>
      <c r="Z10" s="93"/>
      <c r="AP10" s="93"/>
      <c r="BD10" s="28" t="s">
        <v>97</v>
      </c>
      <c r="BE10" s="29">
        <f>AH6</f>
        <v>4.7294547410839998E-3</v>
      </c>
      <c r="BF10" s="29">
        <f>AL6</f>
        <v>6.9025113566931915E-3</v>
      </c>
      <c r="BG10" s="29">
        <f>AH13</f>
        <v>9.3773153929042966E-3</v>
      </c>
      <c r="BH10" s="30">
        <f>AL13</f>
        <v>7.9726288522392746E-3</v>
      </c>
    </row>
    <row r="11" spans="1:89">
      <c r="A11" s="22">
        <v>7</v>
      </c>
      <c r="B11" s="100">
        <v>0</v>
      </c>
      <c r="C11" s="3">
        <v>-0.2</v>
      </c>
      <c r="D11" s="3">
        <v>-0.3</v>
      </c>
      <c r="E11" s="3">
        <v>-0.2</v>
      </c>
      <c r="F11" s="3">
        <v>-0.3</v>
      </c>
      <c r="G11" s="23">
        <v>-0.2</v>
      </c>
      <c r="J11" s="22" t="s">
        <v>203</v>
      </c>
      <c r="K11" s="3">
        <f xml:space="preserve"> 1 * 10^(-3)</f>
        <v>1E-3</v>
      </c>
      <c r="L11" s="23" t="s">
        <v>172</v>
      </c>
      <c r="N11" s="104">
        <v>0</v>
      </c>
      <c r="O11" s="121">
        <f t="shared" si="3"/>
        <v>-9.9999999999999978E-2</v>
      </c>
      <c r="P11" s="121">
        <f t="shared" si="1"/>
        <v>0</v>
      </c>
      <c r="Q11" s="121">
        <f t="shared" si="1"/>
        <v>-9.9999999999999978E-2</v>
      </c>
      <c r="R11" s="122">
        <f t="shared" si="1"/>
        <v>0</v>
      </c>
      <c r="U11" s="22">
        <f t="shared" si="2"/>
        <v>0</v>
      </c>
      <c r="V11" s="117">
        <f t="shared" si="4"/>
        <v>0.30000000000000004</v>
      </c>
      <c r="W11" s="119">
        <f t="shared" si="5"/>
        <v>0.17320508075688776</v>
      </c>
      <c r="Z11" s="93"/>
      <c r="AG11" s="28"/>
      <c r="AH11" s="152" t="s">
        <v>304</v>
      </c>
      <c r="AI11" s="152"/>
      <c r="AJ11" s="30"/>
      <c r="AK11" s="28"/>
      <c r="AL11" s="152" t="s">
        <v>305</v>
      </c>
      <c r="AM11" s="152"/>
      <c r="AN11" s="30"/>
      <c r="AP11" t="s">
        <v>306</v>
      </c>
      <c r="AU11" s="109"/>
      <c r="BD11" s="22" t="s">
        <v>307</v>
      </c>
      <c r="BE11" s="3">
        <v>5.0000000000000001E-3</v>
      </c>
      <c r="BF11" s="3" t="s">
        <v>118</v>
      </c>
      <c r="BG11" s="3"/>
      <c r="BH11" s="23"/>
    </row>
    <row r="12" spans="1:89" ht="15" thickBot="1">
      <c r="A12" s="22">
        <v>8</v>
      </c>
      <c r="B12" s="100">
        <v>-1</v>
      </c>
      <c r="C12" s="3">
        <v>-1</v>
      </c>
      <c r="D12" s="3">
        <v>-0.7</v>
      </c>
      <c r="E12" s="3">
        <v>-0.5</v>
      </c>
      <c r="F12" s="3">
        <v>-0.4</v>
      </c>
      <c r="G12" s="23">
        <v>-0.2</v>
      </c>
      <c r="J12" s="22" t="s">
        <v>204</v>
      </c>
      <c r="K12" s="3">
        <v>2</v>
      </c>
      <c r="L12" s="23" t="s">
        <v>37</v>
      </c>
      <c r="N12" s="104">
        <v>-1</v>
      </c>
      <c r="O12" s="121">
        <f t="shared" si="3"/>
        <v>0.30000000000000004</v>
      </c>
      <c r="P12" s="121">
        <f t="shared" si="1"/>
        <v>0.5</v>
      </c>
      <c r="Q12" s="121">
        <f t="shared" si="1"/>
        <v>0.6</v>
      </c>
      <c r="R12" s="122">
        <f>G12-$C12</f>
        <v>0.8</v>
      </c>
      <c r="U12" s="22">
        <f t="shared" si="2"/>
        <v>-1</v>
      </c>
      <c r="V12" s="117">
        <f t="shared" si="4"/>
        <v>0.29500000000000004</v>
      </c>
      <c r="W12" s="119">
        <f t="shared" si="5"/>
        <v>0.17031832941093963</v>
      </c>
      <c r="Z12" s="93"/>
      <c r="AG12" s="22" t="s">
        <v>286</v>
      </c>
      <c r="AH12" s="3" cm="1">
        <f t="array" ref="AH12:AI16">LINEST(Q5:Q17,N5:N17,TRUE,TRUE)</f>
        <v>-0.59780219780219779</v>
      </c>
      <c r="AI12" s="3">
        <v>8.461538461538462E-2</v>
      </c>
      <c r="AJ12" s="23" t="s">
        <v>287</v>
      </c>
      <c r="AK12" s="22" t="s">
        <v>286</v>
      </c>
      <c r="AL12" s="3" cm="1">
        <f t="array" ref="AL12:AM16">LINEST(R5:R17,N5:N17,TRUE,TRUE)</f>
        <v>-0.71098901098901102</v>
      </c>
      <c r="AM12" s="3">
        <v>0.20769230769230757</v>
      </c>
      <c r="AN12" s="23" t="s">
        <v>287</v>
      </c>
      <c r="AP12" s="93"/>
      <c r="BD12" s="24" t="s">
        <v>308</v>
      </c>
      <c r="BE12" s="69">
        <f>(($K$12/100)*O4+$K$13*$K$11)/SQRT(3)</f>
        <v>1.7320508075688773E-2</v>
      </c>
      <c r="BF12" s="69">
        <f>(($K$12/100)*P4+$K$13*$K$11)/SQRT(3)</f>
        <v>2.8867513459481291E-2</v>
      </c>
      <c r="BG12" s="69">
        <f>(($K$12/100)*Q4+$K$13*$K$11)/SQRT(3)</f>
        <v>3.4641016151377553E-2</v>
      </c>
      <c r="BH12" s="25">
        <f>(($K$12/100)*R4+$K$13*$K$11)/SQRT(3)</f>
        <v>4.0414518843273801E-2</v>
      </c>
    </row>
    <row r="13" spans="1:89" ht="15" thickBot="1">
      <c r="A13" s="22">
        <v>9</v>
      </c>
      <c r="B13" s="100">
        <v>-2</v>
      </c>
      <c r="C13" s="3">
        <v>-1.7</v>
      </c>
      <c r="D13" s="3">
        <v>-1.2</v>
      </c>
      <c r="E13" s="3">
        <v>-0.7</v>
      </c>
      <c r="F13" s="3">
        <v>-0.5</v>
      </c>
      <c r="G13" s="23">
        <v>-0.2</v>
      </c>
      <c r="J13" s="24" t="s">
        <v>39</v>
      </c>
      <c r="K13" s="69">
        <v>10</v>
      </c>
      <c r="L13" s="25"/>
      <c r="N13" s="104">
        <v>-2</v>
      </c>
      <c r="O13" s="121">
        <f t="shared" si="3"/>
        <v>0.5</v>
      </c>
      <c r="P13" s="121">
        <f t="shared" si="1"/>
        <v>1</v>
      </c>
      <c r="Q13" s="121">
        <f t="shared" si="1"/>
        <v>1.2</v>
      </c>
      <c r="R13" s="122">
        <f t="shared" si="1"/>
        <v>1.5</v>
      </c>
      <c r="U13" s="22">
        <f t="shared" si="2"/>
        <v>-2</v>
      </c>
      <c r="V13" s="117">
        <f t="shared" si="4"/>
        <v>0.29000000000000004</v>
      </c>
      <c r="W13" s="119">
        <f t="shared" si="5"/>
        <v>0.16743157806499151</v>
      </c>
      <c r="Z13" s="93"/>
      <c r="AG13" s="22" t="s">
        <v>292</v>
      </c>
      <c r="AH13" s="3">
        <v>9.3773153929042966E-3</v>
      </c>
      <c r="AI13" s="3">
        <v>3.5086701407969351E-2</v>
      </c>
      <c r="AJ13" s="23" t="s">
        <v>293</v>
      </c>
      <c r="AK13" s="22" t="s">
        <v>292</v>
      </c>
      <c r="AL13" s="3">
        <v>7.9726288522392746E-3</v>
      </c>
      <c r="AM13" s="3">
        <v>2.9830845636988134E-2</v>
      </c>
      <c r="AN13" s="23" t="s">
        <v>293</v>
      </c>
      <c r="AP13" s="93"/>
    </row>
    <row r="14" spans="1:89" ht="15" thickBot="1">
      <c r="A14" s="22">
        <v>10</v>
      </c>
      <c r="B14" s="100">
        <v>-3</v>
      </c>
      <c r="C14" s="3">
        <v>-2.4</v>
      </c>
      <c r="D14" s="3">
        <v>-1.7</v>
      </c>
      <c r="E14" s="3">
        <v>-1</v>
      </c>
      <c r="F14" s="3">
        <v>-0.6</v>
      </c>
      <c r="G14" s="23">
        <v>-0.1</v>
      </c>
      <c r="N14" s="104">
        <v>-3</v>
      </c>
      <c r="O14" s="121">
        <f t="shared" si="3"/>
        <v>0.7</v>
      </c>
      <c r="P14" s="121">
        <f t="shared" si="1"/>
        <v>1.4</v>
      </c>
      <c r="Q14" s="121">
        <f t="shared" si="1"/>
        <v>1.7999999999999998</v>
      </c>
      <c r="R14" s="122">
        <f t="shared" si="1"/>
        <v>2.2999999999999998</v>
      </c>
      <c r="U14" s="22">
        <f t="shared" si="2"/>
        <v>-3</v>
      </c>
      <c r="V14" s="117">
        <f t="shared" si="4"/>
        <v>0.28500000000000003</v>
      </c>
      <c r="W14" s="119">
        <f t="shared" si="5"/>
        <v>0.16454482671904336</v>
      </c>
      <c r="Z14" s="93"/>
      <c r="AG14" s="22"/>
      <c r="AH14" s="3">
        <v>0.99730063996063856</v>
      </c>
      <c r="AI14" s="3">
        <v>0.12650690101332804</v>
      </c>
      <c r="AJ14" s="23"/>
      <c r="AK14" s="22"/>
      <c r="AL14" s="3">
        <v>0.99861875817055823</v>
      </c>
      <c r="AM14" s="3">
        <v>0.10755664353461195</v>
      </c>
      <c r="AN14" s="23"/>
      <c r="AP14" s="191"/>
      <c r="AQ14" s="191"/>
      <c r="AR14" s="191"/>
      <c r="AS14" s="191"/>
      <c r="AT14" s="191"/>
      <c r="AU14" s="191"/>
    </row>
    <row r="15" spans="1:89">
      <c r="A15" s="22">
        <v>11</v>
      </c>
      <c r="B15" s="100">
        <v>-4</v>
      </c>
      <c r="C15" s="3">
        <v>-3.2</v>
      </c>
      <c r="D15" s="3">
        <v>-2.2000000000000002</v>
      </c>
      <c r="E15" s="3">
        <v>-1.2</v>
      </c>
      <c r="F15" s="3">
        <v>-0.7</v>
      </c>
      <c r="G15" s="23">
        <v>-0.1</v>
      </c>
      <c r="J15" s="204" t="s">
        <v>309</v>
      </c>
      <c r="K15" s="152"/>
      <c r="L15" s="153"/>
      <c r="N15" s="104">
        <v>-4</v>
      </c>
      <c r="O15" s="121">
        <f t="shared" si="3"/>
        <v>1</v>
      </c>
      <c r="P15" s="121">
        <f t="shared" si="1"/>
        <v>2</v>
      </c>
      <c r="Q15" s="121">
        <f t="shared" si="1"/>
        <v>2.5</v>
      </c>
      <c r="R15" s="122">
        <f t="shared" si="1"/>
        <v>3.1</v>
      </c>
      <c r="U15" s="22">
        <f t="shared" si="2"/>
        <v>-4</v>
      </c>
      <c r="V15" s="117">
        <f t="shared" si="4"/>
        <v>0.28000000000000003</v>
      </c>
      <c r="W15" s="119">
        <f t="shared" si="5"/>
        <v>0.16165807537309523</v>
      </c>
      <c r="Z15" s="93"/>
      <c r="AG15" s="22"/>
      <c r="AH15" s="3">
        <v>4064.0399500624294</v>
      </c>
      <c r="AI15" s="3">
        <v>11</v>
      </c>
      <c r="AJ15" s="23"/>
      <c r="AK15" s="22"/>
      <c r="AL15" s="3">
        <v>7952.848013816917</v>
      </c>
      <c r="AM15" s="3">
        <v>11</v>
      </c>
      <c r="AN15" s="23"/>
      <c r="AP15" s="191"/>
      <c r="AQ15" s="191"/>
      <c r="AR15" s="191"/>
      <c r="AS15" s="191"/>
      <c r="AT15" s="191"/>
      <c r="AU15" s="191"/>
      <c r="BD15" s="191"/>
      <c r="BE15" s="191"/>
      <c r="BF15" s="191"/>
      <c r="BG15" s="191"/>
      <c r="BH15" s="191"/>
      <c r="BI15" s="109"/>
      <c r="CG15" s="108"/>
    </row>
    <row r="16" spans="1:89" ht="15" thickBot="1">
      <c r="A16" s="22">
        <v>12</v>
      </c>
      <c r="B16" s="100">
        <v>-5</v>
      </c>
      <c r="C16" s="3">
        <v>-3.9</v>
      </c>
      <c r="D16" s="3">
        <v>-2.6</v>
      </c>
      <c r="E16" s="3">
        <v>-1.5</v>
      </c>
      <c r="F16" s="3">
        <v>-0.8</v>
      </c>
      <c r="G16" s="23">
        <v>-0.1</v>
      </c>
      <c r="J16" s="22" t="s">
        <v>179</v>
      </c>
      <c r="K16" s="3">
        <v>400</v>
      </c>
      <c r="L16" s="23" t="s">
        <v>310</v>
      </c>
      <c r="N16" s="104">
        <v>-5</v>
      </c>
      <c r="O16" s="121">
        <f t="shared" si="3"/>
        <v>1.2999999999999998</v>
      </c>
      <c r="P16" s="121">
        <f t="shared" si="1"/>
        <v>2.4</v>
      </c>
      <c r="Q16" s="121">
        <f t="shared" si="1"/>
        <v>3.0999999999999996</v>
      </c>
      <c r="R16" s="122">
        <f t="shared" si="1"/>
        <v>3.8</v>
      </c>
      <c r="U16" s="22">
        <f t="shared" si="2"/>
        <v>-5</v>
      </c>
      <c r="V16" s="118">
        <f t="shared" si="4"/>
        <v>0.27500000000000002</v>
      </c>
      <c r="W16" s="119">
        <f t="shared" si="5"/>
        <v>0.15877132402714711</v>
      </c>
      <c r="Z16" s="93"/>
      <c r="AG16" s="24"/>
      <c r="AH16" s="69">
        <v>65.040879120879126</v>
      </c>
      <c r="AI16" s="69">
        <v>0.17604395604395576</v>
      </c>
      <c r="AJ16" s="25"/>
      <c r="AK16" s="24"/>
      <c r="AL16" s="69">
        <v>92.001978021978033</v>
      </c>
      <c r="AM16" s="69">
        <v>0.12725274725274741</v>
      </c>
      <c r="AN16" s="25"/>
      <c r="AP16" s="191"/>
      <c r="AQ16" s="191"/>
      <c r="AR16" s="191"/>
      <c r="AS16" s="191"/>
      <c r="AT16" s="191"/>
      <c r="AU16" s="191"/>
      <c r="BD16" s="191"/>
      <c r="BE16" s="191"/>
      <c r="BF16" s="191"/>
      <c r="BG16" s="191"/>
      <c r="BH16" s="191"/>
    </row>
    <row r="17" spans="1:60" ht="15" thickBot="1">
      <c r="A17" s="24">
        <v>13</v>
      </c>
      <c r="B17" s="101">
        <v>-6</v>
      </c>
      <c r="C17" s="69">
        <v>-4.5999999999999996</v>
      </c>
      <c r="D17" s="69">
        <v>-3.1</v>
      </c>
      <c r="E17" s="69">
        <v>-1.7</v>
      </c>
      <c r="F17" s="69">
        <v>-0.9</v>
      </c>
      <c r="G17" s="25">
        <v>0</v>
      </c>
      <c r="J17" s="22" t="s">
        <v>203</v>
      </c>
      <c r="K17" s="3">
        <v>0.1</v>
      </c>
      <c r="L17" s="23" t="s">
        <v>310</v>
      </c>
      <c r="N17" s="105">
        <v>-6</v>
      </c>
      <c r="O17" s="123">
        <f t="shared" si="3"/>
        <v>1.4999999999999996</v>
      </c>
      <c r="P17" s="123">
        <f t="shared" si="1"/>
        <v>2.8999999999999995</v>
      </c>
      <c r="Q17" s="123">
        <f t="shared" si="1"/>
        <v>3.6999999999999997</v>
      </c>
      <c r="R17" s="124">
        <f>G17-$C17</f>
        <v>4.5999999999999996</v>
      </c>
      <c r="U17" s="112">
        <f t="shared" si="2"/>
        <v>-6</v>
      </c>
      <c r="V17" s="106">
        <f t="shared" si="4"/>
        <v>0.27</v>
      </c>
      <c r="W17" s="113">
        <f t="shared" si="5"/>
        <v>0.15588457268119899</v>
      </c>
      <c r="Z17" s="93"/>
      <c r="AP17" s="93"/>
      <c r="BD17" s="191"/>
      <c r="BE17" s="191"/>
      <c r="BF17" s="191"/>
      <c r="BG17" s="191"/>
      <c r="BH17" s="191"/>
    </row>
    <row r="18" spans="1:60">
      <c r="J18" s="22" t="s">
        <v>204</v>
      </c>
      <c r="K18" s="3">
        <v>0.7</v>
      </c>
      <c r="L18" s="23" t="s">
        <v>37</v>
      </c>
      <c r="BD18" s="191"/>
      <c r="BE18" s="191"/>
      <c r="BF18" s="191"/>
      <c r="BG18" s="191"/>
      <c r="BH18" s="191"/>
    </row>
    <row r="19" spans="1:60" ht="15" thickBot="1">
      <c r="J19" s="24" t="s">
        <v>39</v>
      </c>
      <c r="K19" s="69">
        <v>2</v>
      </c>
      <c r="L19" s="25"/>
    </row>
    <row r="20" spans="1:60">
      <c r="AJ20" s="108"/>
      <c r="AQ20" s="109"/>
    </row>
  </sheetData>
  <mergeCells count="27">
    <mergeCell ref="AP14:AU16"/>
    <mergeCell ref="BD15:BH18"/>
    <mergeCell ref="AL11:AM11"/>
    <mergeCell ref="AH4:AI4"/>
    <mergeCell ref="AL4:AM4"/>
    <mergeCell ref="AH11:AI11"/>
    <mergeCell ref="J15:L15"/>
    <mergeCell ref="A1:L1"/>
    <mergeCell ref="A3:A4"/>
    <mergeCell ref="B3:B4"/>
    <mergeCell ref="C3:G3"/>
    <mergeCell ref="J3:L3"/>
    <mergeCell ref="J9:L9"/>
    <mergeCell ref="BQ1:BU1"/>
    <mergeCell ref="CF1:CK1"/>
    <mergeCell ref="O3:R3"/>
    <mergeCell ref="BD1:BH1"/>
    <mergeCell ref="N1:S1"/>
    <mergeCell ref="AX3:BA8"/>
    <mergeCell ref="BJ1:BN1"/>
    <mergeCell ref="BX1:CB1"/>
    <mergeCell ref="N3:N4"/>
    <mergeCell ref="AX1:BA1"/>
    <mergeCell ref="AP1:AU1"/>
    <mergeCell ref="U1:AD1"/>
    <mergeCell ref="AG1:AN1"/>
    <mergeCell ref="Y4:AB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7144-D0ED-4591-891C-F5828DF55549}">
  <dimension ref="A1:AQ27"/>
  <sheetViews>
    <sheetView tabSelected="1" topLeftCell="H1" workbookViewId="0">
      <selection activeCell="AA5" sqref="AA5:AC9"/>
    </sheetView>
  </sheetViews>
  <sheetFormatPr defaultRowHeight="14.45"/>
  <cols>
    <col min="11" max="11" width="12" bestFit="1" customWidth="1"/>
    <col min="27" max="27" width="14.28515625" customWidth="1"/>
    <col min="28" max="29" width="10.42578125" bestFit="1" customWidth="1"/>
  </cols>
  <sheetData>
    <row r="1" spans="1:43">
      <c r="A1" s="207" t="s">
        <v>69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9"/>
      <c r="N1" s="222" t="s">
        <v>311</v>
      </c>
      <c r="O1" s="223"/>
      <c r="P1" s="223"/>
      <c r="Q1" s="223"/>
      <c r="R1" s="224"/>
      <c r="T1" s="222" t="s">
        <v>159</v>
      </c>
      <c r="U1" s="223"/>
      <c r="V1" s="223"/>
      <c r="W1" s="223"/>
      <c r="X1" s="224"/>
      <c r="Z1" s="222" t="s">
        <v>160</v>
      </c>
      <c r="AA1" s="223"/>
      <c r="AB1" s="223"/>
      <c r="AC1" s="223"/>
      <c r="AD1" s="223"/>
      <c r="AE1" s="224"/>
      <c r="AH1" s="222" t="s">
        <v>161</v>
      </c>
      <c r="AI1" s="223"/>
      <c r="AJ1" s="223"/>
      <c r="AK1" s="223"/>
      <c r="AL1" s="223"/>
      <c r="AM1" s="224"/>
      <c r="AP1" s="222" t="s">
        <v>163</v>
      </c>
      <c r="AQ1" s="224"/>
    </row>
    <row r="2" spans="1:43" ht="15" thickBot="1"/>
    <row r="3" spans="1:43" ht="15" thickBot="1">
      <c r="A3" s="28" t="s">
        <v>76</v>
      </c>
      <c r="B3" s="29" t="s">
        <v>79</v>
      </c>
      <c r="C3" s="29" t="s">
        <v>312</v>
      </c>
      <c r="D3" s="29" t="s">
        <v>313</v>
      </c>
      <c r="E3" s="29" t="s">
        <v>314</v>
      </c>
      <c r="F3" s="29" t="s">
        <v>315</v>
      </c>
      <c r="G3" s="29" t="s">
        <v>316</v>
      </c>
      <c r="H3" s="30" t="s">
        <v>317</v>
      </c>
      <c r="J3" s="28" t="s">
        <v>318</v>
      </c>
      <c r="K3" s="29">
        <v>1E-3</v>
      </c>
      <c r="L3" s="30" t="s">
        <v>102</v>
      </c>
      <c r="N3" s="126" t="s">
        <v>76</v>
      </c>
      <c r="O3" s="127" t="s">
        <v>77</v>
      </c>
      <c r="P3" s="127" t="s">
        <v>319</v>
      </c>
      <c r="Q3" s="127" t="s">
        <v>320</v>
      </c>
      <c r="R3" s="128" t="s">
        <v>321</v>
      </c>
      <c r="T3" s="217" t="s">
        <v>322</v>
      </c>
      <c r="U3" s="215" t="s">
        <v>323</v>
      </c>
      <c r="V3" s="215"/>
      <c r="W3" s="216"/>
      <c r="Z3" s="204" t="s">
        <v>322</v>
      </c>
      <c r="AA3" s="152" t="s">
        <v>324</v>
      </c>
      <c r="AB3" s="152"/>
      <c r="AC3" s="153"/>
      <c r="AH3" t="s">
        <v>325</v>
      </c>
      <c r="AI3">
        <f>SUM(AL6:AN10)/SUM(AH6:AJ10)</f>
        <v>2.865406821139828E-7</v>
      </c>
    </row>
    <row r="4" spans="1:43" ht="15" thickBot="1">
      <c r="A4" s="22">
        <v>1</v>
      </c>
      <c r="B4" s="3">
        <v>0.2</v>
      </c>
      <c r="C4" s="3">
        <v>1.2999999999999999E-2</v>
      </c>
      <c r="D4" s="3">
        <v>1.2999999999999999E-2</v>
      </c>
      <c r="E4" s="3">
        <v>2.5999999999999999E-2</v>
      </c>
      <c r="F4" s="3">
        <v>2.5999999999999999E-2</v>
      </c>
      <c r="G4" s="3">
        <v>4.2000000000000003E-2</v>
      </c>
      <c r="H4" s="23">
        <v>4.2000000000000003E-2</v>
      </c>
      <c r="J4" s="24" t="s">
        <v>326</v>
      </c>
      <c r="K4" s="69">
        <f>K3/SQRT(3)</f>
        <v>5.773502691896258E-4</v>
      </c>
      <c r="L4" s="25" t="s">
        <v>102</v>
      </c>
      <c r="N4" s="129">
        <v>1</v>
      </c>
      <c r="O4" s="3">
        <v>0.2</v>
      </c>
      <c r="P4" s="84">
        <f>AVERAGE(C4,D4)</f>
        <v>1.2999999999999999E-2</v>
      </c>
      <c r="Q4" s="84">
        <f>AVERAGE(E4,F4)</f>
        <v>2.5999999999999999E-2</v>
      </c>
      <c r="R4" s="130">
        <f>AVERAGE(G4,H4)</f>
        <v>4.2000000000000003E-2</v>
      </c>
      <c r="T4" s="218"/>
      <c r="U4" s="84">
        <v>1</v>
      </c>
      <c r="V4" s="84">
        <v>2</v>
      </c>
      <c r="W4" s="84">
        <v>3</v>
      </c>
      <c r="X4" s="133" t="s">
        <v>15</v>
      </c>
      <c r="Z4" s="199"/>
      <c r="AA4" s="3">
        <v>1</v>
      </c>
      <c r="AB4" s="3">
        <v>2</v>
      </c>
      <c r="AC4" s="3">
        <v>3</v>
      </c>
      <c r="AD4" s="133" t="s">
        <v>15</v>
      </c>
    </row>
    <row r="5" spans="1:43">
      <c r="A5" s="22">
        <v>2</v>
      </c>
      <c r="B5" s="3">
        <v>0.25</v>
      </c>
      <c r="C5" s="3">
        <v>1.9E-2</v>
      </c>
      <c r="D5" s="3">
        <v>1.9E-2</v>
      </c>
      <c r="E5" s="3">
        <v>3.9E-2</v>
      </c>
      <c r="F5" s="3">
        <v>3.7999999999999999E-2</v>
      </c>
      <c r="G5" s="3">
        <v>6.2E-2</v>
      </c>
      <c r="H5" s="23">
        <v>5.8000000000000003E-2</v>
      </c>
      <c r="N5" s="129">
        <v>2</v>
      </c>
      <c r="O5" s="3">
        <v>0.25</v>
      </c>
      <c r="P5" s="84">
        <f t="shared" ref="P5:P8" si="0">AVERAGE(C5,D5)</f>
        <v>1.9E-2</v>
      </c>
      <c r="Q5" s="84">
        <f t="shared" ref="Q5:Q7" si="1">AVERAGE(E5,F5)</f>
        <v>3.85E-2</v>
      </c>
      <c r="R5" s="130">
        <f t="shared" ref="R5:R8" si="2">AVERAGE(G5,H5)</f>
        <v>0.06</v>
      </c>
      <c r="T5" s="3">
        <v>0.2</v>
      </c>
      <c r="U5" s="134">
        <f>($K$7/U$4)*(P4/(SQRT(POWER(P4,2)+POWER($T5,2))))</f>
        <v>2.1621040360893369E-7</v>
      </c>
      <c r="V5" s="134">
        <f t="shared" ref="U5:W9" si="3">($K$7/V$4)*(Q4/(SQRT(POWER(Q4,2)+POWER($T5,2))))</f>
        <v>2.1485871709103482E-7</v>
      </c>
      <c r="W5" s="135">
        <f t="shared" si="3"/>
        <v>2.2835248254045981E-7</v>
      </c>
      <c r="Z5" s="3">
        <v>0.2</v>
      </c>
      <c r="AA5" s="138">
        <f t="shared" ref="AA5:AC9" si="4">SQRT(POWER(AA15*$AA$11,2)+POWER(AA23*$K$4,2))</f>
        <v>6.7897497269392794E-9</v>
      </c>
      <c r="AB5" s="138">
        <f t="shared" si="4"/>
        <v>3.3732149906527872E-9</v>
      </c>
      <c r="AC5" s="139">
        <f t="shared" si="4"/>
        <v>2.217650418880937E-9</v>
      </c>
      <c r="AI5" t="s">
        <v>275</v>
      </c>
      <c r="AM5" t="s">
        <v>327</v>
      </c>
      <c r="AP5" t="s">
        <v>328</v>
      </c>
      <c r="AQ5">
        <f>SQRT(1/SUM(AH6:AJ10))</f>
        <v>5.1262716113796951E-10</v>
      </c>
    </row>
    <row r="6" spans="1:43" ht="15" thickBot="1">
      <c r="A6" s="22">
        <v>3</v>
      </c>
      <c r="B6" s="3">
        <v>0.3</v>
      </c>
      <c r="C6" s="3">
        <v>2.5000000000000001E-2</v>
      </c>
      <c r="D6" s="3">
        <v>2.5000000000000001E-2</v>
      </c>
      <c r="E6" s="3">
        <v>5.0999999999999997E-2</v>
      </c>
      <c r="F6" s="3">
        <v>0.05</v>
      </c>
      <c r="G6" s="3">
        <v>8.1000000000000003E-2</v>
      </c>
      <c r="H6" s="23">
        <v>7.6999999999999999E-2</v>
      </c>
      <c r="N6" s="129">
        <v>3</v>
      </c>
      <c r="O6" s="3">
        <v>0.3</v>
      </c>
      <c r="P6" s="84">
        <f t="shared" si="0"/>
        <v>2.5000000000000001E-2</v>
      </c>
      <c r="Q6" s="84">
        <f t="shared" si="1"/>
        <v>5.0500000000000003E-2</v>
      </c>
      <c r="R6" s="130">
        <f t="shared" si="2"/>
        <v>7.9000000000000001E-2</v>
      </c>
      <c r="T6" s="3">
        <v>0.25</v>
      </c>
      <c r="U6" s="134">
        <f t="shared" si="3"/>
        <v>2.5260486089467778E-7</v>
      </c>
      <c r="V6" s="134">
        <f t="shared" si="3"/>
        <v>2.536762008531748E-7</v>
      </c>
      <c r="W6" s="135">
        <f t="shared" si="3"/>
        <v>2.5930328052813795E-7</v>
      </c>
      <c r="Z6" s="3">
        <v>0.25</v>
      </c>
      <c r="AA6" s="138">
        <f t="shared" si="4"/>
        <v>5.4275685297330862E-9</v>
      </c>
      <c r="AB6" s="138">
        <f t="shared" si="4"/>
        <v>2.689222882979038E-9</v>
      </c>
      <c r="AC6" s="139">
        <f t="shared" si="4"/>
        <v>1.7617167107759769E-9</v>
      </c>
      <c r="AH6">
        <f t="shared" ref="AH6:AJ10" si="5">1/POWER(AA5,2)</f>
        <v>2.1691643958102052E+16</v>
      </c>
      <c r="AI6">
        <f t="shared" si="5"/>
        <v>8.788443330266752E+16</v>
      </c>
      <c r="AJ6">
        <f t="shared" si="5"/>
        <v>2.0333578949266918E+17</v>
      </c>
      <c r="AL6">
        <f>AH6*U5</f>
        <v>4689959095.1225328</v>
      </c>
      <c r="AM6">
        <f t="shared" ref="AM6:AN6" si="6">AI6*V5</f>
        <v>18882736591.683762</v>
      </c>
      <c r="AN6">
        <f t="shared" si="6"/>
        <v>46432232319.975349</v>
      </c>
    </row>
    <row r="7" spans="1:43" ht="15" thickBot="1">
      <c r="A7" s="22">
        <v>4</v>
      </c>
      <c r="B7" s="3">
        <v>0.35</v>
      </c>
      <c r="C7" s="3">
        <v>3.1E-2</v>
      </c>
      <c r="D7" s="3">
        <v>0.03</v>
      </c>
      <c r="E7" s="3">
        <v>6.3E-2</v>
      </c>
      <c r="F7" s="3">
        <v>6.0999999999999999E-2</v>
      </c>
      <c r="G7" s="3">
        <v>9.9000000000000005E-2</v>
      </c>
      <c r="H7" s="23">
        <v>9.5000000000000001E-2</v>
      </c>
      <c r="J7" s="15" t="s">
        <v>220</v>
      </c>
      <c r="K7" s="11">
        <f>1/300000</f>
        <v>3.3333333333333333E-6</v>
      </c>
      <c r="L7" s="16"/>
      <c r="N7" s="129">
        <v>4</v>
      </c>
      <c r="O7" s="3">
        <v>0.35</v>
      </c>
      <c r="P7" s="84">
        <f>AVERAGE(C7,D7)</f>
        <v>3.0499999999999999E-2</v>
      </c>
      <c r="Q7" s="84">
        <f t="shared" si="1"/>
        <v>6.2E-2</v>
      </c>
      <c r="R7" s="130">
        <f t="shared" si="2"/>
        <v>9.7000000000000003E-2</v>
      </c>
      <c r="T7" s="3">
        <v>0.3</v>
      </c>
      <c r="U7" s="134">
        <f t="shared" si="3"/>
        <v>2.7681826617913325E-7</v>
      </c>
      <c r="V7" s="134">
        <f t="shared" si="3"/>
        <v>2.766631578048838E-7</v>
      </c>
      <c r="W7" s="135">
        <f t="shared" si="3"/>
        <v>2.8294662524044424E-7</v>
      </c>
      <c r="Z7" s="3">
        <v>0.3</v>
      </c>
      <c r="AA7" s="138">
        <f t="shared" si="4"/>
        <v>4.5203158550437858E-9</v>
      </c>
      <c r="AB7" s="138">
        <f t="shared" si="4"/>
        <v>2.2357301572633048E-9</v>
      </c>
      <c r="AC7" s="139">
        <f t="shared" si="4"/>
        <v>1.4591056053756615E-9</v>
      </c>
      <c r="AH7">
        <f t="shared" si="5"/>
        <v>3.3946059544089256E+16</v>
      </c>
      <c r="AI7">
        <f t="shared" si="5"/>
        <v>1.3827587134538957E+17</v>
      </c>
      <c r="AJ7">
        <f t="shared" si="5"/>
        <v>3.2220171837245357E+17</v>
      </c>
      <c r="AL7">
        <f t="shared" ref="AL7:AL10" si="7">AH7*U6</f>
        <v>8574939649.0571156</v>
      </c>
      <c r="AM7">
        <f t="shared" ref="AM7:AM10" si="8">AI7*V6</f>
        <v>35077297712.560799</v>
      </c>
      <c r="AN7">
        <f t="shared" ref="AN7:AN10" si="9">AJ7*W6</f>
        <v>83547962565.780426</v>
      </c>
    </row>
    <row r="8" spans="1:43" ht="15" thickBot="1">
      <c r="A8" s="24">
        <v>5</v>
      </c>
      <c r="B8" s="69">
        <v>0.4</v>
      </c>
      <c r="C8" s="69">
        <v>3.5999999999999997E-2</v>
      </c>
      <c r="D8" s="69">
        <v>3.5999999999999997E-2</v>
      </c>
      <c r="E8" s="69">
        <v>7.4999999999999997E-2</v>
      </c>
      <c r="F8" s="69">
        <v>7.3999999999999996E-2</v>
      </c>
      <c r="G8" s="69">
        <v>0.12</v>
      </c>
      <c r="H8" s="25">
        <v>0.115</v>
      </c>
      <c r="N8" s="131">
        <v>5</v>
      </c>
      <c r="O8" s="69">
        <v>0.4</v>
      </c>
      <c r="P8" s="106">
        <f t="shared" si="0"/>
        <v>3.5999999999999997E-2</v>
      </c>
      <c r="Q8" s="106">
        <f>AVERAGE(E8,F8)</f>
        <v>7.4499999999999997E-2</v>
      </c>
      <c r="R8" s="132">
        <f t="shared" si="2"/>
        <v>0.11749999999999999</v>
      </c>
      <c r="T8" s="3">
        <v>0.35</v>
      </c>
      <c r="U8" s="134">
        <f t="shared" si="3"/>
        <v>2.893795122575924E-7</v>
      </c>
      <c r="V8" s="134">
        <f t="shared" si="3"/>
        <v>2.9071211312642896E-7</v>
      </c>
      <c r="W8" s="135">
        <f t="shared" si="3"/>
        <v>2.9675087681138351E-7</v>
      </c>
      <c r="Z8" s="3">
        <v>0.35</v>
      </c>
      <c r="AA8" s="138">
        <f t="shared" si="4"/>
        <v>3.873289702546219E-9</v>
      </c>
      <c r="AB8" s="138">
        <f t="shared" si="4"/>
        <v>1.9133512870557378E-9</v>
      </c>
      <c r="AC8" s="139">
        <f t="shared" si="4"/>
        <v>1.2457675353570544E-9</v>
      </c>
      <c r="AH8">
        <f t="shared" si="5"/>
        <v>4.89398276969178E+16</v>
      </c>
      <c r="AI8">
        <f t="shared" si="5"/>
        <v>2.0006044481849702E+17</v>
      </c>
      <c r="AJ8">
        <f t="shared" si="5"/>
        <v>4.6970647629416051E+17</v>
      </c>
      <c r="AL8">
        <f t="shared" si="7"/>
        <v>13547438250.166309</v>
      </c>
      <c r="AM8">
        <f t="shared" si="8"/>
        <v>55349354415.335091</v>
      </c>
      <c r="AN8">
        <f t="shared" si="9"/>
        <v>132901862321.01344</v>
      </c>
    </row>
    <row r="9" spans="1:43" ht="15" thickBot="1">
      <c r="T9" s="69">
        <v>0.4</v>
      </c>
      <c r="U9" s="136">
        <f t="shared" si="3"/>
        <v>2.9879233165296857E-7</v>
      </c>
      <c r="V9" s="136">
        <f t="shared" si="3"/>
        <v>3.0516878030139851E-7</v>
      </c>
      <c r="W9" s="137">
        <f t="shared" si="3"/>
        <v>3.1315738830777147E-7</v>
      </c>
      <c r="Z9" s="69">
        <v>0.4</v>
      </c>
      <c r="AA9" s="140">
        <f t="shared" si="4"/>
        <v>3.3882644717351882E-9</v>
      </c>
      <c r="AB9" s="140">
        <f t="shared" si="4"/>
        <v>1.6713368692230361E-9</v>
      </c>
      <c r="AC9" s="141">
        <f t="shared" si="4"/>
        <v>1.0846126311941841E-9</v>
      </c>
      <c r="AH9">
        <f t="shared" si="5"/>
        <v>6.6656121135718024E+16</v>
      </c>
      <c r="AI9">
        <f t="shared" si="5"/>
        <v>2.7315589298651059E+17</v>
      </c>
      <c r="AJ9">
        <f t="shared" si="5"/>
        <v>6.4435615601917965E+17</v>
      </c>
      <c r="AL9">
        <f t="shared" si="7"/>
        <v>19288915823.237076</v>
      </c>
      <c r="AM9">
        <f t="shared" si="8"/>
        <v>79409726863.045197</v>
      </c>
      <c r="AN9">
        <f t="shared" si="9"/>
        <v>191213254277.50418</v>
      </c>
    </row>
    <row r="10" spans="1:43" ht="15" thickBot="1">
      <c r="AH10">
        <f t="shared" si="5"/>
        <v>8.7105463519486704E+16</v>
      </c>
      <c r="AI10">
        <f t="shared" si="5"/>
        <v>3.5799092095935949E+17</v>
      </c>
      <c r="AJ10">
        <f t="shared" si="5"/>
        <v>8.5006216012894656E+17</v>
      </c>
      <c r="AL10">
        <f t="shared" si="7"/>
        <v>26026444544.700027</v>
      </c>
      <c r="AM10">
        <f t="shared" si="8"/>
        <v>109247652708.14209</v>
      </c>
      <c r="AN10">
        <f t="shared" si="9"/>
        <v>266203245965.24353</v>
      </c>
    </row>
    <row r="11" spans="1:43" ht="15" thickBot="1">
      <c r="Q11">
        <f>(K7/U4)*(P4/SQRT(P4^2 + O4^2))</f>
        <v>2.1621040360893369E-7</v>
      </c>
      <c r="S11">
        <f>Q12/Q11</f>
        <v>1.3819516853287195</v>
      </c>
      <c r="Z11" s="15" t="s">
        <v>328</v>
      </c>
      <c r="AA11" s="16">
        <f>SQRT(POWER((1/2)*$K$4,2)+POWER((1/2)*$K$4,2))</f>
        <v>4.0824829046386303E-4</v>
      </c>
    </row>
    <row r="12" spans="1:43" ht="15" thickBot="1">
      <c r="Q12">
        <f>(K7/U4)*(P8/SQRT(P8^2 + O8^2))</f>
        <v>2.9879233165296857E-7</v>
      </c>
    </row>
    <row r="13" spans="1:43" ht="15" thickBot="1">
      <c r="Z13" s="204" t="s">
        <v>322</v>
      </c>
      <c r="AA13" s="225" t="s">
        <v>329</v>
      </c>
      <c r="AB13" s="226"/>
      <c r="AC13" s="227"/>
    </row>
    <row r="14" spans="1:43" ht="15" thickBot="1">
      <c r="Z14" s="199"/>
      <c r="AA14" s="3">
        <v>1</v>
      </c>
      <c r="AB14" s="3">
        <v>2</v>
      </c>
      <c r="AC14" s="3">
        <v>3</v>
      </c>
      <c r="AD14" s="133" t="s">
        <v>15</v>
      </c>
    </row>
    <row r="15" spans="1:43">
      <c r="Z15" s="3">
        <v>0.2</v>
      </c>
      <c r="AA15" s="129">
        <f>($K$7/U$4)*(POWER($T5,2)/(POWER(POWER(P4,2)+POWER($T5,2),3/2)))</f>
        <v>1.6561596762059825E-5</v>
      </c>
      <c r="AB15" s="84">
        <f>($K$7/V$4)*(POWER($T5,2)/(POWER(POWER(Q4,2)+POWER($T5,2),3/2)))</f>
        <v>8.1264596432231731E-6</v>
      </c>
      <c r="AC15" s="130">
        <f>($K$7/W$4)*(POWER($T5,2)/(POWER(POWER(R4,2)+POWER($T5,2),3/2)))</f>
        <v>5.2073210133233836E-6</v>
      </c>
    </row>
    <row r="16" spans="1:43">
      <c r="Z16" s="3">
        <v>0.25</v>
      </c>
      <c r="AA16" s="129">
        <f t="shared" ref="AA16:AC19" si="10">($K$7/U$4)*(POWER($T6,2)/POWER(POWER(P5,2)+POWER($T6,2),3/2))</f>
        <v>1.3218641803609605E-5</v>
      </c>
      <c r="AB16" s="84">
        <f t="shared" si="10"/>
        <v>6.4363478053997303E-6</v>
      </c>
      <c r="AC16" s="130">
        <f t="shared" si="10"/>
        <v>4.0863477138196212E-6</v>
      </c>
    </row>
    <row r="17" spans="26:30">
      <c r="Z17" s="3">
        <v>0.3</v>
      </c>
      <c r="AA17" s="129">
        <f t="shared" si="10"/>
        <v>1.0996366987529707E-5</v>
      </c>
      <c r="AB17" s="84">
        <f t="shared" si="10"/>
        <v>5.3275172515866155E-6</v>
      </c>
      <c r="AC17" s="130">
        <f t="shared" si="10"/>
        <v>3.3493444228866875E-6</v>
      </c>
    </row>
    <row r="18" spans="26:30">
      <c r="Z18" s="3">
        <v>0.35</v>
      </c>
      <c r="AA18" s="129">
        <f t="shared" si="10"/>
        <v>9.4163462802742601E-6</v>
      </c>
      <c r="AB18" s="84">
        <f t="shared" si="10"/>
        <v>4.5462457154848549E-6</v>
      </c>
      <c r="AC18" s="130">
        <f t="shared" si="10"/>
        <v>2.8410700198734688E-6</v>
      </c>
    </row>
    <row r="19" spans="26:30" ht="15" thickBot="1">
      <c r="Z19" s="69">
        <v>0.4</v>
      </c>
      <c r="AA19" s="131">
        <f t="shared" si="10"/>
        <v>8.2330988893564532E-6</v>
      </c>
      <c r="AB19" s="106">
        <f t="shared" si="10"/>
        <v>3.9588948867862861E-6</v>
      </c>
      <c r="AC19" s="132">
        <f t="shared" si="10"/>
        <v>2.4534623004121433E-6</v>
      </c>
    </row>
    <row r="20" spans="26:30" ht="15" thickBot="1"/>
    <row r="21" spans="26:30" ht="15" thickBot="1">
      <c r="Z21" s="204" t="s">
        <v>322</v>
      </c>
      <c r="AA21" s="217" t="s">
        <v>330</v>
      </c>
      <c r="AB21" s="215"/>
      <c r="AC21" s="216"/>
    </row>
    <row r="22" spans="26:30" ht="15" thickBot="1">
      <c r="Z22" s="199"/>
      <c r="AA22" s="3">
        <v>1</v>
      </c>
      <c r="AB22" s="3">
        <v>2</v>
      </c>
      <c r="AC22" s="3">
        <v>3</v>
      </c>
      <c r="AD22" s="133" t="s">
        <v>15</v>
      </c>
    </row>
    <row r="23" spans="26:30">
      <c r="Z23" s="3">
        <v>0.2</v>
      </c>
      <c r="AA23" s="129">
        <f t="shared" ref="AA23:AC27" si="11">(($K$7*P4)/U$4)*(-$T5)*POWER(POWER(P4,2)+POWER($T5,2),-3/2)</f>
        <v>-1.0765037895338883E-6</v>
      </c>
      <c r="AB23" s="84">
        <f t="shared" si="11"/>
        <v>-1.0564397536190122E-6</v>
      </c>
      <c r="AC23" s="130">
        <f t="shared" si="11"/>
        <v>-1.0935374127979107E-6</v>
      </c>
    </row>
    <row r="24" spans="26:30">
      <c r="Z24" s="3">
        <v>0.25</v>
      </c>
      <c r="AA24" s="129">
        <f t="shared" si="11"/>
        <v>-1.00461677707433E-6</v>
      </c>
      <c r="AB24" s="84">
        <f t="shared" si="11"/>
        <v>-9.9119756203155852E-7</v>
      </c>
      <c r="AC24" s="130">
        <f t="shared" si="11"/>
        <v>-9.8072345131670925E-7</v>
      </c>
    </row>
    <row r="25" spans="26:30">
      <c r="Z25" s="3">
        <v>0.3</v>
      </c>
      <c r="AA25" s="129">
        <f t="shared" si="11"/>
        <v>-9.1636391562747576E-7</v>
      </c>
      <c r="AB25" s="84">
        <f t="shared" si="11"/>
        <v>-8.9679873735041362E-7</v>
      </c>
      <c r="AC25" s="130">
        <f t="shared" si="11"/>
        <v>-8.8199403136016109E-7</v>
      </c>
    </row>
    <row r="26" spans="26:30">
      <c r="Z26" s="3">
        <v>0.35</v>
      </c>
      <c r="AA26" s="129">
        <f t="shared" si="11"/>
        <v>-8.2056731870961419E-7</v>
      </c>
      <c r="AB26" s="84">
        <f t="shared" si="11"/>
        <v>-8.0533495531446013E-7</v>
      </c>
      <c r="AC26" s="130">
        <f t="shared" si="11"/>
        <v>-7.8738226265064719E-7</v>
      </c>
    </row>
    <row r="27" spans="26:30" ht="15" thickBot="1">
      <c r="Z27" s="69">
        <v>0.4</v>
      </c>
      <c r="AA27" s="131">
        <f t="shared" si="11"/>
        <v>-7.4097890004208059E-7</v>
      </c>
      <c r="AB27" s="106">
        <f t="shared" si="11"/>
        <v>-7.3734417266394577E-7</v>
      </c>
      <c r="AC27" s="132">
        <f t="shared" si="11"/>
        <v>-7.2070455074606697E-7</v>
      </c>
    </row>
  </sheetData>
  <mergeCells count="14">
    <mergeCell ref="AH1:AM1"/>
    <mergeCell ref="AP1:AQ1"/>
    <mergeCell ref="Z1:AE1"/>
    <mergeCell ref="AA13:AC13"/>
    <mergeCell ref="AA21:AC21"/>
    <mergeCell ref="AA3:AC3"/>
    <mergeCell ref="Z3:Z4"/>
    <mergeCell ref="Z13:Z14"/>
    <mergeCell ref="Z21:Z22"/>
    <mergeCell ref="A1:L1"/>
    <mergeCell ref="N1:R1"/>
    <mergeCell ref="U3:W3"/>
    <mergeCell ref="T3:T4"/>
    <mergeCell ref="T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2023-04-05T07:40:26Z</dcterms:created>
  <dcterms:modified xsi:type="dcterms:W3CDTF">2023-11-19T07:01:30Z</dcterms:modified>
  <cp:category/>
  <cp:contentStatus/>
</cp:coreProperties>
</file>