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Data Analysis\excel works\Statistics work\"/>
    </mc:Choice>
  </mc:AlternateContent>
  <xr:revisionPtr revIDLastSave="0" documentId="8_{69E3C9D0-5855-4E4E-BFAF-87B042978451}" xr6:coauthVersionLast="47" xr6:coauthVersionMax="47" xr10:uidLastSave="{00000000-0000-0000-0000-000000000000}"/>
  <bookViews>
    <workbookView xWindow="-108" yWindow="-108" windowWidth="23256" windowHeight="12456" activeTab="2" xr2:uid="{D6A94188-D5C7-7448-AC97-B252F6F1BF7B}"/>
  </bookViews>
  <sheets>
    <sheet name="Std Tables" sheetId="1" r:id="rId1"/>
    <sheet name="Pivot Table 1" sheetId="10" r:id="rId2"/>
    <sheet name="Pivot Table 2" sheetId="12" r:id="rId3"/>
  </sheets>
  <definedNames>
    <definedName name="_xlnm._FilterDatabase" localSheetId="0" hidden="1">'Std Tables'!$A$1:$U$81</definedName>
    <definedName name="_xlchart.v1.0" hidden="1">'Std Tables'!$C$1</definedName>
    <definedName name="_xlchart.v1.1" hidden="1">'Std Tables'!$C$2:$C$81</definedName>
    <definedName name="_xlchart.v1.2" hidden="1">'Std Tables'!$B$1</definedName>
    <definedName name="_xlchart.v1.3" hidden="1">'Std Tables'!$B$2:$B$81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S5" i="1"/>
  <c r="Q5" i="1"/>
  <c r="J63" i="1"/>
  <c r="K41" i="1"/>
  <c r="K6" i="1"/>
  <c r="H6" i="1"/>
  <c r="H5" i="1"/>
  <c r="A81" i="1"/>
  <c r="A80" i="1"/>
  <c r="A79" i="1"/>
  <c r="A78" i="1"/>
  <c r="A77" i="1"/>
  <c r="A76" i="1"/>
  <c r="A75" i="1"/>
  <c r="A74" i="1"/>
  <c r="A73" i="1"/>
  <c r="A72" i="1"/>
  <c r="A71" i="1"/>
  <c r="A70" i="1"/>
  <c r="S69" i="1"/>
  <c r="S70" i="1" s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S51" i="1"/>
  <c r="A51" i="1"/>
  <c r="A50" i="1"/>
  <c r="A49" i="1"/>
  <c r="K48" i="1"/>
  <c r="A48" i="1"/>
  <c r="K47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I5" i="1" s="1"/>
  <c r="A21" i="1"/>
  <c r="A20" i="1"/>
  <c r="A19" i="1"/>
  <c r="H18" i="1"/>
  <c r="A18" i="1"/>
  <c r="A17" i="1"/>
  <c r="H16" i="1"/>
  <c r="A16" i="1"/>
  <c r="A15" i="1"/>
  <c r="A14" i="1"/>
  <c r="A13" i="1"/>
  <c r="U12" i="1"/>
  <c r="T12" i="1"/>
  <c r="O12" i="1"/>
  <c r="K12" i="1"/>
  <c r="P12" i="1" s="1"/>
  <c r="J12" i="1"/>
  <c r="H12" i="1"/>
  <c r="A12" i="1"/>
  <c r="U11" i="1"/>
  <c r="T11" i="1"/>
  <c r="O11" i="1"/>
  <c r="K11" i="1"/>
  <c r="J11" i="1"/>
  <c r="H11" i="1"/>
  <c r="A11" i="1"/>
  <c r="U10" i="1"/>
  <c r="T10" i="1"/>
  <c r="O10" i="1"/>
  <c r="K10" i="1"/>
  <c r="J10" i="1"/>
  <c r="H10" i="1"/>
  <c r="A10" i="1"/>
  <c r="U9" i="1"/>
  <c r="T9" i="1"/>
  <c r="O9" i="1"/>
  <c r="K9" i="1"/>
  <c r="J9" i="1"/>
  <c r="H9" i="1"/>
  <c r="A9" i="1"/>
  <c r="U8" i="1"/>
  <c r="T8" i="1"/>
  <c r="O8" i="1"/>
  <c r="K8" i="1"/>
  <c r="J8" i="1"/>
  <c r="H8" i="1"/>
  <c r="A8" i="1"/>
  <c r="U7" i="1"/>
  <c r="T7" i="1"/>
  <c r="O7" i="1"/>
  <c r="K7" i="1"/>
  <c r="J7" i="1"/>
  <c r="H7" i="1"/>
  <c r="A7" i="1"/>
  <c r="U6" i="1"/>
  <c r="T6" i="1"/>
  <c r="O6" i="1"/>
  <c r="J6" i="1"/>
  <c r="A6" i="1"/>
  <c r="U5" i="1"/>
  <c r="T5" i="1"/>
  <c r="O5" i="1"/>
  <c r="K5" i="1"/>
  <c r="J5" i="1"/>
  <c r="A5" i="1"/>
  <c r="A4" i="1"/>
  <c r="A3" i="1"/>
  <c r="A2" i="1"/>
  <c r="K13" i="1" l="1"/>
  <c r="P9" i="1"/>
  <c r="P5" i="1"/>
  <c r="P11" i="1"/>
  <c r="O13" i="1"/>
  <c r="P10" i="1"/>
  <c r="P7" i="1"/>
  <c r="I10" i="1"/>
  <c r="I11" i="1"/>
  <c r="I6" i="1"/>
  <c r="I7" i="1"/>
  <c r="I8" i="1"/>
  <c r="L11" i="1"/>
  <c r="L10" i="1"/>
  <c r="I12" i="1"/>
  <c r="I9" i="1"/>
  <c r="L8" i="1"/>
  <c r="L12" i="1"/>
  <c r="P8" i="1"/>
  <c r="L9" i="1"/>
  <c r="M11" i="1"/>
  <c r="M8" i="1"/>
  <c r="M10" i="1"/>
  <c r="M12" i="1"/>
  <c r="M6" i="1"/>
  <c r="L5" i="1"/>
  <c r="P6" i="1"/>
  <c r="M7" i="1"/>
  <c r="M9" i="1"/>
  <c r="P13" i="1" l="1"/>
  <c r="H15" i="1" s="1"/>
  <c r="Q10" i="1" s="1"/>
  <c r="R10" i="1" s="1"/>
  <c r="S10" i="1" s="1"/>
  <c r="H17" i="1"/>
  <c r="N15" i="1"/>
  <c r="N16" i="1"/>
  <c r="L6" i="1"/>
  <c r="L7" i="1"/>
  <c r="N12" i="1"/>
  <c r="N10" i="1"/>
  <c r="N8" i="1"/>
  <c r="N11" i="1"/>
  <c r="N9" i="1"/>
  <c r="N7" i="1"/>
  <c r="L13" i="1" l="1"/>
  <c r="Q9" i="1"/>
  <c r="R9" i="1" s="1"/>
  <c r="S9" i="1" s="1"/>
  <c r="Q12" i="1"/>
  <c r="R12" i="1" s="1"/>
  <c r="S12" i="1" s="1"/>
  <c r="Q8" i="1"/>
  <c r="R8" i="1" s="1"/>
  <c r="S8" i="1" s="1"/>
  <c r="Q7" i="1"/>
  <c r="R7" i="1" s="1"/>
  <c r="S7" i="1" s="1"/>
  <c r="Q6" i="1"/>
  <c r="R6" i="1" s="1"/>
  <c r="S6" i="1" s="1"/>
  <c r="R5" i="1"/>
  <c r="S53" i="1" s="1"/>
  <c r="S52" i="1" s="1"/>
  <c r="Q11" i="1"/>
  <c r="R11" i="1" s="1"/>
  <c r="S11" i="1" s="1"/>
  <c r="N17" i="1"/>
  <c r="S13" i="1" l="1"/>
  <c r="S71" i="1"/>
</calcChain>
</file>

<file path=xl/sharedStrings.xml><?xml version="1.0" encoding="utf-8"?>
<sst xmlns="http://schemas.openxmlformats.org/spreadsheetml/2006/main" count="106" uniqueCount="77">
  <si>
    <t>Price</t>
  </si>
  <si>
    <t>Price($000)</t>
  </si>
  <si>
    <t>Age</t>
  </si>
  <si>
    <t>Type</t>
  </si>
  <si>
    <t>Age: buyer's age</t>
  </si>
  <si>
    <t>Code: 0 foreign</t>
  </si>
  <si>
    <t xml:space="preserve">         1 domestic</t>
  </si>
  <si>
    <t>Age Category</t>
  </si>
  <si>
    <t>31-35</t>
  </si>
  <si>
    <t>36-40</t>
  </si>
  <si>
    <t>51-55</t>
  </si>
  <si>
    <t>Relative Freq</t>
  </si>
  <si>
    <t>Cum Rel</t>
  </si>
  <si>
    <t>Mean</t>
  </si>
  <si>
    <t>Mode</t>
  </si>
  <si>
    <t>Mode = L + (fm−f1)h /2fm−f1−f2</t>
  </si>
  <si>
    <r>
      <t>L</t>
    </r>
    <r>
      <rPr>
        <sz val="11"/>
        <rFont val="Segoe UI"/>
        <family val="2"/>
      </rPr>
      <t> = Lower limit Mode of modal class</t>
    </r>
  </si>
  <si>
    <r>
      <t>fm</t>
    </r>
    <r>
      <rPr>
        <sz val="11"/>
        <rFont val="Segoe UI"/>
        <family val="2"/>
      </rPr>
      <t> = Frequency of modal class</t>
    </r>
  </si>
  <si>
    <r>
      <t>f1</t>
    </r>
    <r>
      <rPr>
        <sz val="11"/>
        <rFont val="Segoe UI"/>
        <family val="2"/>
      </rPr>
      <t> = Frequency of class preceding the modal class</t>
    </r>
  </si>
  <si>
    <r>
      <t>f2</t>
    </r>
    <r>
      <rPr>
        <sz val="11"/>
        <rFont val="Segoe UI"/>
        <family val="2"/>
      </rPr>
      <t>= Frequency of class succeeding the modal class</t>
    </r>
  </si>
  <si>
    <r>
      <t>h</t>
    </r>
    <r>
      <rPr>
        <sz val="11"/>
        <rFont val="Segoe UI"/>
        <family val="2"/>
      </rPr>
      <t> = Size of class interval</t>
    </r>
  </si>
  <si>
    <t>Median</t>
  </si>
  <si>
    <t>To calculate Median</t>
  </si>
  <si>
    <t>Mid Point (xi)</t>
  </si>
  <si>
    <t>Observed Values(fixi)</t>
  </si>
  <si>
    <t>Variance</t>
  </si>
  <si>
    <t>Std Deviation</t>
  </si>
  <si>
    <t>Avg age</t>
  </si>
  <si>
    <t>41-45</t>
  </si>
  <si>
    <t>46-50</t>
  </si>
  <si>
    <t>56-60</t>
  </si>
  <si>
    <t>26-30</t>
  </si>
  <si>
    <t>21-25</t>
  </si>
  <si>
    <t>LCB</t>
  </si>
  <si>
    <t>LCB =</t>
  </si>
  <si>
    <t>fc =</t>
  </si>
  <si>
    <t>fq=</t>
  </si>
  <si>
    <t xml:space="preserve">w = </t>
  </si>
  <si>
    <t>Q3</t>
  </si>
  <si>
    <t>Q1</t>
  </si>
  <si>
    <t>IQR</t>
  </si>
  <si>
    <t>Frequency</t>
  </si>
  <si>
    <t>Class Boundaries</t>
  </si>
  <si>
    <t>HCB</t>
  </si>
  <si>
    <t>20.5-25.5</t>
  </si>
  <si>
    <t>25.5-30.5</t>
  </si>
  <si>
    <t>30.5-35.5</t>
  </si>
  <si>
    <t>35.5-40.5</t>
  </si>
  <si>
    <t>40.5-45.5</t>
  </si>
  <si>
    <t>45.5-50.5</t>
  </si>
  <si>
    <t>50.5-55.5</t>
  </si>
  <si>
    <t>55.5-60.5</t>
  </si>
  <si>
    <t>For Histogram</t>
  </si>
  <si>
    <t>Age(Mid Point)</t>
  </si>
  <si>
    <t>Row Labels</t>
  </si>
  <si>
    <t>Grand Total</t>
  </si>
  <si>
    <t>Country of Origin (COO)</t>
  </si>
  <si>
    <t>Count of COO</t>
  </si>
  <si>
    <t>Sum of Selling prices</t>
  </si>
  <si>
    <t>Upper Outlier Limit</t>
  </si>
  <si>
    <t>Lower Outlier Limit</t>
  </si>
  <si>
    <t>Outlier</t>
  </si>
  <si>
    <t>foreign</t>
  </si>
  <si>
    <t>domestic</t>
  </si>
  <si>
    <t>No Outlier</t>
  </si>
  <si>
    <t>Relative Freq  = Frq/Total</t>
  </si>
  <si>
    <t>Frequency = No of Occurence</t>
  </si>
  <si>
    <t>Cummulative Frequency</t>
  </si>
  <si>
    <t>Frequency(fi)</t>
  </si>
  <si>
    <t>Std Dev. Table</t>
  </si>
  <si>
    <t>Origin of Cars</t>
  </si>
  <si>
    <t>Counts of Country of Origin (COO)</t>
  </si>
  <si>
    <t>Sum of Selling price ($)</t>
  </si>
  <si>
    <t>23</t>
  </si>
  <si>
    <t>xi-mean</t>
  </si>
  <si>
    <t>(xi-mean)^2</t>
  </si>
  <si>
    <t>fi(xi-mean)^2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</si>
</sst>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4" fillId="2" borderId="0" xfId="0" applyFont="1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right"/>
    </xf>
    <xf numFmtId="1" fontId="0" fillId="2" borderId="0" xfId="0" applyNumberFormat="1" applyFill="1"/>
    <xf numFmtId="0" fontId="0" fillId="0" borderId="0" xfId="0" pivotButton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6" fillId="0" borderId="0" xfId="0" applyNumberFormat="1" applyFont="1"/>
  </cellXfs>
  <cellStyles count="1">
    <cellStyle name="Normal" xfId="0" builtinId="0"/>
  </cellStyles>
  <dxfs count="5"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Tables'!$K$32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'Std Tables'!$J$33:$J$40</c:f>
              <c:numCache>
                <c:formatCode>@</c:formatCode>
                <c:ptCount val="8"/>
                <c:pt idx="0">
                  <c:v>23</c:v>
                </c:pt>
                <c:pt idx="1">
                  <c:v>28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53</c:v>
                </c:pt>
                <c:pt idx="7">
                  <c:v>58</c:v>
                </c:pt>
              </c:numCache>
            </c:numRef>
          </c:cat>
          <c:val>
            <c:numRef>
              <c:f>'Std Tables'!$K$33:$K$40</c:f>
              <c:numCache>
                <c:formatCode>General</c:formatCode>
                <c:ptCount val="8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7-4D47-8F91-B313927BE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007681968"/>
        <c:axId val="2007677648"/>
      </c:barChart>
      <c:catAx>
        <c:axId val="20076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Age(Mid</a:t>
                </a:r>
                <a:r>
                  <a:rPr lang="en-US" sz="1050" baseline="0"/>
                  <a:t> </a:t>
                </a:r>
                <a:r>
                  <a:rPr lang="en-US" sz="1050" baseline="0">
                    <a:solidFill>
                      <a:sysClr val="windowText" lastClr="000000"/>
                    </a:solidFill>
                  </a:rPr>
                  <a:t>Point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77648"/>
        <c:crosses val="autoZero"/>
        <c:auto val="1"/>
        <c:lblAlgn val="ctr"/>
        <c:lblOffset val="100"/>
        <c:noMultiLvlLbl val="0"/>
      </c:catAx>
      <c:valAx>
        <c:axId val="20076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Sheet 1.xlsx]Pivot Table 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Selling Prices By Country</a:t>
            </a:r>
            <a:r>
              <a:rPr lang="en-US" b="1" baseline="0">
                <a:solidFill>
                  <a:sysClr val="windowText" lastClr="000000"/>
                </a:solidFill>
              </a:rPr>
              <a:t> of Origin of Cars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1'!$A$4:$A$6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'Pivot Table 1'!$B$4:$B$6</c:f>
              <c:numCache>
                <c:formatCode>General</c:formatCode>
                <c:ptCount val="2"/>
                <c:pt idx="0">
                  <c:v>1082.067</c:v>
                </c:pt>
                <c:pt idx="1">
                  <c:v>775.38599999999985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1-461C-A27E-CAD7DA9EB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355375"/>
        <c:axId val="611345775"/>
      </c:barChart>
      <c:catAx>
        <c:axId val="61135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of Origin of Cars</a:t>
                </a:r>
                <a:endParaRPr lang="en-US" baseline="0"/>
              </a:p>
            </c:rich>
          </c:tx>
          <c:layout>
            <c:manualLayout>
              <c:xMode val="edge"/>
              <c:yMode val="edge"/>
              <c:x val="0.49265961783186185"/>
              <c:y val="0.86384259259259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45775"/>
        <c:crosses val="autoZero"/>
        <c:auto val="1"/>
        <c:lblAlgn val="ctr"/>
        <c:lblOffset val="100"/>
        <c:noMultiLvlLbl val="0"/>
      </c:catAx>
      <c:valAx>
        <c:axId val="6113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Selling Prices ($)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21689049285505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Sheet 1.xlsx]Pivot Table 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Selling Prices By Country of</a:t>
            </a:r>
            <a:r>
              <a:rPr lang="en-US" b="1" baseline="0">
                <a:solidFill>
                  <a:sysClr val="windowText" lastClr="000000"/>
                </a:solidFill>
              </a:rPr>
              <a:t> Origin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A-4BA8-8CA4-A1324ED57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A-4BA8-8CA4-A1324ED576D1}"/>
              </c:ext>
            </c:extLst>
          </c:dPt>
          <c:dLbls>
            <c:spPr>
              <a:solidFill>
                <a:schemeClr val="bg1">
                  <a:alpha val="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1'!$A$4:$A$6</c:f>
              <c:strCache>
                <c:ptCount val="2"/>
                <c:pt idx="0">
                  <c:v>domestic</c:v>
                </c:pt>
                <c:pt idx="1">
                  <c:v>foreign</c:v>
                </c:pt>
              </c:strCache>
            </c:strRef>
          </c:cat>
          <c:val>
            <c:numRef>
              <c:f>'Pivot Table 1'!$B$4:$B$6</c:f>
              <c:numCache>
                <c:formatCode>General</c:formatCode>
                <c:ptCount val="2"/>
                <c:pt idx="0">
                  <c:v>1082.067</c:v>
                </c:pt>
                <c:pt idx="1">
                  <c:v>775.38599999999985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0-4DD2-A977-E9E7DCFE1B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Sheet 1.xlsx]Pivot Table 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en-US" b="1" baseline="0">
                <a:solidFill>
                  <a:sysClr val="windowText" lastClr="000000"/>
                </a:solidFill>
              </a:rPr>
              <a:t> of Origin of Cars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2'!$A$4:$A$6</c:f>
              <c:strCache>
                <c:ptCount val="2"/>
                <c:pt idx="0">
                  <c:v>foreign</c:v>
                </c:pt>
                <c:pt idx="1">
                  <c:v>domestic</c:v>
                </c:pt>
              </c:strCache>
            </c:strRef>
          </c:cat>
          <c:val>
            <c:numRef>
              <c:f>'Pivot Table 2'!$B$4:$B$6</c:f>
              <c:numCache>
                <c:formatCode>0</c:formatCode>
                <c:ptCount val="2"/>
                <c:pt idx="0">
                  <c:v>34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3-4D47-A9F6-442F50B23D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5881775"/>
        <c:axId val="585886095"/>
      </c:barChart>
      <c:catAx>
        <c:axId val="58588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 of Origin of</a:t>
                </a:r>
                <a:r>
                  <a:rPr lang="en-US" baseline="0"/>
                  <a:t> the vehicle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86095"/>
        <c:crosses val="autoZero"/>
        <c:auto val="1"/>
        <c:lblAlgn val="ctr"/>
        <c:lblOffset val="100"/>
        <c:noMultiLvlLbl val="0"/>
      </c:catAx>
      <c:valAx>
        <c:axId val="5858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Sheet 1.xlsx]Pivot Table 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Count</a:t>
            </a:r>
            <a:r>
              <a:rPr lang="en-US" b="1" baseline="0">
                <a:solidFill>
                  <a:sysClr val="windowText" lastClr="000000"/>
                </a:solidFill>
              </a:rPr>
              <a:t> of Origin of Cars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F-4B0C-9CCC-D450E56B4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4F-4B0C-9CCC-D450E56B41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2'!$A$4:$A$6</c:f>
              <c:strCache>
                <c:ptCount val="2"/>
                <c:pt idx="0">
                  <c:v>foreign</c:v>
                </c:pt>
                <c:pt idx="1">
                  <c:v>domestic</c:v>
                </c:pt>
              </c:strCache>
            </c:strRef>
          </c:cat>
          <c:val>
            <c:numRef>
              <c:f>'Pivot Table 2'!$B$4:$B$6</c:f>
              <c:numCache>
                <c:formatCode>0</c:formatCode>
                <c:ptCount val="2"/>
                <c:pt idx="0">
                  <c:v>34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E-494A-BDC4-EEC1AE00E1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Buyers' 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Buyers' Ages</a:t>
          </a:r>
        </a:p>
      </cx:txPr>
    </cx:title>
    <cx:plotArea>
      <cx:plotAreaRegion>
        <cx:series layoutId="boxWhisker" uniqueId="{E2F5BD5E-0FEF-4DAB-81E5-0F3E90DB165B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 Buyers Age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Selling Prices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boxWhisker" uniqueId="{A560973F-757B-4271-8FED-DCE9ABB3CC87}">
          <cx:tx>
            <cx:txData>
              <cx:f>_xlchart.v1.2</cx:f>
              <cx:v>Price($000)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368357</xdr:colOff>
      <xdr:row>29</xdr:row>
      <xdr:rowOff>31607</xdr:rowOff>
    </xdr:from>
    <xdr:to>
      <xdr:col>17</xdr:col>
      <xdr:colOff>1138347</xdr:colOff>
      <xdr:row>45</xdr:row>
      <xdr:rowOff>45283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D3F3A-630F-6078-D087-4146E926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735103</xdr:colOff>
      <xdr:row>47</xdr:row>
      <xdr:rowOff>89646</xdr:rowOff>
    </xdr:from>
    <xdr:to>
      <xdr:col>16</xdr:col>
      <xdr:colOff>107577</xdr:colOff>
      <xdr:row>61</xdr:row>
      <xdr:rowOff>89646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A5DFB1-3F17-995F-B111-3209D623AA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17703" y="10628106"/>
              <a:ext cx="4805534" cy="2773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726142</xdr:colOff>
      <xdr:row>63</xdr:row>
      <xdr:rowOff>71719</xdr:rowOff>
    </xdr:from>
    <xdr:to>
      <xdr:col>16</xdr:col>
      <xdr:colOff>107577</xdr:colOff>
      <xdr:row>77</xdr:row>
      <xdr:rowOff>53789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FF5C32-214B-43D9-679D-A3DF65A813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08742" y="13780099"/>
              <a:ext cx="4814495" cy="2755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8</xdr:row>
      <xdr:rowOff>64770</xdr:rowOff>
    </xdr:from>
    <xdr:to>
      <xdr:col>4</xdr:col>
      <xdr:colOff>567690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28C9-DAC9-1860-8FBA-09427048B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270510</xdr:colOff>
      <xdr:row>8</xdr:row>
      <xdr:rowOff>26670</xdr:rowOff>
    </xdr:from>
    <xdr:to>
      <xdr:col>12</xdr:col>
      <xdr:colOff>148590</xdr:colOff>
      <xdr:row>21</xdr:row>
      <xdr:rowOff>194310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2A80-035D-2683-6464-47E6695E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598170</xdr:colOff>
      <xdr:row>8</xdr:row>
      <xdr:rowOff>49530</xdr:rowOff>
    </xdr:from>
    <xdr:to>
      <xdr:col>6</xdr:col>
      <xdr:colOff>133350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3A7B7-5693-75D4-E6E0-B268B315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598170</xdr:colOff>
      <xdr:row>7</xdr:row>
      <xdr:rowOff>194310</xdr:rowOff>
    </xdr:from>
    <xdr:to>
      <xdr:col>13</xdr:col>
      <xdr:colOff>476250</xdr:colOff>
      <xdr:row>21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08A1-283E-6EFE-23D6-104CFD6A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name" refreshedDate="45690.373026851848" createdVersion="8" refreshedVersion="8" minRefreshableVersion="3" recordCount="16" xr:uid="{3CB6FC39-0122-4DC0-9E48-DB4964DA949A}">
  <cacheSource type="worksheet">
    <worksheetSource ref="I46:K62" sheet="Std Tables"/>
  </cacheSource>
  <cacheFields count="3">
    <cacheField name="Country of Origin (COO)" numFmtId="49">
      <sharedItems containsMixedTypes="1" containsNumber="1" containsInteger="1" minValue="0" maxValue="1" count="3">
        <s v="0"/>
        <n v="1"/>
        <n v="0"/>
      </sharedItems>
    </cacheField>
    <cacheField name="Count of COO" numFmtId="1">
      <sharedItems containsSemiMixedTypes="0" containsString="0" containsNumber="1" containsInteger="1" minValue="0" maxValue="11"/>
    </cacheField>
    <cacheField name="Sum of Selling prices" numFmtId="0">
      <sharedItems containsString="0" containsBlank="1" containsNumber="1" minValue="775.38599999999985" maxValue="1082.067" count="3">
        <n v="775.38599999999985"/>
        <n v="1082.06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name" refreshedDate="45690.449434027774" createdVersion="8" refreshedVersion="8" minRefreshableVersion="3" recordCount="16" xr:uid="{90E9286B-0FD9-48CE-82C5-25F4792DA212}">
  <cacheSource type="worksheet">
    <worksheetSource ref="I46:J61" sheet="Std Tables"/>
  </cacheSource>
  <cacheFields count="2">
    <cacheField name="Country of Origin (COO)" numFmtId="49">
      <sharedItems containsMixedTypes="1" containsNumber="1" containsInteger="1" minValue="0" maxValue="1" count="3">
        <s v="0"/>
        <n v="1"/>
        <n v="0"/>
      </sharedItems>
    </cacheField>
    <cacheField name="Count of COO" numFmtId="1">
      <sharedItems containsSemiMixedTypes="0" containsString="0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0"/>
    <x v="0"/>
  </r>
  <r>
    <x v="1"/>
    <n v="1"/>
    <x v="1"/>
  </r>
  <r>
    <x v="2"/>
    <n v="0"/>
    <x v="2"/>
  </r>
  <r>
    <x v="1"/>
    <n v="7"/>
    <x v="2"/>
  </r>
  <r>
    <x v="2"/>
    <n v="3"/>
    <x v="2"/>
  </r>
  <r>
    <x v="1"/>
    <n v="9"/>
    <x v="2"/>
  </r>
  <r>
    <x v="2"/>
    <n v="9"/>
    <x v="2"/>
  </r>
  <r>
    <x v="1"/>
    <n v="5"/>
    <x v="2"/>
  </r>
  <r>
    <x v="2"/>
    <n v="5"/>
    <x v="2"/>
  </r>
  <r>
    <x v="1"/>
    <n v="11"/>
    <x v="2"/>
  </r>
  <r>
    <x v="2"/>
    <n v="8"/>
    <x v="2"/>
  </r>
  <r>
    <x v="1"/>
    <n v="7"/>
    <x v="2"/>
  </r>
  <r>
    <x v="2"/>
    <n v="6"/>
    <x v="2"/>
  </r>
  <r>
    <x v="1"/>
    <n v="5"/>
    <x v="2"/>
  </r>
  <r>
    <x v="2"/>
    <n v="3"/>
    <x v="2"/>
  </r>
  <r>
    <x v="1"/>
    <n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0"/>
  </r>
  <r>
    <x v="1"/>
    <n v="1"/>
  </r>
  <r>
    <x v="2"/>
    <n v="0"/>
  </r>
  <r>
    <x v="1"/>
    <n v="7"/>
  </r>
  <r>
    <x v="2"/>
    <n v="3"/>
  </r>
  <r>
    <x v="1"/>
    <n v="9"/>
  </r>
  <r>
    <x v="2"/>
    <n v="9"/>
  </r>
  <r>
    <x v="1"/>
    <n v="5"/>
  </r>
  <r>
    <x v="2"/>
    <n v="5"/>
  </r>
  <r>
    <x v="1"/>
    <n v="11"/>
  </r>
  <r>
    <x v="2"/>
    <n v="8"/>
  </r>
  <r>
    <x v="1"/>
    <n v="7"/>
  </r>
  <r>
    <x v="2"/>
    <n v="6"/>
  </r>
  <r>
    <x v="1"/>
    <n v="5"/>
  </r>
  <r>
    <x v="2"/>
    <n v="3"/>
  </r>
  <r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2AB94-3992-4DFE-A679-E7B93CE2E4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6" firstHeaderRow="1" firstDataRow="1" firstDataCol="1"/>
  <pivotFields count="3">
    <pivotField axis="axisRow" showAll="0">
      <items count="4">
        <item h="1" x="2"/>
        <item n="domestic" x="1"/>
        <item n="foreign" x="0"/>
        <item t="default"/>
      </items>
    </pivotField>
    <pivotField numFmtId="1" showAll="0"/>
    <pivotField dataField="1" showAll="0">
      <items count="4">
        <item x="0"/>
        <item x="1"/>
        <item x="2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Sum of Selling price ($)" fld="2" baseField="0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76516-BF06-4F06-AEF7-7167CD13D7B4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Origin of Cars">
  <location ref="A3:B6" firstHeaderRow="1" firstDataRow="1" firstDataCol="1"/>
  <pivotFields count="2">
    <pivotField axis="axisRow" showAll="0">
      <items count="4">
        <item n="foreign" x="2"/>
        <item n="domestic" x="1"/>
        <item h="1" x="0"/>
        <item t="default"/>
      </items>
    </pivotField>
    <pivotField dataField="1"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s of Country of Origin (COO)" fld="1" baseField="0" baseItem="0" numFmtId="1"/>
  </dataFields>
  <formats count="5">
    <format dxfId="4">
      <pivotArea field="0" type="button" dataOnly="0" labelOnly="1" outline="0" axis="axisRow" fieldPosition="0"/>
    </format>
    <format dxfId="3">
      <pivotArea dataOnly="0" labelOnly="1" outline="0" axis="axisValues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751DC-EB44-E64E-A472-F7FBCBF4FB7B}">
  <dimension ref="A1:U81"/>
  <sheetViews>
    <sheetView topLeftCell="J40" zoomScale="85" zoomScaleNormal="85" workbookViewId="0">
      <selection activeCell="S76" sqref="S76"/>
    </sheetView>
  </sheetViews>
  <sheetFormatPr defaultColWidth="8.796875" defaultRowHeight="15.6" x14ac:dyDescent="0.3"/>
  <cols>
    <col min="2" max="2" width="12.8984375" customWidth="1"/>
    <col min="5" max="5" width="13.69921875" customWidth="1"/>
    <col min="6" max="6" width="36.09765625" customWidth="1"/>
    <col min="7" max="7" width="18.69921875" customWidth="1"/>
    <col min="8" max="8" width="19" customWidth="1"/>
    <col min="9" max="9" width="22.5" customWidth="1"/>
    <col min="10" max="10" width="14.09765625" customWidth="1"/>
    <col min="11" max="11" width="9.59765625" style="6" customWidth="1"/>
    <col min="12" max="12" width="15.5" style="6" customWidth="1"/>
    <col min="13" max="13" width="14.19921875" customWidth="1"/>
    <col min="14" max="14" width="9" customWidth="1"/>
    <col min="15" max="15" width="11.296875" customWidth="1"/>
    <col min="16" max="16" width="21.296875" customWidth="1"/>
    <col min="17" max="17" width="11.59765625" customWidth="1"/>
    <col min="18" max="18" width="16.296875" customWidth="1"/>
    <col min="19" max="19" width="12.19921875" customWidth="1"/>
  </cols>
  <sheetData>
    <row r="1" spans="1:21" ht="23.4" customHeigh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21" ht="18" customHeight="1" x14ac:dyDescent="0.35">
      <c r="A2">
        <f t="shared" ref="A2:A33" si="0">B2*1000</f>
        <v>23197</v>
      </c>
      <c r="B2">
        <v>23.196999999999999</v>
      </c>
      <c r="C2">
        <v>46</v>
      </c>
      <c r="D2">
        <v>0</v>
      </c>
      <c r="L2" s="7" t="s">
        <v>69</v>
      </c>
    </row>
    <row r="3" spans="1:21" x14ac:dyDescent="0.3">
      <c r="A3">
        <f t="shared" si="0"/>
        <v>23372</v>
      </c>
      <c r="B3">
        <v>23.372</v>
      </c>
      <c r="C3">
        <v>48</v>
      </c>
      <c r="D3">
        <v>0</v>
      </c>
      <c r="E3" t="s">
        <v>4</v>
      </c>
    </row>
    <row r="4" spans="1:21" ht="31.2" x14ac:dyDescent="0.3">
      <c r="A4">
        <f t="shared" si="0"/>
        <v>20454</v>
      </c>
      <c r="B4">
        <v>20.454000000000001</v>
      </c>
      <c r="C4">
        <v>40</v>
      </c>
      <c r="D4">
        <v>1</v>
      </c>
      <c r="G4" s="10" t="s">
        <v>7</v>
      </c>
      <c r="H4" s="10" t="s">
        <v>27</v>
      </c>
      <c r="I4" s="10" t="s">
        <v>0</v>
      </c>
      <c r="J4" s="10" t="s">
        <v>1</v>
      </c>
      <c r="K4" s="10" t="s">
        <v>68</v>
      </c>
      <c r="L4" s="10" t="s">
        <v>11</v>
      </c>
      <c r="M4" s="10" t="s">
        <v>67</v>
      </c>
      <c r="N4" s="10" t="s">
        <v>12</v>
      </c>
      <c r="O4" s="10" t="s">
        <v>23</v>
      </c>
      <c r="P4" s="10" t="s">
        <v>24</v>
      </c>
      <c r="Q4" s="10" t="s">
        <v>74</v>
      </c>
      <c r="R4" s="10" t="s">
        <v>75</v>
      </c>
      <c r="S4" s="10" t="s">
        <v>76</v>
      </c>
      <c r="T4" s="10" t="s">
        <v>33</v>
      </c>
      <c r="U4" s="10" t="s">
        <v>43</v>
      </c>
    </row>
    <row r="5" spans="1:21" x14ac:dyDescent="0.3">
      <c r="A5">
        <f t="shared" si="0"/>
        <v>23591</v>
      </c>
      <c r="B5">
        <v>23.591000000000001</v>
      </c>
      <c r="C5">
        <v>40</v>
      </c>
      <c r="D5">
        <v>0</v>
      </c>
      <c r="E5" t="s">
        <v>5</v>
      </c>
      <c r="G5" t="s">
        <v>32</v>
      </c>
      <c r="H5">
        <f>AVERAGEIFS(C$2:C$81, C$2:C$81,  "&lt;=25")</f>
        <v>25</v>
      </c>
      <c r="I5">
        <f>AVERAGEIFS($A$2:$A$81, $C$2:$C$81, "&lt;=25")</f>
        <v>15935</v>
      </c>
      <c r="J5">
        <f>AVERAGEIFS($B$2:$B$81, $C$2:$C$81, "&lt;=25")</f>
        <v>15.935</v>
      </c>
      <c r="K5" s="6">
        <f>COUNTIFS(C$2:C$81, "&lt;=25")</f>
        <v>1</v>
      </c>
      <c r="L5" s="6">
        <f>K$5/K$13</f>
        <v>1.2500000000000001E-2</v>
      </c>
      <c r="M5">
        <v>1</v>
      </c>
      <c r="N5">
        <v>1</v>
      </c>
      <c r="O5">
        <f>(SUM(21+25))/2</f>
        <v>23</v>
      </c>
      <c r="P5">
        <f t="shared" ref="P5:P12" si="1">O5*K5</f>
        <v>23</v>
      </c>
      <c r="Q5">
        <f>O$5*($H$15)^2</f>
        <v>40741.226093750003</v>
      </c>
      <c r="R5">
        <f t="shared" ref="R5:R12" si="2">Q5^2</f>
        <v>1659847503.6220562</v>
      </c>
      <c r="S5">
        <f t="shared" ref="S5:S12" si="3">K5*R5</f>
        <v>1659847503.6220562</v>
      </c>
      <c r="T5">
        <f>(20+21)/2</f>
        <v>20.5</v>
      </c>
      <c r="U5">
        <f>(25+26)/2</f>
        <v>25.5</v>
      </c>
    </row>
    <row r="6" spans="1:21" x14ac:dyDescent="0.3">
      <c r="A6">
        <f t="shared" si="0"/>
        <v>26651</v>
      </c>
      <c r="B6">
        <v>26.651</v>
      </c>
      <c r="C6">
        <v>46</v>
      </c>
      <c r="D6">
        <v>1</v>
      </c>
      <c r="E6" t="s">
        <v>6</v>
      </c>
      <c r="G6" t="s">
        <v>31</v>
      </c>
      <c r="H6">
        <f>AVERAGEIFS(C$2:C$81, C$2:C$81, "&gt;25", C$2:C$81, "&lt;=30")</f>
        <v>28.571428571428573</v>
      </c>
      <c r="I6">
        <f>AVERAGEIFS($A$2:$A$81, $C$2:$C$81, "&gt;25", $C$2:$C$81, "&lt;=30")</f>
        <v>17447.428571428572</v>
      </c>
      <c r="J6">
        <f>AVERAGEIFS($B$2:$B$81, $C$2:$C$81, "&gt;25", $C$2:$C$81, "&lt;=30")</f>
        <v>17.447428571428571</v>
      </c>
      <c r="K6" s="6">
        <f>COUNTIFS(C$2:C$81, "&gt;25", C$2:C$81, "&lt;=30")</f>
        <v>7</v>
      </c>
      <c r="L6" s="6">
        <f>K$6/K$13</f>
        <v>8.7499999999999994E-2</v>
      </c>
      <c r="M6">
        <f>SUM(K5:K6)</f>
        <v>8</v>
      </c>
      <c r="N6">
        <v>1</v>
      </c>
      <c r="O6">
        <f>(SUM(26+30))/2</f>
        <v>28</v>
      </c>
      <c r="P6">
        <f t="shared" si="1"/>
        <v>196</v>
      </c>
      <c r="Q6">
        <f>O$6*($H$15)^2</f>
        <v>49598.014374999999</v>
      </c>
      <c r="R6">
        <f t="shared" si="2"/>
        <v>2459963029.9427066</v>
      </c>
      <c r="S6">
        <f t="shared" si="3"/>
        <v>17219741209.598946</v>
      </c>
      <c r="T6">
        <f>(25+26)/2</f>
        <v>25.5</v>
      </c>
      <c r="U6">
        <f>(30+31)/2</f>
        <v>30.5</v>
      </c>
    </row>
    <row r="7" spans="1:21" x14ac:dyDescent="0.3">
      <c r="A7">
        <f t="shared" si="0"/>
        <v>27453</v>
      </c>
      <c r="B7">
        <v>27.452999999999999</v>
      </c>
      <c r="C7">
        <v>37</v>
      </c>
      <c r="D7">
        <v>1</v>
      </c>
      <c r="G7" t="s">
        <v>8</v>
      </c>
      <c r="H7">
        <f>AVERAGEIFS(C$2:C$81, C$2:C$81, "&gt;30", C$2:C$81, "&lt;=35")</f>
        <v>33.416666666666664</v>
      </c>
      <c r="I7">
        <f>AVERAGEIFS($A$2:$A$81, $C$2:$C$81, "&gt;30", $C$2:$C$81, "&lt;=35")</f>
        <v>20254.666666666668</v>
      </c>
      <c r="J7">
        <f>AVERAGEIFS($B$2:$B$81, $C$2:$C$81, "&gt;30", $C$2:$C$81, "&lt;=35")</f>
        <v>20.254666666666662</v>
      </c>
      <c r="K7" s="6">
        <f>COUNTIFS(C$2:C$81, "&gt;30", C$2:C$81, "&lt;=35")</f>
        <v>12</v>
      </c>
      <c r="L7" s="6">
        <f>K$7/K$13</f>
        <v>0.15</v>
      </c>
      <c r="M7">
        <f>SUM(K5:K7)</f>
        <v>20</v>
      </c>
      <c r="N7">
        <f>SUM(M6:M7)</f>
        <v>28</v>
      </c>
      <c r="O7">
        <f>(SUM(31+35))/2</f>
        <v>33</v>
      </c>
      <c r="P7">
        <f t="shared" si="1"/>
        <v>396</v>
      </c>
      <c r="Q7">
        <f>O$7*($H$15)^2</f>
        <v>58454.802656250002</v>
      </c>
      <c r="R7">
        <f t="shared" si="2"/>
        <v>3416963953.5811324</v>
      </c>
      <c r="S7">
        <f t="shared" si="3"/>
        <v>41003567442.973587</v>
      </c>
      <c r="T7">
        <f>(30+31)/2</f>
        <v>30.5</v>
      </c>
      <c r="U7">
        <f>(35+36)/2</f>
        <v>35.5</v>
      </c>
    </row>
    <row r="8" spans="1:21" x14ac:dyDescent="0.3">
      <c r="A8">
        <f t="shared" si="0"/>
        <v>17266</v>
      </c>
      <c r="B8">
        <v>17.265999999999998</v>
      </c>
      <c r="C8">
        <v>32</v>
      </c>
      <c r="D8">
        <v>1</v>
      </c>
      <c r="G8" t="s">
        <v>9</v>
      </c>
      <c r="H8">
        <f>AVERAGEIFS(C$2:C$81, C$2:C$81, "&gt;35", C$2:C$81, "&lt;=40")</f>
        <v>38.384615384615387</v>
      </c>
      <c r="I8">
        <f>AVERAGEIFS($A$2:$A$81, $C$2:$C$81, "&gt;35", $C$2:$C$81, "&lt;=40")</f>
        <v>23960.76923076923</v>
      </c>
      <c r="J8">
        <f>AVERAGEIFS($B$2:$B$81, $C$2:$C$81, "&gt;35", $C$2:$C$81, "&lt;=40")</f>
        <v>23.960769230769237</v>
      </c>
      <c r="K8" s="6">
        <f>COUNTIFS(C$2:C$81, "&gt;35", C$2:C$81, "&lt;=40")</f>
        <v>13</v>
      </c>
      <c r="L8" s="6">
        <f>K$8/K$12</f>
        <v>2.6</v>
      </c>
      <c r="M8">
        <f>SUM(K5:K8)</f>
        <v>33</v>
      </c>
      <c r="N8">
        <f>SUM(M6:M8)</f>
        <v>61</v>
      </c>
      <c r="O8">
        <f>(SUM(36+40))/2</f>
        <v>38</v>
      </c>
      <c r="P8">
        <f t="shared" si="1"/>
        <v>494</v>
      </c>
      <c r="Q8">
        <f>O$8*($H$15)^2</f>
        <v>67311.590937500005</v>
      </c>
      <c r="R8">
        <f t="shared" si="2"/>
        <v>4530850274.5373325</v>
      </c>
      <c r="S8">
        <f t="shared" si="3"/>
        <v>58901053568.985321</v>
      </c>
      <c r="T8">
        <f>(35+36)/2</f>
        <v>35.5</v>
      </c>
      <c r="U8">
        <f>(40+41)/2</f>
        <v>40.5</v>
      </c>
    </row>
    <row r="9" spans="1:21" x14ac:dyDescent="0.3">
      <c r="A9">
        <f t="shared" si="0"/>
        <v>18021</v>
      </c>
      <c r="B9">
        <v>18.021000000000001</v>
      </c>
      <c r="C9">
        <v>29</v>
      </c>
      <c r="D9">
        <v>1</v>
      </c>
      <c r="G9" t="s">
        <v>28</v>
      </c>
      <c r="H9">
        <f>AVERAGEIFS(C$2:C$81, C$2:C$81, "&gt;40", C$2:C$81, "&lt;=45")</f>
        <v>42.75</v>
      </c>
      <c r="I9">
        <f>AVERAGEIFS($A$2:$A$81, $C$2:$C$81, "&gt;40", $C$2:$C$81, "&lt;=45")</f>
        <v>23110.5</v>
      </c>
      <c r="J9">
        <f>AVERAGEIFS($B$2:$B$81, $C$2:$C$81, "&gt;40", $C$2:$C$81, "&lt;=45")</f>
        <v>23.110500000000002</v>
      </c>
      <c r="K9" s="6">
        <f>COUNTIFS(C$2:C$81, "&gt;40", C$2:C$81, "&lt;=45")</f>
        <v>16</v>
      </c>
      <c r="L9" s="6">
        <f>K$9/K$12</f>
        <v>3.2</v>
      </c>
      <c r="M9">
        <f>SUM(K5:K9)</f>
        <v>49</v>
      </c>
      <c r="N9">
        <f>SUM(M6:M9)</f>
        <v>110</v>
      </c>
      <c r="O9">
        <f>(SUM(41+45))/2</f>
        <v>43</v>
      </c>
      <c r="P9">
        <f t="shared" si="1"/>
        <v>688</v>
      </c>
      <c r="Q9">
        <f>O$9*($H$15)^2</f>
        <v>76168.379218749993</v>
      </c>
      <c r="R9">
        <f t="shared" si="2"/>
        <v>5801621992.811306</v>
      </c>
      <c r="S9">
        <f t="shared" si="3"/>
        <v>92825951884.980896</v>
      </c>
      <c r="T9">
        <f>(40+41)/2</f>
        <v>40.5</v>
      </c>
      <c r="U9">
        <f>(45+46)/2</f>
        <v>45.5</v>
      </c>
    </row>
    <row r="10" spans="1:21" x14ac:dyDescent="0.3">
      <c r="A10">
        <f t="shared" si="0"/>
        <v>28683</v>
      </c>
      <c r="B10">
        <v>28.683</v>
      </c>
      <c r="C10">
        <v>38</v>
      </c>
      <c r="D10">
        <v>1</v>
      </c>
      <c r="G10" t="s">
        <v>29</v>
      </c>
      <c r="H10">
        <f>AVERAGEIFS(C$2:C$81, C$2:C$81, "&gt;45", C$2:C$81, "&lt;=50")</f>
        <v>47.06666666666667</v>
      </c>
      <c r="I10">
        <f>AVERAGEIFS($A$2:$A$81, $C$2:$C$81, "&gt;45", $C$2:$C$81, "&lt;=50")</f>
        <v>24045.533333333333</v>
      </c>
      <c r="J10">
        <f>AVERAGEIFS($B$2:$B$81, $C$2:$C$81, "&gt;45", $C$2:$C$81, "&lt;=50")</f>
        <v>24.045533333333331</v>
      </c>
      <c r="K10" s="6">
        <f>COUNTIFS(C$2:C$81, "&gt;45", C$2:C$81, "&lt;=50")</f>
        <v>15</v>
      </c>
      <c r="L10" s="6">
        <f>K$10/K$12</f>
        <v>3</v>
      </c>
      <c r="M10">
        <f>SUM(K5:K10)</f>
        <v>64</v>
      </c>
      <c r="N10">
        <f>SUM(M6:M10)</f>
        <v>174</v>
      </c>
      <c r="O10">
        <f>(SUM(46+50))/2</f>
        <v>48</v>
      </c>
      <c r="P10">
        <f t="shared" si="1"/>
        <v>720</v>
      </c>
      <c r="Q10">
        <f>O$10*($H$15)^2</f>
        <v>85025.167499999996</v>
      </c>
      <c r="R10">
        <f t="shared" si="2"/>
        <v>7229279108.4030552</v>
      </c>
      <c r="S10">
        <f t="shared" si="3"/>
        <v>108439186626.04582</v>
      </c>
      <c r="T10">
        <f>(46+45)/2</f>
        <v>45.5</v>
      </c>
      <c r="U10">
        <f>(50+51)/2</f>
        <v>50.5</v>
      </c>
    </row>
    <row r="11" spans="1:21" x14ac:dyDescent="0.3">
      <c r="A11">
        <f t="shared" si="0"/>
        <v>30872</v>
      </c>
      <c r="B11">
        <v>30.872</v>
      </c>
      <c r="C11">
        <v>43</v>
      </c>
      <c r="D11">
        <v>0</v>
      </c>
      <c r="G11" t="s">
        <v>10</v>
      </c>
      <c r="H11">
        <f>AVERAGEIFS(C$2:C$81, C$2:C$81, "&gt;50", C$2:C$81, "&lt;=55")</f>
        <v>52.272727272727273</v>
      </c>
      <c r="I11">
        <f>AVERAGEIFS($A$2:$A$81, $C$2:$C$81, "&gt;50", $C$2:$C$81, "&lt;=55")</f>
        <v>27339.090909090908</v>
      </c>
      <c r="J11">
        <f>AVERAGEIFS($B$2:$B$81, $C$2:$C$81, "&gt;50", $C$2:$C$81, "&lt;=55")</f>
        <v>27.33909090909091</v>
      </c>
      <c r="K11" s="6">
        <f>COUNTIFS(C$2:C$81, "&gt;50", C$2:C$81, "&lt;=55")</f>
        <v>11</v>
      </c>
      <c r="L11" s="6">
        <f>K$11/K$12</f>
        <v>2.2000000000000002</v>
      </c>
      <c r="M11">
        <f>SUM(K5:K11)</f>
        <v>75</v>
      </c>
      <c r="N11">
        <f>SUM(M6:M11)</f>
        <v>249</v>
      </c>
      <c r="O11">
        <f>(SUM(51+55))/2</f>
        <v>53</v>
      </c>
      <c r="P11">
        <f t="shared" si="1"/>
        <v>583</v>
      </c>
      <c r="Q11">
        <f>O$11*($H$15)^2</f>
        <v>93881.955781249999</v>
      </c>
      <c r="R11">
        <f t="shared" si="2"/>
        <v>8813821621.3125801</v>
      </c>
      <c r="S11">
        <f t="shared" si="3"/>
        <v>96952037834.438385</v>
      </c>
      <c r="T11">
        <f>(50+51)/2</f>
        <v>50.5</v>
      </c>
      <c r="U11">
        <f>(55+56)/2</f>
        <v>55.5</v>
      </c>
    </row>
    <row r="12" spans="1:21" x14ac:dyDescent="0.3">
      <c r="A12">
        <f t="shared" si="0"/>
        <v>19587</v>
      </c>
      <c r="B12">
        <v>19.587</v>
      </c>
      <c r="C12">
        <v>32</v>
      </c>
      <c r="D12">
        <v>0</v>
      </c>
      <c r="G12" t="s">
        <v>30</v>
      </c>
      <c r="H12">
        <f>AVERAGEIFS(C$2:C$81, C$2:C$81, "&gt;55", C$2:C$81, "=58")</f>
        <v>58</v>
      </c>
      <c r="I12">
        <f>AVERAGEIFS($A$2:$A$81, $C$2:$C$81, "&gt;55", $C$2:$C$81, "&lt;=58")</f>
        <v>26731.8</v>
      </c>
      <c r="J12">
        <f>AVERAGEIFS($B$2:$B$81, $C$2:$C$81, "&gt;55", $C$2:$C$81, "&lt;=58")</f>
        <v>26.7318</v>
      </c>
      <c r="K12" s="6">
        <f>COUNTIFS(C$2:C$81, "&gt;55", C$2:C$81, "&lt;=58")</f>
        <v>5</v>
      </c>
      <c r="L12" s="6">
        <f>K$12/K$12</f>
        <v>1</v>
      </c>
      <c r="M12">
        <f>SUM(K5:K12)</f>
        <v>80</v>
      </c>
      <c r="N12">
        <f>SUM(M6:M12)</f>
        <v>329</v>
      </c>
      <c r="O12">
        <f>(SUM(56+60))/2</f>
        <v>58</v>
      </c>
      <c r="P12">
        <f t="shared" si="1"/>
        <v>290</v>
      </c>
      <c r="Q12">
        <f>O$12*($H$15)^2</f>
        <v>102738.7440625</v>
      </c>
      <c r="R12">
        <f t="shared" si="2"/>
        <v>10555249531.539879</v>
      </c>
      <c r="S12">
        <f t="shared" si="3"/>
        <v>52776247657.699394</v>
      </c>
      <c r="T12">
        <f>(55+56)/2</f>
        <v>55.5</v>
      </c>
      <c r="U12">
        <f>60.5</f>
        <v>60.5</v>
      </c>
    </row>
    <row r="13" spans="1:21" x14ac:dyDescent="0.3">
      <c r="A13">
        <f t="shared" si="0"/>
        <v>23169</v>
      </c>
      <c r="B13">
        <v>23.169</v>
      </c>
      <c r="C13">
        <v>47</v>
      </c>
      <c r="D13">
        <v>0</v>
      </c>
      <c r="K13" s="6">
        <f>SUM(K5:K12)</f>
        <v>80</v>
      </c>
      <c r="L13" s="6">
        <f>SUM(L6:L12)</f>
        <v>12.237500000000001</v>
      </c>
      <c r="O13">
        <f>SUM(O6:O12)</f>
        <v>301</v>
      </c>
      <c r="P13">
        <f>SUM(P6:P12)</f>
        <v>3367</v>
      </c>
      <c r="S13">
        <f>SUM(S6:S12)</f>
        <v>468117786224.72235</v>
      </c>
    </row>
    <row r="14" spans="1:21" x14ac:dyDescent="0.3">
      <c r="A14">
        <f t="shared" si="0"/>
        <v>35851</v>
      </c>
      <c r="B14">
        <v>35.850999999999999</v>
      </c>
      <c r="C14">
        <v>56</v>
      </c>
      <c r="D14">
        <v>0</v>
      </c>
    </row>
    <row r="15" spans="1:21" x14ac:dyDescent="0.3">
      <c r="A15">
        <f t="shared" si="0"/>
        <v>19251</v>
      </c>
      <c r="B15">
        <v>19.251000000000001</v>
      </c>
      <c r="C15">
        <v>42</v>
      </c>
      <c r="D15">
        <v>1</v>
      </c>
      <c r="G15" s="16" t="s">
        <v>13</v>
      </c>
      <c r="H15" s="16">
        <f>$P$13/$K$13</f>
        <v>42.087499999999999</v>
      </c>
      <c r="J15" t="s">
        <v>34</v>
      </c>
      <c r="K15" s="6">
        <v>45.5</v>
      </c>
      <c r="M15" t="s">
        <v>38</v>
      </c>
      <c r="N15">
        <f>K15+(((((3*M12)/4)-K16)/K17)*K18)</f>
        <v>49.166666666666664</v>
      </c>
    </row>
    <row r="16" spans="1:21" x14ac:dyDescent="0.3">
      <c r="A16">
        <f t="shared" si="0"/>
        <v>20047</v>
      </c>
      <c r="B16">
        <v>20.047000000000001</v>
      </c>
      <c r="C16">
        <v>28</v>
      </c>
      <c r="D16">
        <v>1</v>
      </c>
      <c r="G16" s="16" t="s">
        <v>14</v>
      </c>
      <c r="H16" s="16">
        <f>41+((16-13)/((2*16)-13-15))*5</f>
        <v>44.75</v>
      </c>
      <c r="J16" t="s">
        <v>35</v>
      </c>
      <c r="K16" s="6">
        <v>49</v>
      </c>
      <c r="M16" t="s">
        <v>39</v>
      </c>
      <c r="N16">
        <f>K21+(((((1*M12)/4)-K22)/K23)*K24)</f>
        <v>40.5</v>
      </c>
    </row>
    <row r="17" spans="1:14" x14ac:dyDescent="0.3">
      <c r="A17">
        <f t="shared" si="0"/>
        <v>24285</v>
      </c>
      <c r="B17">
        <v>24.285</v>
      </c>
      <c r="C17">
        <v>56</v>
      </c>
      <c r="D17">
        <v>0</v>
      </c>
      <c r="G17" s="16" t="s">
        <v>22</v>
      </c>
      <c r="H17" s="16">
        <f>$K$13/2</f>
        <v>40</v>
      </c>
      <c r="J17" t="s">
        <v>36</v>
      </c>
      <c r="K17" s="6">
        <v>15</v>
      </c>
      <c r="M17" t="s">
        <v>40</v>
      </c>
      <c r="N17">
        <f>N15-N16</f>
        <v>8.6666666666666643</v>
      </c>
    </row>
    <row r="18" spans="1:14" x14ac:dyDescent="0.3">
      <c r="A18">
        <f t="shared" si="0"/>
        <v>24324</v>
      </c>
      <c r="B18">
        <v>24.324000000000002</v>
      </c>
      <c r="C18">
        <v>50</v>
      </c>
      <c r="D18">
        <v>1</v>
      </c>
      <c r="G18" s="16" t="s">
        <v>21</v>
      </c>
      <c r="H18" s="17" t="str">
        <f>G9</f>
        <v>41-45</v>
      </c>
      <c r="J18" t="s">
        <v>37</v>
      </c>
      <c r="K18" s="6">
        <v>5</v>
      </c>
    </row>
    <row r="19" spans="1:14" x14ac:dyDescent="0.3">
      <c r="A19">
        <f t="shared" si="0"/>
        <v>24609</v>
      </c>
      <c r="B19">
        <v>24.609000000000002</v>
      </c>
      <c r="C19">
        <v>31</v>
      </c>
      <c r="D19">
        <v>1</v>
      </c>
      <c r="G19" s="16" t="s">
        <v>25</v>
      </c>
      <c r="H19" s="16">
        <f>$S$13/$K$13</f>
        <v>5851472327.8090296</v>
      </c>
    </row>
    <row r="20" spans="1:14" x14ac:dyDescent="0.3">
      <c r="A20">
        <f t="shared" si="0"/>
        <v>28670</v>
      </c>
      <c r="B20">
        <v>28.67</v>
      </c>
      <c r="C20">
        <v>51</v>
      </c>
      <c r="D20">
        <v>1</v>
      </c>
      <c r="G20" s="16" t="s">
        <v>26</v>
      </c>
      <c r="H20" s="16">
        <f>SQRT($H$19)</f>
        <v>76494.917006354284</v>
      </c>
    </row>
    <row r="21" spans="1:14" x14ac:dyDescent="0.3">
      <c r="A21">
        <f t="shared" si="0"/>
        <v>15546</v>
      </c>
      <c r="B21">
        <v>15.545999999999999</v>
      </c>
      <c r="C21">
        <v>26</v>
      </c>
      <c r="D21">
        <v>1</v>
      </c>
      <c r="J21" t="s">
        <v>34</v>
      </c>
      <c r="K21" s="6">
        <v>35.5</v>
      </c>
    </row>
    <row r="22" spans="1:14" ht="16.8" x14ac:dyDescent="0.3">
      <c r="A22">
        <f t="shared" si="0"/>
        <v>15935</v>
      </c>
      <c r="B22">
        <v>15.935</v>
      </c>
      <c r="C22">
        <v>25</v>
      </c>
      <c r="D22">
        <v>1</v>
      </c>
      <c r="F22" s="1" t="s">
        <v>16</v>
      </c>
      <c r="G22">
        <v>45</v>
      </c>
      <c r="J22" t="s">
        <v>35</v>
      </c>
      <c r="K22" s="6">
        <v>8</v>
      </c>
    </row>
    <row r="23" spans="1:14" ht="16.8" x14ac:dyDescent="0.3">
      <c r="A23">
        <f t="shared" si="0"/>
        <v>19873</v>
      </c>
      <c r="B23">
        <v>19.873000000000001</v>
      </c>
      <c r="C23">
        <v>45</v>
      </c>
      <c r="D23">
        <v>1</v>
      </c>
      <c r="F23" s="1" t="s">
        <v>17</v>
      </c>
      <c r="G23">
        <v>15</v>
      </c>
      <c r="J23" t="s">
        <v>36</v>
      </c>
      <c r="K23" s="6">
        <v>12</v>
      </c>
    </row>
    <row r="24" spans="1:14" ht="33.6" x14ac:dyDescent="0.3">
      <c r="A24">
        <f t="shared" si="0"/>
        <v>25251</v>
      </c>
      <c r="B24">
        <v>25.251000000000001</v>
      </c>
      <c r="C24">
        <v>56</v>
      </c>
      <c r="D24">
        <v>1</v>
      </c>
      <c r="F24" s="1" t="s">
        <v>18</v>
      </c>
      <c r="G24">
        <v>13</v>
      </c>
      <c r="J24" t="s">
        <v>37</v>
      </c>
      <c r="K24" s="6">
        <v>5</v>
      </c>
    </row>
    <row r="25" spans="1:14" ht="33.6" x14ac:dyDescent="0.3">
      <c r="A25">
        <f t="shared" si="0"/>
        <v>25277</v>
      </c>
      <c r="B25">
        <v>25.277000000000001</v>
      </c>
      <c r="C25">
        <v>47</v>
      </c>
      <c r="D25">
        <v>0</v>
      </c>
      <c r="F25" s="1" t="s">
        <v>19</v>
      </c>
      <c r="G25">
        <v>11</v>
      </c>
    </row>
    <row r="26" spans="1:14" ht="16.8" x14ac:dyDescent="0.3">
      <c r="A26">
        <f t="shared" si="0"/>
        <v>28034</v>
      </c>
      <c r="B26">
        <v>28.033999999999999</v>
      </c>
      <c r="C26">
        <v>38</v>
      </c>
      <c r="D26">
        <v>1</v>
      </c>
      <c r="F26" s="1" t="s">
        <v>20</v>
      </c>
      <c r="G26">
        <v>5</v>
      </c>
    </row>
    <row r="27" spans="1:14" x14ac:dyDescent="0.3">
      <c r="A27">
        <f t="shared" si="0"/>
        <v>24533</v>
      </c>
      <c r="B27">
        <v>24.533000000000001</v>
      </c>
      <c r="C27">
        <v>51</v>
      </c>
      <c r="D27">
        <v>0</v>
      </c>
    </row>
    <row r="28" spans="1:14" x14ac:dyDescent="0.3">
      <c r="A28">
        <f t="shared" si="0"/>
        <v>27443</v>
      </c>
      <c r="B28">
        <v>27.443000000000001</v>
      </c>
      <c r="C28">
        <v>39</v>
      </c>
      <c r="D28">
        <v>0</v>
      </c>
    </row>
    <row r="29" spans="1:14" x14ac:dyDescent="0.3">
      <c r="A29">
        <f t="shared" si="0"/>
        <v>19889</v>
      </c>
      <c r="B29">
        <v>19.888999999999999</v>
      </c>
      <c r="C29">
        <v>44</v>
      </c>
      <c r="D29">
        <v>1</v>
      </c>
    </row>
    <row r="30" spans="1:14" x14ac:dyDescent="0.3">
      <c r="A30">
        <f t="shared" si="0"/>
        <v>20004</v>
      </c>
      <c r="B30">
        <v>20.004000000000001</v>
      </c>
      <c r="C30">
        <v>46</v>
      </c>
      <c r="D30">
        <v>1</v>
      </c>
    </row>
    <row r="31" spans="1:14" x14ac:dyDescent="0.3">
      <c r="A31">
        <f t="shared" si="0"/>
        <v>17357</v>
      </c>
      <c r="B31">
        <v>17.356999999999999</v>
      </c>
      <c r="C31">
        <v>28</v>
      </c>
      <c r="D31">
        <v>1</v>
      </c>
      <c r="H31" s="8"/>
      <c r="I31" s="8" t="s">
        <v>52</v>
      </c>
      <c r="J31" s="8"/>
      <c r="K31" s="9"/>
    </row>
    <row r="32" spans="1:14" x14ac:dyDescent="0.3">
      <c r="A32">
        <f t="shared" si="0"/>
        <v>20155</v>
      </c>
      <c r="B32">
        <v>20.155000000000001</v>
      </c>
      <c r="C32">
        <v>33</v>
      </c>
      <c r="D32">
        <v>1</v>
      </c>
      <c r="H32" s="8" t="s">
        <v>7</v>
      </c>
      <c r="I32" s="8" t="s">
        <v>42</v>
      </c>
      <c r="J32" s="8" t="s">
        <v>53</v>
      </c>
      <c r="K32" s="9" t="s">
        <v>41</v>
      </c>
    </row>
    <row r="33" spans="1:11" x14ac:dyDescent="0.3">
      <c r="A33">
        <f t="shared" si="0"/>
        <v>19688</v>
      </c>
      <c r="B33">
        <v>19.687999999999999</v>
      </c>
      <c r="C33">
        <v>35</v>
      </c>
      <c r="D33">
        <v>1</v>
      </c>
      <c r="H33" s="11" t="s">
        <v>32</v>
      </c>
      <c r="I33" s="11" t="s">
        <v>44</v>
      </c>
      <c r="J33" s="12">
        <v>23</v>
      </c>
      <c r="K33" s="9">
        <v>1</v>
      </c>
    </row>
    <row r="34" spans="1:11" x14ac:dyDescent="0.3">
      <c r="A34">
        <f t="shared" ref="A34:A65" si="4">B34*1000</f>
        <v>23657</v>
      </c>
      <c r="B34">
        <v>23.657</v>
      </c>
      <c r="C34">
        <v>35</v>
      </c>
      <c r="D34">
        <v>0</v>
      </c>
      <c r="F34" t="s">
        <v>66</v>
      </c>
      <c r="H34" s="11" t="s">
        <v>31</v>
      </c>
      <c r="I34" s="11" t="s">
        <v>45</v>
      </c>
      <c r="J34" s="12">
        <v>28</v>
      </c>
      <c r="K34" s="9">
        <v>7</v>
      </c>
    </row>
    <row r="35" spans="1:11" x14ac:dyDescent="0.3">
      <c r="A35">
        <f t="shared" si="4"/>
        <v>26613</v>
      </c>
      <c r="B35">
        <v>26.613</v>
      </c>
      <c r="C35">
        <v>42</v>
      </c>
      <c r="D35">
        <v>1</v>
      </c>
      <c r="F35" t="s">
        <v>65</v>
      </c>
      <c r="H35" s="11" t="s">
        <v>8</v>
      </c>
      <c r="I35" s="11" t="s">
        <v>46</v>
      </c>
      <c r="J35" s="12">
        <v>33</v>
      </c>
      <c r="K35" s="9">
        <v>12</v>
      </c>
    </row>
    <row r="36" spans="1:11" x14ac:dyDescent="0.3">
      <c r="A36">
        <f t="shared" si="4"/>
        <v>20895</v>
      </c>
      <c r="B36">
        <v>20.895</v>
      </c>
      <c r="C36">
        <v>35</v>
      </c>
      <c r="D36">
        <v>0</v>
      </c>
      <c r="F36" t="s">
        <v>15</v>
      </c>
      <c r="H36" s="11" t="s">
        <v>9</v>
      </c>
      <c r="I36" s="11" t="s">
        <v>47</v>
      </c>
      <c r="J36" s="12">
        <v>38</v>
      </c>
      <c r="K36" s="9">
        <v>13</v>
      </c>
    </row>
    <row r="37" spans="1:11" x14ac:dyDescent="0.3">
      <c r="A37">
        <f t="shared" si="4"/>
        <v>20203</v>
      </c>
      <c r="B37">
        <v>20.202999999999999</v>
      </c>
      <c r="C37">
        <v>36</v>
      </c>
      <c r="D37">
        <v>1</v>
      </c>
      <c r="H37" s="11" t="s">
        <v>28</v>
      </c>
      <c r="I37" s="11" t="s">
        <v>48</v>
      </c>
      <c r="J37" s="12">
        <v>43</v>
      </c>
      <c r="K37" s="9">
        <v>16</v>
      </c>
    </row>
    <row r="38" spans="1:11" x14ac:dyDescent="0.3">
      <c r="A38">
        <f t="shared" si="4"/>
        <v>23765</v>
      </c>
      <c r="B38">
        <v>23.765000000000001</v>
      </c>
      <c r="C38">
        <v>48</v>
      </c>
      <c r="D38">
        <v>0</v>
      </c>
      <c r="H38" s="11" t="s">
        <v>29</v>
      </c>
      <c r="I38" s="11" t="s">
        <v>49</v>
      </c>
      <c r="J38" s="12">
        <v>48</v>
      </c>
      <c r="K38" s="9">
        <v>15</v>
      </c>
    </row>
    <row r="39" spans="1:11" x14ac:dyDescent="0.3">
      <c r="A39">
        <f t="shared" si="4"/>
        <v>25783</v>
      </c>
      <c r="B39">
        <v>25.783000000000001</v>
      </c>
      <c r="C39">
        <v>53</v>
      </c>
      <c r="D39">
        <v>1</v>
      </c>
      <c r="H39" s="11" t="s">
        <v>10</v>
      </c>
      <c r="I39" s="11" t="s">
        <v>50</v>
      </c>
      <c r="J39" s="12">
        <v>53</v>
      </c>
      <c r="K39" s="9">
        <v>11</v>
      </c>
    </row>
    <row r="40" spans="1:11" x14ac:dyDescent="0.3">
      <c r="A40">
        <f t="shared" si="4"/>
        <v>26661</v>
      </c>
      <c r="B40">
        <v>26.661000000000001</v>
      </c>
      <c r="C40">
        <v>46</v>
      </c>
      <c r="D40">
        <v>1</v>
      </c>
      <c r="H40" s="11" t="s">
        <v>30</v>
      </c>
      <c r="I40" s="11" t="s">
        <v>51</v>
      </c>
      <c r="J40" s="12">
        <v>58</v>
      </c>
      <c r="K40" s="9">
        <v>5</v>
      </c>
    </row>
    <row r="41" spans="1:11" x14ac:dyDescent="0.3">
      <c r="A41">
        <f t="shared" si="4"/>
        <v>32277</v>
      </c>
      <c r="B41">
        <v>32.277000000000001</v>
      </c>
      <c r="C41">
        <v>55</v>
      </c>
      <c r="D41">
        <v>0</v>
      </c>
      <c r="K41" s="6">
        <f>SUM(K33:K40)</f>
        <v>80</v>
      </c>
    </row>
    <row r="42" spans="1:11" x14ac:dyDescent="0.3">
      <c r="A42">
        <f t="shared" si="4"/>
        <v>20642</v>
      </c>
      <c r="B42">
        <v>20.641999999999999</v>
      </c>
      <c r="C42">
        <v>39</v>
      </c>
      <c r="D42">
        <v>1</v>
      </c>
    </row>
    <row r="43" spans="1:11" x14ac:dyDescent="0.3">
      <c r="A43">
        <f t="shared" si="4"/>
        <v>21981</v>
      </c>
      <c r="B43">
        <v>21.981000000000002</v>
      </c>
      <c r="C43">
        <v>43</v>
      </c>
      <c r="D43">
        <v>1</v>
      </c>
    </row>
    <row r="44" spans="1:11" x14ac:dyDescent="0.3">
      <c r="A44">
        <f t="shared" si="4"/>
        <v>24052</v>
      </c>
      <c r="B44">
        <v>24.052</v>
      </c>
      <c r="C44">
        <v>56</v>
      </c>
      <c r="D44">
        <v>0</v>
      </c>
    </row>
    <row r="45" spans="1:11" x14ac:dyDescent="0.3">
      <c r="A45">
        <f t="shared" si="4"/>
        <v>25799</v>
      </c>
      <c r="B45">
        <v>25.798999999999999</v>
      </c>
      <c r="C45">
        <v>44</v>
      </c>
      <c r="D45">
        <v>0</v>
      </c>
    </row>
    <row r="46" spans="1:11" ht="46.8" x14ac:dyDescent="0.3">
      <c r="A46">
        <f t="shared" si="4"/>
        <v>15794</v>
      </c>
      <c r="B46">
        <v>15.794</v>
      </c>
      <c r="C46">
        <v>30</v>
      </c>
      <c r="D46">
        <v>1</v>
      </c>
      <c r="G46" s="8" t="s">
        <v>53</v>
      </c>
      <c r="H46" s="8" t="s">
        <v>53</v>
      </c>
      <c r="I46" s="8" t="s">
        <v>56</v>
      </c>
      <c r="J46" s="8" t="s">
        <v>57</v>
      </c>
      <c r="K46" s="9" t="s">
        <v>58</v>
      </c>
    </row>
    <row r="47" spans="1:11" x14ac:dyDescent="0.3">
      <c r="A47">
        <f t="shared" si="4"/>
        <v>18263</v>
      </c>
      <c r="B47">
        <v>18.263000000000002</v>
      </c>
      <c r="C47">
        <v>39</v>
      </c>
      <c r="D47">
        <v>1</v>
      </c>
      <c r="G47" s="12" t="s">
        <v>73</v>
      </c>
      <c r="H47" s="8">
        <v>23</v>
      </c>
      <c r="I47" s="12">
        <v>1</v>
      </c>
      <c r="J47" s="13">
        <v>1</v>
      </c>
      <c r="K47" s="9">
        <f>SUMIFS(B$2:B$81, D$2:D$81,  "=0")</f>
        <v>775.38599999999985</v>
      </c>
    </row>
    <row r="48" spans="1:11" x14ac:dyDescent="0.3">
      <c r="A48">
        <f t="shared" si="4"/>
        <v>35925</v>
      </c>
      <c r="B48">
        <v>35.924999999999997</v>
      </c>
      <c r="C48">
        <v>53</v>
      </c>
      <c r="D48">
        <v>0</v>
      </c>
      <c r="G48" s="12">
        <v>28</v>
      </c>
      <c r="H48" s="8">
        <v>28</v>
      </c>
      <c r="I48" s="12">
        <v>0</v>
      </c>
      <c r="J48" s="13">
        <v>0</v>
      </c>
      <c r="K48" s="9">
        <f>SUMIFS(B$2:B$81, D$2:D$81,  "=1")</f>
        <v>1082.067</v>
      </c>
    </row>
    <row r="49" spans="1:19" x14ac:dyDescent="0.3">
      <c r="A49">
        <f t="shared" si="4"/>
        <v>17399</v>
      </c>
      <c r="B49">
        <v>17.399000000000001</v>
      </c>
      <c r="C49">
        <v>29</v>
      </c>
      <c r="D49">
        <v>1</v>
      </c>
      <c r="G49" s="12">
        <v>33</v>
      </c>
      <c r="H49" s="8">
        <v>28</v>
      </c>
      <c r="I49" s="12">
        <v>1</v>
      </c>
      <c r="J49" s="13">
        <v>7</v>
      </c>
      <c r="K49" s="9"/>
      <c r="R49" s="8" t="s">
        <v>39</v>
      </c>
      <c r="S49" s="8">
        <v>35.25</v>
      </c>
    </row>
    <row r="50" spans="1:19" x14ac:dyDescent="0.3">
      <c r="A50">
        <f t="shared" si="4"/>
        <v>17968</v>
      </c>
      <c r="B50">
        <v>17.968</v>
      </c>
      <c r="C50">
        <v>30</v>
      </c>
      <c r="D50">
        <v>1</v>
      </c>
      <c r="G50" s="12">
        <v>38</v>
      </c>
      <c r="H50" s="8">
        <v>33</v>
      </c>
      <c r="I50" s="12">
        <v>0</v>
      </c>
      <c r="J50" s="13">
        <v>3</v>
      </c>
      <c r="K50" s="9"/>
      <c r="R50" s="8" t="s">
        <v>38</v>
      </c>
      <c r="S50" s="8">
        <v>47.75</v>
      </c>
    </row>
    <row r="51" spans="1:19" ht="15.6" customHeight="1" x14ac:dyDescent="0.3">
      <c r="A51">
        <f t="shared" si="4"/>
        <v>20356</v>
      </c>
      <c r="B51">
        <v>20.356000000000002</v>
      </c>
      <c r="C51">
        <v>44</v>
      </c>
      <c r="D51">
        <v>0</v>
      </c>
      <c r="G51" s="12">
        <v>43</v>
      </c>
      <c r="H51" s="8">
        <v>33</v>
      </c>
      <c r="I51" s="12">
        <v>1</v>
      </c>
      <c r="J51" s="13">
        <v>9</v>
      </c>
      <c r="K51" s="9"/>
      <c r="R51" s="8" t="s">
        <v>40</v>
      </c>
      <c r="S51" s="8">
        <f>S50-S49</f>
        <v>12.5</v>
      </c>
    </row>
    <row r="52" spans="1:19" x14ac:dyDescent="0.3">
      <c r="A52">
        <f t="shared" si="4"/>
        <v>21442</v>
      </c>
      <c r="B52">
        <v>21.442</v>
      </c>
      <c r="C52">
        <v>41</v>
      </c>
      <c r="D52">
        <v>1</v>
      </c>
      <c r="G52" s="12">
        <v>48</v>
      </c>
      <c r="H52" s="8">
        <v>38</v>
      </c>
      <c r="I52" s="12">
        <v>0</v>
      </c>
      <c r="J52" s="13">
        <v>8</v>
      </c>
      <c r="K52" s="9"/>
      <c r="R52" s="8" t="s">
        <v>60</v>
      </c>
      <c r="S52" s="8">
        <f>S49-(S51*1.5)</f>
        <v>16.5</v>
      </c>
    </row>
    <row r="53" spans="1:19" x14ac:dyDescent="0.3">
      <c r="A53">
        <f t="shared" si="4"/>
        <v>21722</v>
      </c>
      <c r="B53">
        <v>21.722000000000001</v>
      </c>
      <c r="C53">
        <v>41</v>
      </c>
      <c r="D53">
        <v>0</v>
      </c>
      <c r="G53" s="12">
        <v>53</v>
      </c>
      <c r="H53" s="8">
        <v>38</v>
      </c>
      <c r="I53" s="12">
        <v>1</v>
      </c>
      <c r="J53" s="13">
        <v>5</v>
      </c>
      <c r="K53" s="9"/>
      <c r="R53" s="8" t="s">
        <v>59</v>
      </c>
      <c r="S53" s="8">
        <f>S50-(S51*1.5)</f>
        <v>29</v>
      </c>
    </row>
    <row r="54" spans="1:19" x14ac:dyDescent="0.3">
      <c r="A54">
        <f t="shared" si="4"/>
        <v>19331</v>
      </c>
      <c r="B54">
        <v>19.331</v>
      </c>
      <c r="C54">
        <v>35</v>
      </c>
      <c r="D54">
        <v>1</v>
      </c>
      <c r="G54" s="12">
        <v>58</v>
      </c>
      <c r="H54" s="8">
        <v>43</v>
      </c>
      <c r="I54" s="12">
        <v>0</v>
      </c>
      <c r="J54" s="14">
        <v>5</v>
      </c>
      <c r="K54" s="9"/>
      <c r="R54" s="8" t="s">
        <v>61</v>
      </c>
      <c r="S54" s="8" t="s">
        <v>64</v>
      </c>
    </row>
    <row r="55" spans="1:19" x14ac:dyDescent="0.3">
      <c r="A55">
        <f t="shared" si="4"/>
        <v>22817</v>
      </c>
      <c r="B55">
        <v>22.817</v>
      </c>
      <c r="C55">
        <v>51</v>
      </c>
      <c r="D55">
        <v>1</v>
      </c>
      <c r="G55" s="8"/>
      <c r="H55" s="8">
        <v>43</v>
      </c>
      <c r="I55" s="12">
        <v>1</v>
      </c>
      <c r="J55" s="14">
        <v>11</v>
      </c>
      <c r="K55" s="9"/>
    </row>
    <row r="56" spans="1:19" x14ac:dyDescent="0.3">
      <c r="A56">
        <f t="shared" si="4"/>
        <v>19766</v>
      </c>
      <c r="B56">
        <v>19.765999999999998</v>
      </c>
      <c r="C56">
        <v>44</v>
      </c>
      <c r="D56">
        <v>1</v>
      </c>
      <c r="G56" s="8"/>
      <c r="H56" s="8">
        <v>48</v>
      </c>
      <c r="I56" s="12">
        <v>0</v>
      </c>
      <c r="J56" s="14">
        <v>8</v>
      </c>
      <c r="K56" s="9"/>
    </row>
    <row r="57" spans="1:19" x14ac:dyDescent="0.3">
      <c r="A57">
        <f t="shared" si="4"/>
        <v>20633</v>
      </c>
      <c r="B57">
        <v>20.632999999999999</v>
      </c>
      <c r="C57">
        <v>51</v>
      </c>
      <c r="D57">
        <v>1</v>
      </c>
      <c r="G57" s="8"/>
      <c r="H57" s="8">
        <v>48</v>
      </c>
      <c r="I57" s="12">
        <v>1</v>
      </c>
      <c r="J57" s="14">
        <v>7</v>
      </c>
      <c r="K57" s="9"/>
    </row>
    <row r="58" spans="1:19" x14ac:dyDescent="0.3">
      <c r="A58">
        <f t="shared" si="4"/>
        <v>20962</v>
      </c>
      <c r="B58">
        <v>20.962</v>
      </c>
      <c r="C58">
        <v>49</v>
      </c>
      <c r="D58">
        <v>1</v>
      </c>
      <c r="G58" s="8"/>
      <c r="H58" s="8">
        <v>53</v>
      </c>
      <c r="I58" s="12">
        <v>0</v>
      </c>
      <c r="J58" s="14">
        <v>6</v>
      </c>
      <c r="K58" s="9"/>
    </row>
    <row r="59" spans="1:19" x14ac:dyDescent="0.3">
      <c r="A59">
        <f t="shared" si="4"/>
        <v>22845</v>
      </c>
      <c r="B59">
        <v>22.844999999999999</v>
      </c>
      <c r="C59">
        <v>41</v>
      </c>
      <c r="D59">
        <v>1</v>
      </c>
      <c r="G59" s="8"/>
      <c r="H59" s="8">
        <v>53</v>
      </c>
      <c r="I59" s="12">
        <v>1</v>
      </c>
      <c r="J59" s="14">
        <v>5</v>
      </c>
      <c r="K59" s="9"/>
    </row>
    <row r="60" spans="1:19" x14ac:dyDescent="0.3">
      <c r="A60">
        <f t="shared" si="4"/>
        <v>26285</v>
      </c>
      <c r="B60">
        <v>26.285</v>
      </c>
      <c r="C60">
        <v>44</v>
      </c>
      <c r="D60">
        <v>0</v>
      </c>
      <c r="G60" s="8"/>
      <c r="H60" s="8">
        <v>58</v>
      </c>
      <c r="I60" s="12">
        <v>0</v>
      </c>
      <c r="J60" s="14">
        <v>3</v>
      </c>
      <c r="K60" s="9"/>
    </row>
    <row r="61" spans="1:19" x14ac:dyDescent="0.3">
      <c r="A61">
        <f t="shared" si="4"/>
        <v>27896</v>
      </c>
      <c r="B61">
        <v>27.896000000000001</v>
      </c>
      <c r="C61">
        <v>37</v>
      </c>
      <c r="D61">
        <v>0</v>
      </c>
      <c r="G61" s="8"/>
      <c r="H61" s="8">
        <v>58</v>
      </c>
      <c r="I61" s="12">
        <v>1</v>
      </c>
      <c r="J61" s="14">
        <v>2</v>
      </c>
      <c r="K61" s="9"/>
    </row>
    <row r="62" spans="1:19" x14ac:dyDescent="0.3">
      <c r="A62">
        <f t="shared" si="4"/>
        <v>29076</v>
      </c>
      <c r="B62">
        <v>29.076000000000001</v>
      </c>
      <c r="C62">
        <v>42</v>
      </c>
      <c r="D62">
        <v>1</v>
      </c>
      <c r="G62" s="8"/>
      <c r="K62" s="9"/>
    </row>
    <row r="63" spans="1:19" x14ac:dyDescent="0.3">
      <c r="A63">
        <f t="shared" si="4"/>
        <v>32491.999999999996</v>
      </c>
      <c r="B63">
        <v>32.491999999999997</v>
      </c>
      <c r="C63">
        <v>51</v>
      </c>
      <c r="D63">
        <v>0</v>
      </c>
      <c r="J63" s="4">
        <f>SUM(J47:J61)</f>
        <v>80</v>
      </c>
    </row>
    <row r="64" spans="1:19" x14ac:dyDescent="0.3">
      <c r="A64">
        <f t="shared" si="4"/>
        <v>18890</v>
      </c>
      <c r="B64">
        <v>18.89</v>
      </c>
      <c r="C64">
        <v>31</v>
      </c>
      <c r="D64">
        <v>1</v>
      </c>
    </row>
    <row r="65" spans="1:19" x14ac:dyDescent="0.3">
      <c r="A65">
        <f t="shared" si="4"/>
        <v>21740</v>
      </c>
      <c r="B65">
        <v>21.74</v>
      </c>
      <c r="C65">
        <v>39</v>
      </c>
      <c r="D65">
        <v>0</v>
      </c>
    </row>
    <row r="66" spans="1:19" x14ac:dyDescent="0.3">
      <c r="A66">
        <f t="shared" ref="A66:A97" si="5">B66*1000</f>
        <v>22374</v>
      </c>
      <c r="B66">
        <v>22.373999999999999</v>
      </c>
      <c r="C66">
        <v>53</v>
      </c>
      <c r="D66">
        <v>0</v>
      </c>
    </row>
    <row r="67" spans="1:19" x14ac:dyDescent="0.3">
      <c r="A67">
        <f t="shared" si="5"/>
        <v>24571</v>
      </c>
      <c r="B67">
        <v>24.571000000000002</v>
      </c>
      <c r="C67">
        <v>55</v>
      </c>
      <c r="D67">
        <v>1</v>
      </c>
      <c r="R67" s="8" t="s">
        <v>39</v>
      </c>
      <c r="S67" s="8">
        <v>20.074000000000002</v>
      </c>
    </row>
    <row r="68" spans="1:19" x14ac:dyDescent="0.3">
      <c r="A68">
        <f t="shared" si="5"/>
        <v>25449</v>
      </c>
      <c r="B68">
        <v>25.449000000000002</v>
      </c>
      <c r="C68">
        <v>40</v>
      </c>
      <c r="D68">
        <v>0</v>
      </c>
      <c r="R68" s="8" t="s">
        <v>38</v>
      </c>
      <c r="S68" s="8">
        <v>25.795000000000002</v>
      </c>
    </row>
    <row r="69" spans="1:19" x14ac:dyDescent="0.3">
      <c r="A69">
        <f t="shared" si="5"/>
        <v>28337</v>
      </c>
      <c r="B69">
        <v>28.337</v>
      </c>
      <c r="C69">
        <v>46</v>
      </c>
      <c r="D69">
        <v>0</v>
      </c>
      <c r="R69" s="8" t="s">
        <v>40</v>
      </c>
      <c r="S69" s="8">
        <f>S68-S67</f>
        <v>5.7210000000000001</v>
      </c>
    </row>
    <row r="70" spans="1:19" x14ac:dyDescent="0.3">
      <c r="A70">
        <f t="shared" si="5"/>
        <v>20642</v>
      </c>
      <c r="B70">
        <v>20.641999999999999</v>
      </c>
      <c r="C70">
        <v>35</v>
      </c>
      <c r="D70">
        <v>1</v>
      </c>
      <c r="R70" s="8" t="s">
        <v>60</v>
      </c>
      <c r="S70" s="8">
        <f>S67-(S69*1.5)</f>
        <v>11.492500000000001</v>
      </c>
    </row>
    <row r="71" spans="1:19" x14ac:dyDescent="0.3">
      <c r="A71">
        <f t="shared" si="5"/>
        <v>23613</v>
      </c>
      <c r="B71">
        <v>23.613</v>
      </c>
      <c r="C71">
        <v>47</v>
      </c>
      <c r="D71">
        <v>1</v>
      </c>
      <c r="R71" s="8" t="s">
        <v>59</v>
      </c>
      <c r="S71" s="8">
        <f>S68-(S69*1.5)</f>
        <v>17.213500000000003</v>
      </c>
    </row>
    <row r="72" spans="1:19" x14ac:dyDescent="0.3">
      <c r="A72">
        <f t="shared" si="5"/>
        <v>24220</v>
      </c>
      <c r="B72">
        <v>24.22</v>
      </c>
      <c r="C72">
        <v>58</v>
      </c>
      <c r="D72">
        <v>1</v>
      </c>
      <c r="R72" s="8" t="s">
        <v>61</v>
      </c>
      <c r="S72" s="8">
        <v>35.850999999999999</v>
      </c>
    </row>
    <row r="73" spans="1:19" x14ac:dyDescent="0.3">
      <c r="A73">
        <f t="shared" si="5"/>
        <v>30655</v>
      </c>
      <c r="B73">
        <v>30.655000000000001</v>
      </c>
      <c r="C73">
        <v>51</v>
      </c>
      <c r="D73">
        <v>0</v>
      </c>
    </row>
    <row r="74" spans="1:19" x14ac:dyDescent="0.3">
      <c r="A74">
        <f t="shared" si="5"/>
        <v>22442</v>
      </c>
      <c r="B74">
        <v>22.442</v>
      </c>
      <c r="C74">
        <v>41</v>
      </c>
      <c r="D74">
        <v>1</v>
      </c>
    </row>
    <row r="75" spans="1:19" x14ac:dyDescent="0.3">
      <c r="A75">
        <f t="shared" si="5"/>
        <v>17891</v>
      </c>
      <c r="B75">
        <v>17.890999999999998</v>
      </c>
      <c r="C75">
        <v>33</v>
      </c>
      <c r="D75">
        <v>1</v>
      </c>
    </row>
    <row r="76" spans="1:19" x14ac:dyDescent="0.3">
      <c r="A76">
        <f t="shared" si="5"/>
        <v>20818</v>
      </c>
      <c r="B76">
        <v>20.818000000000001</v>
      </c>
      <c r="C76">
        <v>46</v>
      </c>
      <c r="D76">
        <v>1</v>
      </c>
    </row>
    <row r="77" spans="1:19" x14ac:dyDescent="0.3">
      <c r="A77">
        <f t="shared" si="5"/>
        <v>26237</v>
      </c>
      <c r="B77">
        <v>26.236999999999998</v>
      </c>
      <c r="C77">
        <v>47</v>
      </c>
      <c r="D77">
        <v>0</v>
      </c>
    </row>
    <row r="78" spans="1:19" x14ac:dyDescent="0.3">
      <c r="A78">
        <f t="shared" si="5"/>
        <v>20445</v>
      </c>
      <c r="B78">
        <v>20.445</v>
      </c>
      <c r="C78">
        <v>34</v>
      </c>
      <c r="D78">
        <v>1</v>
      </c>
    </row>
    <row r="79" spans="1:19" x14ac:dyDescent="0.3">
      <c r="A79">
        <f t="shared" si="5"/>
        <v>21556</v>
      </c>
      <c r="B79">
        <v>21.556000000000001</v>
      </c>
      <c r="C79">
        <v>43</v>
      </c>
      <c r="D79">
        <v>1</v>
      </c>
    </row>
    <row r="80" spans="1:19" x14ac:dyDescent="0.3">
      <c r="A80">
        <f t="shared" si="5"/>
        <v>21639</v>
      </c>
      <c r="B80">
        <v>21.638999999999999</v>
      </c>
      <c r="C80">
        <v>37</v>
      </c>
      <c r="D80">
        <v>1</v>
      </c>
    </row>
    <row r="81" spans="1:4" x14ac:dyDescent="0.3">
      <c r="A81">
        <f t="shared" si="5"/>
        <v>24296</v>
      </c>
      <c r="B81">
        <v>24.295999999999999</v>
      </c>
      <c r="C81">
        <v>47</v>
      </c>
      <c r="D81">
        <v>0</v>
      </c>
    </row>
  </sheetData>
  <autoFilter ref="A1:U81" xr:uid="{5FF751DC-EB44-E64E-A472-F7FBCBF4FB7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E1735-B512-4EFD-96B3-DE25EEC3E24E}">
  <dimension ref="A3:B6"/>
  <sheetViews>
    <sheetView workbookViewId="0">
      <selection activeCell="A3" sqref="A3"/>
    </sheetView>
  </sheetViews>
  <sheetFormatPr defaultRowHeight="15.6" x14ac:dyDescent="0.3"/>
  <cols>
    <col min="1" max="1" width="12.19921875" bestFit="1" customWidth="1"/>
    <col min="2" max="2" width="20.19921875" bestFit="1" customWidth="1"/>
  </cols>
  <sheetData>
    <row r="3" spans="1:2" x14ac:dyDescent="0.3">
      <c r="A3" s="2" t="s">
        <v>54</v>
      </c>
      <c r="B3" t="s">
        <v>72</v>
      </c>
    </row>
    <row r="4" spans="1:2" x14ac:dyDescent="0.3">
      <c r="A4" s="3" t="s">
        <v>63</v>
      </c>
      <c r="B4">
        <v>1082.067</v>
      </c>
    </row>
    <row r="5" spans="1:2" x14ac:dyDescent="0.3">
      <c r="A5" s="3" t="s">
        <v>62</v>
      </c>
      <c r="B5">
        <v>775.38599999999985</v>
      </c>
    </row>
    <row r="6" spans="1:2" x14ac:dyDescent="0.3">
      <c r="A6" s="3" t="s">
        <v>55</v>
      </c>
      <c r="B6">
        <v>1857.453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5411-0704-47E0-BA88-E7DAF8F15EF8}">
  <dimension ref="A3:B6"/>
  <sheetViews>
    <sheetView tabSelected="1" workbookViewId="0">
      <selection activeCell="A3" sqref="A3"/>
    </sheetView>
  </sheetViews>
  <sheetFormatPr defaultRowHeight="15.6" x14ac:dyDescent="0.3"/>
  <cols>
    <col min="1" max="1" width="14.19921875" bestFit="1" customWidth="1"/>
    <col min="2" max="2" width="29.3984375" bestFit="1" customWidth="1"/>
  </cols>
  <sheetData>
    <row r="3" spans="1:2" x14ac:dyDescent="0.3">
      <c r="A3" s="15" t="s">
        <v>70</v>
      </c>
      <c r="B3" s="6" t="s">
        <v>71</v>
      </c>
    </row>
    <row r="4" spans="1:2" x14ac:dyDescent="0.3">
      <c r="A4" s="3" t="s">
        <v>62</v>
      </c>
      <c r="B4" s="4">
        <v>34</v>
      </c>
    </row>
    <row r="5" spans="1:2" x14ac:dyDescent="0.3">
      <c r="A5" s="3" t="s">
        <v>63</v>
      </c>
      <c r="B5" s="4">
        <v>47</v>
      </c>
    </row>
    <row r="6" spans="1:2" x14ac:dyDescent="0.3">
      <c r="A6" s="3" t="s">
        <v>55</v>
      </c>
      <c r="B6" s="18">
        <v>81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 Tables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Tormeti</dc:creator>
  <cp:lastModifiedBy>my name</cp:lastModifiedBy>
  <dcterms:created xsi:type="dcterms:W3CDTF">2024-05-21T14:44:46Z</dcterms:created>
  <dcterms:modified xsi:type="dcterms:W3CDTF">2025-03-06T16:14:07Z</dcterms:modified>
</cp:coreProperties>
</file>