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D:\Data Analysis\Course Project (Cleaned Datas)\Excel Project\"/>
    </mc:Choice>
  </mc:AlternateContent>
  <xr:revisionPtr revIDLastSave="0" documentId="13_ncr:1_{29F3907E-3612-4F33-A9FA-742BF9EDABF2}" xr6:coauthVersionLast="47" xr6:coauthVersionMax="47" xr10:uidLastSave="{00000000-0000-0000-0000-000000000000}"/>
  <bookViews>
    <workbookView xWindow="-120" yWindow="-120" windowWidth="29040" windowHeight="15840" xr2:uid="{5C542B88-7F8E-4A43-BDC9-5527A1C887F9}"/>
  </bookViews>
  <sheets>
    <sheet name="UK" sheetId="1" r:id="rId1"/>
    <sheet name="India" sheetId="2" r:id="rId2"/>
    <sheet name="All staff" sheetId="3" r:id="rId3"/>
    <sheet name="Salary Chart" sheetId="6" r:id="rId4"/>
    <sheet name="Salary vs Rating" sheetId="7" r:id="rId5"/>
    <sheet name="Info finder V 2" sheetId="4" r:id="rId6"/>
    <sheet name="Men vs Female" sheetId="5" r:id="rId7"/>
    <sheet name="Employee Trend" sheetId="8" r:id="rId8"/>
    <sheet name="Dpt Head Count" sheetId="12" r:id="rId9"/>
    <sheet name="Final Report" sheetId="9" r:id="rId10"/>
  </sheets>
  <definedNames>
    <definedName name="_xlchart.v1.0" hidden="1">'All staff'!$F$1</definedName>
    <definedName name="_xlchart.v1.1" hidden="1">'All staff'!$F$2:$F$185</definedName>
    <definedName name="_xlcn.WorksheetConnection_Employeedatasetproject1ongoing.xlsxstaff1" hidden="1">staff[]</definedName>
    <definedName name="ExternalData_1" localSheetId="2" hidden="1">'All staff'!$A$1:$H$184</definedName>
    <definedName name="Slicer_Country">#N/A</definedName>
  </definedNames>
  <calcPr calcId="191028"/>
  <pivotCaches>
    <pivotCache cacheId="5" r:id="rId11"/>
    <pivotCache cacheId="8" r:id="rId12"/>
    <pivotCache cacheId="14" r:id="rId13"/>
  </pivotCaches>
  <extLs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Employee dataset project 1 (ongoing).xlsx!staff"/>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4" i="9" l="1"/>
  <c r="P4" i="9"/>
  <c r="E4" i="9"/>
  <c r="N4" i="9"/>
  <c r="O20" i="3"/>
  <c r="K2" i="3"/>
  <c r="I2" i="3"/>
  <c r="I3" i="3"/>
  <c r="I4" i="3"/>
  <c r="J4" i="3" s="1"/>
  <c r="I5" i="3"/>
  <c r="I6" i="3"/>
  <c r="I7" i="3"/>
  <c r="J7" i="3" s="1"/>
  <c r="I8" i="3"/>
  <c r="J8" i="3" s="1"/>
  <c r="I9" i="3"/>
  <c r="J9" i="3" s="1"/>
  <c r="I10" i="3"/>
  <c r="J10" i="3" s="1"/>
  <c r="I11" i="3"/>
  <c r="J11" i="3" s="1"/>
  <c r="I12" i="3"/>
  <c r="J12" i="3" s="1"/>
  <c r="I13" i="3"/>
  <c r="J13" i="3" s="1"/>
  <c r="I14" i="3"/>
  <c r="I15" i="3"/>
  <c r="I16" i="3"/>
  <c r="J16" i="3" s="1"/>
  <c r="I17" i="3"/>
  <c r="I18" i="3"/>
  <c r="I19" i="3"/>
  <c r="J19" i="3" s="1"/>
  <c r="I20" i="3"/>
  <c r="J20" i="3" s="1"/>
  <c r="I21" i="3"/>
  <c r="J21" i="3" s="1"/>
  <c r="I22" i="3"/>
  <c r="J22" i="3" s="1"/>
  <c r="I23" i="3"/>
  <c r="J23" i="3" s="1"/>
  <c r="I24" i="3"/>
  <c r="J24" i="3" s="1"/>
  <c r="I25" i="3"/>
  <c r="J25" i="3" s="1"/>
  <c r="I26" i="3"/>
  <c r="I27" i="3"/>
  <c r="I28" i="3"/>
  <c r="I29" i="3"/>
  <c r="I30" i="3"/>
  <c r="I31" i="3"/>
  <c r="J31" i="3" s="1"/>
  <c r="I32" i="3"/>
  <c r="J32" i="3" s="1"/>
  <c r="I33" i="3"/>
  <c r="J33" i="3" s="1"/>
  <c r="I34" i="3"/>
  <c r="J34" i="3" s="1"/>
  <c r="I35" i="3"/>
  <c r="J35" i="3" s="1"/>
  <c r="I36" i="3"/>
  <c r="J36" i="3" s="1"/>
  <c r="I37" i="3"/>
  <c r="J37" i="3" s="1"/>
  <c r="I38" i="3"/>
  <c r="I39" i="3"/>
  <c r="I40" i="3"/>
  <c r="I41" i="3"/>
  <c r="I42" i="3"/>
  <c r="I43" i="3"/>
  <c r="J43" i="3" s="1"/>
  <c r="I44" i="3"/>
  <c r="J44" i="3" s="1"/>
  <c r="I45" i="3"/>
  <c r="J45" i="3" s="1"/>
  <c r="I46" i="3"/>
  <c r="J46" i="3" s="1"/>
  <c r="I47" i="3"/>
  <c r="J47" i="3" s="1"/>
  <c r="I48" i="3"/>
  <c r="J48" i="3" s="1"/>
  <c r="I49" i="3"/>
  <c r="J49" i="3" s="1"/>
  <c r="I50" i="3"/>
  <c r="I51" i="3"/>
  <c r="I52" i="3"/>
  <c r="J52" i="3" s="1"/>
  <c r="I53" i="3"/>
  <c r="I54" i="3"/>
  <c r="I55" i="3"/>
  <c r="J55" i="3" s="1"/>
  <c r="I56" i="3"/>
  <c r="J56" i="3" s="1"/>
  <c r="I57" i="3"/>
  <c r="J57" i="3" s="1"/>
  <c r="I58" i="3"/>
  <c r="J58" i="3" s="1"/>
  <c r="I59" i="3"/>
  <c r="J59" i="3" s="1"/>
  <c r="I60" i="3"/>
  <c r="J60" i="3" s="1"/>
  <c r="I61" i="3"/>
  <c r="J61" i="3" s="1"/>
  <c r="I62" i="3"/>
  <c r="I63" i="3"/>
  <c r="I64" i="3"/>
  <c r="J64" i="3" s="1"/>
  <c r="I65" i="3"/>
  <c r="I66" i="3"/>
  <c r="I67" i="3"/>
  <c r="J67" i="3" s="1"/>
  <c r="I68" i="3"/>
  <c r="J68" i="3" s="1"/>
  <c r="I69" i="3"/>
  <c r="J69" i="3" s="1"/>
  <c r="I70" i="3"/>
  <c r="J70" i="3" s="1"/>
  <c r="I71" i="3"/>
  <c r="J71" i="3" s="1"/>
  <c r="I72" i="3"/>
  <c r="J72" i="3" s="1"/>
  <c r="I73" i="3"/>
  <c r="J73" i="3" s="1"/>
  <c r="I74" i="3"/>
  <c r="I75" i="3"/>
  <c r="I76" i="3"/>
  <c r="I77" i="3"/>
  <c r="I78" i="3"/>
  <c r="I79" i="3"/>
  <c r="J79" i="3" s="1"/>
  <c r="I80" i="3"/>
  <c r="J80" i="3" s="1"/>
  <c r="I81" i="3"/>
  <c r="J81" i="3" s="1"/>
  <c r="I82" i="3"/>
  <c r="J82" i="3" s="1"/>
  <c r="I83" i="3"/>
  <c r="J83" i="3" s="1"/>
  <c r="I84" i="3"/>
  <c r="J84" i="3" s="1"/>
  <c r="I85" i="3"/>
  <c r="J85" i="3" s="1"/>
  <c r="I86" i="3"/>
  <c r="I87" i="3"/>
  <c r="I88" i="3"/>
  <c r="I89" i="3"/>
  <c r="I90" i="3"/>
  <c r="I91" i="3"/>
  <c r="J91" i="3" s="1"/>
  <c r="I92" i="3"/>
  <c r="J92" i="3" s="1"/>
  <c r="I93" i="3"/>
  <c r="J93" i="3" s="1"/>
  <c r="I94" i="3"/>
  <c r="J94" i="3" s="1"/>
  <c r="I95" i="3"/>
  <c r="J95" i="3" s="1"/>
  <c r="I96" i="3"/>
  <c r="J96" i="3" s="1"/>
  <c r="I97" i="3"/>
  <c r="J97" i="3" s="1"/>
  <c r="I98" i="3"/>
  <c r="I99" i="3"/>
  <c r="J99" i="3" s="1"/>
  <c r="I100" i="3"/>
  <c r="I101" i="3"/>
  <c r="I102" i="3"/>
  <c r="J102" i="3" s="1"/>
  <c r="I103" i="3"/>
  <c r="J103" i="3" s="1"/>
  <c r="I104" i="3"/>
  <c r="J104" i="3" s="1"/>
  <c r="I105" i="3"/>
  <c r="J105" i="3" s="1"/>
  <c r="I106" i="3"/>
  <c r="J106" i="3" s="1"/>
  <c r="I107" i="3"/>
  <c r="J107" i="3" s="1"/>
  <c r="I108" i="3"/>
  <c r="J108" i="3" s="1"/>
  <c r="I109" i="3"/>
  <c r="I110" i="3"/>
  <c r="I111" i="3"/>
  <c r="J111" i="3" s="1"/>
  <c r="I112" i="3"/>
  <c r="I113" i="3"/>
  <c r="I114" i="3"/>
  <c r="J114" i="3" s="1"/>
  <c r="I115" i="3"/>
  <c r="J115" i="3" s="1"/>
  <c r="I116" i="3"/>
  <c r="J116" i="3" s="1"/>
  <c r="I117" i="3"/>
  <c r="J117" i="3" s="1"/>
  <c r="I118" i="3"/>
  <c r="J118" i="3" s="1"/>
  <c r="I119" i="3"/>
  <c r="J119" i="3" s="1"/>
  <c r="I120" i="3"/>
  <c r="J120" i="3" s="1"/>
  <c r="I121" i="3"/>
  <c r="I122" i="3"/>
  <c r="I123" i="3"/>
  <c r="J123" i="3" s="1"/>
  <c r="I124" i="3"/>
  <c r="I125" i="3"/>
  <c r="I126" i="3"/>
  <c r="J126" i="3" s="1"/>
  <c r="I127" i="3"/>
  <c r="J127" i="3" s="1"/>
  <c r="I128" i="3"/>
  <c r="J128" i="3" s="1"/>
  <c r="I129" i="3"/>
  <c r="J129" i="3" s="1"/>
  <c r="I130" i="3"/>
  <c r="J130" i="3" s="1"/>
  <c r="I131" i="3"/>
  <c r="J131" i="3" s="1"/>
  <c r="I132" i="3"/>
  <c r="J132" i="3" s="1"/>
  <c r="I133" i="3"/>
  <c r="J133" i="3" s="1"/>
  <c r="I134" i="3"/>
  <c r="I135" i="3"/>
  <c r="I136" i="3"/>
  <c r="I137" i="3"/>
  <c r="I138" i="3"/>
  <c r="J138" i="3" s="1"/>
  <c r="I139" i="3"/>
  <c r="J139" i="3" s="1"/>
  <c r="I140" i="3"/>
  <c r="J140" i="3" s="1"/>
  <c r="I141" i="3"/>
  <c r="J141" i="3" s="1"/>
  <c r="I142" i="3"/>
  <c r="J142" i="3" s="1"/>
  <c r="I143" i="3"/>
  <c r="J143" i="3" s="1"/>
  <c r="I144" i="3"/>
  <c r="J144" i="3" s="1"/>
  <c r="I145" i="3"/>
  <c r="J145" i="3" s="1"/>
  <c r="I146" i="3"/>
  <c r="I147" i="3"/>
  <c r="I148" i="3"/>
  <c r="I149" i="3"/>
  <c r="I150" i="3"/>
  <c r="J150" i="3" s="1"/>
  <c r="I151" i="3"/>
  <c r="J151" i="3" s="1"/>
  <c r="I152" i="3"/>
  <c r="J152" i="3" s="1"/>
  <c r="I153" i="3"/>
  <c r="J153" i="3" s="1"/>
  <c r="I154" i="3"/>
  <c r="J154" i="3" s="1"/>
  <c r="I155" i="3"/>
  <c r="J155" i="3" s="1"/>
  <c r="I156" i="3"/>
  <c r="J156" i="3" s="1"/>
  <c r="I157" i="3"/>
  <c r="J157" i="3" s="1"/>
  <c r="I158" i="3"/>
  <c r="I159" i="3"/>
  <c r="J159" i="3" s="1"/>
  <c r="I160" i="3"/>
  <c r="I161" i="3"/>
  <c r="I162" i="3"/>
  <c r="J162" i="3" s="1"/>
  <c r="I163" i="3"/>
  <c r="J163" i="3" s="1"/>
  <c r="I164" i="3"/>
  <c r="J164" i="3" s="1"/>
  <c r="I165" i="3"/>
  <c r="J165" i="3" s="1"/>
  <c r="I166" i="3"/>
  <c r="J166" i="3" s="1"/>
  <c r="I167" i="3"/>
  <c r="J167" i="3" s="1"/>
  <c r="I168" i="3"/>
  <c r="J168" i="3" s="1"/>
  <c r="I169" i="3"/>
  <c r="J169" i="3" s="1"/>
  <c r="I170" i="3"/>
  <c r="I171" i="3"/>
  <c r="J171" i="3" s="1"/>
  <c r="I172" i="3"/>
  <c r="I173" i="3"/>
  <c r="I174" i="3"/>
  <c r="J174" i="3" s="1"/>
  <c r="I175" i="3"/>
  <c r="J175" i="3" s="1"/>
  <c r="I176" i="3"/>
  <c r="J176" i="3" s="1"/>
  <c r="I177" i="3"/>
  <c r="J177" i="3" s="1"/>
  <c r="I178" i="3"/>
  <c r="J178" i="3" s="1"/>
  <c r="I179" i="3"/>
  <c r="J179" i="3" s="1"/>
  <c r="I180" i="3"/>
  <c r="J180" i="3" s="1"/>
  <c r="I181" i="3"/>
  <c r="J181" i="3" s="1"/>
  <c r="I182" i="3"/>
  <c r="I183" i="3"/>
  <c r="J183" i="3" s="1"/>
  <c r="I184" i="3"/>
  <c r="J2" i="3"/>
  <c r="J3" i="3"/>
  <c r="J5" i="3"/>
  <c r="J6" i="3"/>
  <c r="J14" i="3"/>
  <c r="J15" i="3"/>
  <c r="J17" i="3"/>
  <c r="J18" i="3"/>
  <c r="J26" i="3"/>
  <c r="J27" i="3"/>
  <c r="J28" i="3"/>
  <c r="J29" i="3"/>
  <c r="J30" i="3"/>
  <c r="J38" i="3"/>
  <c r="J39" i="3"/>
  <c r="J40" i="3"/>
  <c r="J41" i="3"/>
  <c r="J42" i="3"/>
  <c r="J50" i="3"/>
  <c r="J51" i="3"/>
  <c r="J53" i="3"/>
  <c r="J54" i="3"/>
  <c r="J62" i="3"/>
  <c r="J63" i="3"/>
  <c r="J65" i="3"/>
  <c r="J66" i="3"/>
  <c r="J74" i="3"/>
  <c r="J75" i="3"/>
  <c r="J76" i="3"/>
  <c r="J77" i="3"/>
  <c r="J78" i="3"/>
  <c r="J86" i="3"/>
  <c r="J87" i="3"/>
  <c r="J88" i="3"/>
  <c r="J89" i="3"/>
  <c r="J90" i="3"/>
  <c r="J98" i="3"/>
  <c r="J100" i="3"/>
  <c r="J101" i="3"/>
  <c r="J109" i="3"/>
  <c r="J110" i="3"/>
  <c r="J112" i="3"/>
  <c r="J113" i="3"/>
  <c r="J121" i="3"/>
  <c r="J122" i="3"/>
  <c r="J124" i="3"/>
  <c r="J125" i="3"/>
  <c r="J134" i="3"/>
  <c r="J135" i="3"/>
  <c r="J136" i="3"/>
  <c r="J137" i="3"/>
  <c r="J146" i="3"/>
  <c r="J147" i="3"/>
  <c r="J148" i="3"/>
  <c r="J149" i="3"/>
  <c r="J158" i="3"/>
  <c r="J160" i="3"/>
  <c r="J161" i="3"/>
  <c r="J170" i="3"/>
  <c r="J172" i="3"/>
  <c r="J173" i="3"/>
  <c r="J182" i="3"/>
  <c r="J184" i="3"/>
  <c r="K3" i="3"/>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G4" i="9"/>
  <c r="C4" i="9"/>
  <c r="Y8" i="8" a="1"/>
  <c r="Y8" i="8" s="1"/>
  <c r="X8" i="8" a="1"/>
  <c r="X8" i="8" s="1"/>
  <c r="O4" i="4"/>
  <c r="C4" i="4"/>
  <c r="O25" i="3"/>
  <c r="O26" i="3"/>
  <c r="O24" i="3"/>
  <c r="O22" i="3"/>
  <c r="O21" i="3"/>
  <c r="O23" i="3"/>
  <c r="O2" i="3"/>
  <c r="O3" i="3"/>
  <c r="O4" i="3"/>
  <c r="O7" i="3"/>
  <c r="O11" i="3"/>
  <c r="O10" i="3" s="1"/>
  <c r="C114" i="2"/>
  <c r="G114" i="2"/>
  <c r="D102" i="1"/>
  <c r="F102" i="1"/>
  <c r="O6" i="3" l="1"/>
  <c r="Z38" i="8"/>
  <c r="Z39" i="8"/>
  <c r="Z40" i="8"/>
  <c r="Z41" i="8"/>
  <c r="Z42" i="8"/>
  <c r="Z43" i="8"/>
  <c r="Z8" i="8"/>
  <c r="Z18" i="8"/>
  <c r="Z30" i="8"/>
  <c r="Z19" i="8"/>
  <c r="Z31" i="8"/>
  <c r="Z20" i="8"/>
  <c r="Z32" i="8"/>
  <c r="Z9" i="8"/>
  <c r="Z21" i="8"/>
  <c r="Z33" i="8"/>
  <c r="Z10" i="8"/>
  <c r="Z22" i="8"/>
  <c r="Z34" i="8"/>
  <c r="Z11" i="8"/>
  <c r="Z23" i="8"/>
  <c r="Z35" i="8"/>
  <c r="Z12" i="8"/>
  <c r="Z24" i="8"/>
  <c r="Z36" i="8"/>
  <c r="Z13" i="8"/>
  <c r="Z25" i="8"/>
  <c r="Z37" i="8"/>
  <c r="Z14" i="8"/>
  <c r="Z26" i="8"/>
  <c r="Z15" i="8"/>
  <c r="Z27" i="8"/>
  <c r="Z16" i="8"/>
  <c r="Z28" i="8"/>
  <c r="Z17" i="8"/>
  <c r="Z29" i="8"/>
  <c r="AA8" i="8"/>
  <c r="Z6" i="4" a="1"/>
  <c r="Z6" i="4" s="1"/>
  <c r="N6" i="4" a="1"/>
  <c r="N6" i="4" s="1"/>
  <c r="O27" i="3"/>
  <c r="B6" i="4" a="1"/>
  <c r="B6" i="4" s="1"/>
  <c r="O5" i="3"/>
  <c r="AA10" i="8" l="1"/>
  <c r="AA11" i="8"/>
  <c r="AA34" i="8"/>
  <c r="AA14" i="8"/>
  <c r="AA19" i="8"/>
  <c r="AA32" i="8"/>
  <c r="AA38" i="8"/>
  <c r="AA39" i="8"/>
  <c r="AA40" i="8"/>
  <c r="AA41" i="8"/>
  <c r="AA42" i="8"/>
  <c r="AA43" i="8"/>
  <c r="AA25" i="8"/>
  <c r="AA33" i="8"/>
  <c r="AA22" i="8"/>
  <c r="AA37" i="8"/>
  <c r="AA17" i="8"/>
  <c r="AA36" i="8"/>
  <c r="AA9" i="8"/>
  <c r="AA18" i="8"/>
  <c r="AA24" i="8"/>
  <c r="AA29" i="8"/>
  <c r="AA13" i="8"/>
  <c r="AA21" i="8"/>
  <c r="AA28" i="8"/>
  <c r="AA12" i="8"/>
  <c r="AA20" i="8"/>
  <c r="AA16" i="8"/>
  <c r="AA35" i="8"/>
  <c r="AA31" i="8"/>
  <c r="AA27" i="8"/>
  <c r="AA23" i="8"/>
  <c r="AA15" i="8"/>
  <c r="AA30" i="8"/>
  <c r="AA26"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6E63FB5-BED2-4F48-BE3D-F1B5B7138D87}" keepAlive="1" name="Query - Append1" description="Connection to the 'Append1' query in the workbook." type="5" refreshedVersion="7" background="1" saveData="1">
    <dbPr connection="Provider=Microsoft.Mashup.OleDb.1;Data Source=$Workbook$;Location=Append1;Extended Properties=&quot;&quot;" command="SELECT * FROM [Append1]"/>
  </connection>
  <connection id="2" xr16:uid="{50338B3B-48B8-440F-AB40-2100942363C8}" keepAlive="1" name="Query - india staff" description="Connection to the 'india staff' query in the workbook." type="5" refreshedVersion="0" background="1">
    <dbPr connection="Provider=Microsoft.Mashup.OleDb.1;Data Source=$Workbook$;Location=&quot;india staff&quot;;Extended Properties=&quot;&quot;" command="SELECT * FROM [india staff]"/>
  </connection>
  <connection id="3" xr16:uid="{AF4C4367-035E-44E1-850B-7778B19F7849}" keepAlive="1" name="Query - Scotland_staff" description="Connection to the 'Scotland_staff' query in the workbook." type="5" refreshedVersion="0" background="1">
    <dbPr connection="Provider=Microsoft.Mashup.OleDb.1;Data Source=$Workbook$;Location=Scotland_staff;Extended Properties=&quot;&quot;" command="SELECT * FROM [Scotland_staff]"/>
  </connection>
  <connection id="4" xr16:uid="{A1B8C93A-F79D-4559-8CF0-85FB960AC1EA}" keepAlive="1" name="Query - Scotland_staff (2)" description="Connection to the 'Scotland_staff (2)' query in the workbook." type="5" refreshedVersion="7" background="1" saveData="1">
    <dbPr connection="Provider=Microsoft.Mashup.OleDb.1;Data Source=$Workbook$;Location=&quot;Scotland_staff (2)&quot;;Extended Properties=&quot;&quot;" command="SELECT * FROM [Scotland_staff (2)]"/>
  </connection>
  <connection id="5" xr16:uid="{D600CAA1-90AC-4E4E-9CFB-BA343D7D01A5}" keepAlive="1" name="Query - staff" description="Connection to the 'staff' query in the workbook." type="5" refreshedVersion="7" background="1" saveData="1">
    <dbPr connection="Provider=Microsoft.Mashup.OleDb.1;Data Source=$Workbook$;Location=staff;Extended Properties=&quot;&quot;" command="SELECT * FROM [staff]"/>
  </connection>
  <connection id="6" xr16:uid="{95811DD7-5E6E-4621-833E-0561F052CCD4}"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7" xr16:uid="{D6BB5051-5986-4022-9B8C-F52A098091D4}" name="WorksheetConnection_Employee dataset project 1 (ongoing).xlsx!staff" type="102" refreshedVersion="7" minRefreshableVersion="5">
    <extLst>
      <ext xmlns:x15="http://schemas.microsoft.com/office/spreadsheetml/2010/11/main" uri="{DE250136-89BD-433C-8126-D09CA5730AF9}">
        <x15:connection id="staff">
          <x15:rangePr sourceName="_xlcn.WorksheetConnection_Employeedatasetproject1ongoing.xlsxstaff1"/>
        </x15:connection>
      </ext>
    </extLst>
  </connection>
</connections>
</file>

<file path=xl/metadata.xml><?xml version="1.0" encoding="utf-8"?>
<metadata xmlns="http://schemas.openxmlformats.org/spreadsheetml/2006/main" xmlns:xda="http://schemas.microsoft.com/office/spreadsheetml/2017/dynamicarray">
  <metadataTypes count="2">
    <metadataType name="XLDAPR" minSupportedVersion="120000" copy="1" pasteAll="1" pasteValues="1" merge="1" splitFirst="1" rowColShift="1" clearFormats="1" clearComments="1" assign="1" coerce="1" cellMeta="1"/>
    <metadataType name="XLMDX" minSupportedVersion="120000" copy="1" pasteAll="1" pasteValues="1" merge="1" splitFirst="1" rowColShift="1" clearFormats="1" clearComments="1" assign="1" coerce="1"/>
  </metadataTypes>
  <metadataStrings count="3">
    <s v="ThisWorkbookDataModel"/>
    <s v="{[staff].[Country].&amp;[India]}"/>
    <s v="{[staff].[Country].[All]}"/>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1" v="0"/>
    </bk>
  </cellMetadata>
  <valueMetadata count="2">
    <bk>
      <rc t="2" v="0"/>
    </bk>
    <bk>
      <rc t="2" v="1"/>
    </bk>
  </valueMetadata>
</metadata>
</file>

<file path=xl/sharedStrings.xml><?xml version="1.0" encoding="utf-8"?>
<sst xmlns="http://schemas.openxmlformats.org/spreadsheetml/2006/main" count="1894" uniqueCount="242">
  <si>
    <t>Name</t>
  </si>
  <si>
    <t>Gender</t>
  </si>
  <si>
    <t>Department</t>
  </si>
  <si>
    <t>Age</t>
  </si>
  <si>
    <t>Date Joined</t>
  </si>
  <si>
    <t>Salary</t>
  </si>
  <si>
    <t>Rating</t>
  </si>
  <si>
    <t>Lindy Guillet</t>
  </si>
  <si>
    <t>Male</t>
  </si>
  <si>
    <t>Sales</t>
  </si>
  <si>
    <t>Above average</t>
  </si>
  <si>
    <t>Ambros Murthwaite</t>
  </si>
  <si>
    <t>Procurement</t>
  </si>
  <si>
    <t>Average</t>
  </si>
  <si>
    <t>Tatum Hush</t>
  </si>
  <si>
    <t>Female</t>
  </si>
  <si>
    <t>Benny Karolovsky</t>
  </si>
  <si>
    <t>Finance</t>
  </si>
  <si>
    <t>Poor</t>
  </si>
  <si>
    <t>Hoyt D'Alesco</t>
  </si>
  <si>
    <t>Halimeda Kuscha</t>
  </si>
  <si>
    <t>Erin Androsik</t>
  </si>
  <si>
    <t>Vic Radolf</t>
  </si>
  <si>
    <t>Website</t>
  </si>
  <si>
    <t>William Reeveley</t>
  </si>
  <si>
    <t>Ewart Laphorn</t>
  </si>
  <si>
    <t>HR</t>
  </si>
  <si>
    <t>Bev Lashley</t>
  </si>
  <si>
    <t>Kath Bletsoe</t>
  </si>
  <si>
    <t>Murry Dryburgh</t>
  </si>
  <si>
    <t>Kaine Padly</t>
  </si>
  <si>
    <t>Kassi Jonson</t>
  </si>
  <si>
    <t>Simon Kembery</t>
  </si>
  <si>
    <t>Orton Livick</t>
  </si>
  <si>
    <t>Kelci Walkden</t>
  </si>
  <si>
    <t>Dotty Strutley</t>
  </si>
  <si>
    <t>Shari McNee</t>
  </si>
  <si>
    <t>Oby Sorrel</t>
  </si>
  <si>
    <t>Husein Augar</t>
  </si>
  <si>
    <t>Brien Boise</t>
  </si>
  <si>
    <t>Esmaria Denecamp</t>
  </si>
  <si>
    <t>Curtice Advani</t>
  </si>
  <si>
    <t>Barr Faughny</t>
  </si>
  <si>
    <t>Exceptional</t>
  </si>
  <si>
    <t>Merrilee Plenty</t>
  </si>
  <si>
    <t>Niall Selesnick</t>
  </si>
  <si>
    <t>Beverie Moffet</t>
  </si>
  <si>
    <t>Jehu Rudeforth</t>
  </si>
  <si>
    <t>Camilla Castle</t>
  </si>
  <si>
    <t>Very poor</t>
  </si>
  <si>
    <t>Roddy Speechley</t>
  </si>
  <si>
    <t>Gray Seamon</t>
  </si>
  <si>
    <t>Madelene Upcott</t>
  </si>
  <si>
    <t>Violante Courtonne</t>
  </si>
  <si>
    <t>Bernie Gorges</t>
  </si>
  <si>
    <t>Torrance Collier</t>
  </si>
  <si>
    <t>Dyna Doucette</t>
  </si>
  <si>
    <t>Gunar Cockshoot</t>
  </si>
  <si>
    <t>Kaye Crocroft</t>
  </si>
  <si>
    <t>Allene Gobbet</t>
  </si>
  <si>
    <t>Sibyl Dunkirk</t>
  </si>
  <si>
    <t>Agnes Collicott</t>
  </si>
  <si>
    <t>Leilah Yesinin</t>
  </si>
  <si>
    <t>Mollie Hanway</t>
  </si>
  <si>
    <t>Kellsie Waby</t>
  </si>
  <si>
    <t>Hyacinthie Braybrooke</t>
  </si>
  <si>
    <t>Van Tuxwell</t>
  </si>
  <si>
    <t>Lilyan Klimpt</t>
  </si>
  <si>
    <t>Tawnya Tickel</t>
  </si>
  <si>
    <t>Jan Morforth</t>
  </si>
  <si>
    <t>Florinda Crace</t>
  </si>
  <si>
    <t>Tracy Renad</t>
  </si>
  <si>
    <t>Myer McCory</t>
  </si>
  <si>
    <t>Bennie Pepis</t>
  </si>
  <si>
    <t>Rafaelita Blaksland</t>
  </si>
  <si>
    <t>Mahalia Larcher</t>
  </si>
  <si>
    <t>Andria Kimpton</t>
  </si>
  <si>
    <t>Valentia Etteridge</t>
  </si>
  <si>
    <t>Virginia McConville</t>
  </si>
  <si>
    <t>Wilone O'Kielt</t>
  </si>
  <si>
    <t>Madge McCloughen</t>
  </si>
  <si>
    <t>Janene Hairsine</t>
  </si>
  <si>
    <t>Alta Kaszper</t>
  </si>
  <si>
    <t>Dennison Crosswaite</t>
  </si>
  <si>
    <t>Oran Buxcy</t>
  </si>
  <si>
    <t>Hinda Label</t>
  </si>
  <si>
    <t>Marney O'Breen</t>
  </si>
  <si>
    <t>Dell Molloy</t>
  </si>
  <si>
    <t>Mallorie Waber</t>
  </si>
  <si>
    <t>Cherlyn Barter</t>
  </si>
  <si>
    <t>Ches Bonnell</t>
  </si>
  <si>
    <t>Collin Jagson</t>
  </si>
  <si>
    <t>Hogan Iles</t>
  </si>
  <si>
    <t>Gretchen Callow</t>
  </si>
  <si>
    <t>Kissiah Maydway</t>
  </si>
  <si>
    <t>Archibald Filliskirk</t>
  </si>
  <si>
    <t>Enoch Dowrey</t>
  </si>
  <si>
    <t>Bili Sizey</t>
  </si>
  <si>
    <t>Caro Chappel</t>
  </si>
  <si>
    <t>Constantino Espley</t>
  </si>
  <si>
    <t>Karlen McCaffrey</t>
  </si>
  <si>
    <t>Drusy MacCombe</t>
  </si>
  <si>
    <t>My Hanscome</t>
  </si>
  <si>
    <t>Teressa Udden</t>
  </si>
  <si>
    <t>Crissie Cordel</t>
  </si>
  <si>
    <t>Elia Cockton</t>
  </si>
  <si>
    <t>Gigi Bohling</t>
  </si>
  <si>
    <t>Ebonee Roxburgh</t>
  </si>
  <si>
    <t>Shayne Stegel</t>
  </si>
  <si>
    <t>Zach Polon</t>
  </si>
  <si>
    <t>Total</t>
  </si>
  <si>
    <t>Deepali Charan</t>
  </si>
  <si>
    <t>Yagna Sujeev</t>
  </si>
  <si>
    <t>Satyendra Venkatadri</t>
  </si>
  <si>
    <t>Madhavdas Buhpathi</t>
  </si>
  <si>
    <t>Sahila Chandrasekhar</t>
  </si>
  <si>
    <t>Mirium Seemantini Shivakumar</t>
  </si>
  <si>
    <t>Purnendu Vijayarangan</t>
  </si>
  <si>
    <t>Rukma Vinita</t>
  </si>
  <si>
    <t>Yauvani Tarpa</t>
  </si>
  <si>
    <t>Damayanti Thangavadivelu</t>
  </si>
  <si>
    <t>Manjusri Ruchi</t>
  </si>
  <si>
    <t>Mithil Nadkarni</t>
  </si>
  <si>
    <t>Ardhendu Abhichandra Jayakar</t>
  </si>
  <si>
    <t>Akbar Sorabhjee</t>
  </si>
  <si>
    <t>Bandhula Sathyanna</t>
  </si>
  <si>
    <t>Daruka Ghazali</t>
  </si>
  <si>
    <t>Heer Pennathur</t>
  </si>
  <si>
    <t>Shekhar Eswara</t>
  </si>
  <si>
    <t>Udyan Lanka</t>
  </si>
  <si>
    <t>Shreela Ramasubraman</t>
  </si>
  <si>
    <t>Sanchali Shirish</t>
  </si>
  <si>
    <t>Gangadutt Ragha</t>
  </si>
  <si>
    <t>Waheeda Vasuman</t>
  </si>
  <si>
    <t>Nanak Sapna</t>
  </si>
  <si>
    <t>Shobhana Samuel</t>
  </si>
  <si>
    <t>Amlankusum Rajabhushan</t>
  </si>
  <si>
    <t>Pratigya Rema</t>
  </si>
  <si>
    <t>Ramnath Ravuri</t>
  </si>
  <si>
    <t>Prerana Nishita</t>
  </si>
  <si>
    <t>Makshi Vinutha</t>
  </si>
  <si>
    <t>Shiuli Sapna</t>
  </si>
  <si>
    <t>Agrata Rajarama</t>
  </si>
  <si>
    <t>Vasu Nandin</t>
  </si>
  <si>
    <t>Bhuvan Pals</t>
  </si>
  <si>
    <t>Gumwant Veera</t>
  </si>
  <si>
    <t>Narois Motiwala</t>
  </si>
  <si>
    <t>Anjushri Chandiramani</t>
  </si>
  <si>
    <t>Krishnakanta Vellanki</t>
  </si>
  <si>
    <t>Dhruv Manjunath</t>
  </si>
  <si>
    <t>Vanmala Shriharsha</t>
  </si>
  <si>
    <t>Sameer Shashank Sapra</t>
  </si>
  <si>
    <t>Anumati Shyamari Meherhomji</t>
  </si>
  <si>
    <t>Tarala Vishaal</t>
  </si>
  <si>
    <t>Shubhra Potla</t>
  </si>
  <si>
    <t>Hemavati Muthiah</t>
  </si>
  <si>
    <t>Krittika Gaekwad</t>
  </si>
  <si>
    <t>Shevantilal Muppala</t>
  </si>
  <si>
    <t>Shattesh Utpat</t>
  </si>
  <si>
    <t>Kamalakshi Mukundan</t>
  </si>
  <si>
    <t>Chandana Sannidhi Surnilla</t>
  </si>
  <si>
    <t>Indu Varada Sumedh</t>
  </si>
  <si>
    <t>Karuna Pashupathy</t>
  </si>
  <si>
    <t>Mardav Ramaswami</t>
  </si>
  <si>
    <t>Sarayu Ragunathan</t>
  </si>
  <si>
    <t>Kevalkumar Solanki</t>
  </si>
  <si>
    <t>Upendra Swati</t>
  </si>
  <si>
    <t>Deepit Ranjana</t>
  </si>
  <si>
    <t>Amal Nimesh</t>
  </si>
  <si>
    <t>Kunja Prashanta Vibha</t>
  </si>
  <si>
    <t>Godavari Veena</t>
  </si>
  <si>
    <t>Devasree Fullara Saurin</t>
  </si>
  <si>
    <t>Geena Raghavanpillai</t>
  </si>
  <si>
    <t>Rupak Mehra</t>
  </si>
  <si>
    <t>Sawini Chandan</t>
  </si>
  <si>
    <t>Baruna Ogale</t>
  </si>
  <si>
    <t>Jagajeet Viraj</t>
  </si>
  <si>
    <t>Kulbhushan Moorthy</t>
  </si>
  <si>
    <t>Ilesh Dasgupta</t>
  </si>
  <si>
    <t>Madhumati Gazala Soumitra</t>
  </si>
  <si>
    <t>Chitrasen Laul</t>
  </si>
  <si>
    <t>Jaishree Atasi Yavatkar</t>
  </si>
  <si>
    <t>Kantimoy Pritish</t>
  </si>
  <si>
    <t>Rameshwari Chikodi</t>
  </si>
  <si>
    <t>Lalit Kothari</t>
  </si>
  <si>
    <t>Sahas Sanabhi Shrikant</t>
  </si>
  <si>
    <t>Kaishori Harathi Kateel</t>
  </si>
  <si>
    <t>Rushil Kripa</t>
  </si>
  <si>
    <t>Sarojini Naueshwara</t>
  </si>
  <si>
    <t>Sartaj Probal</t>
  </si>
  <si>
    <t>Mahindra Sreedharan</t>
  </si>
  <si>
    <t>Suchira Bhanupriya Tapti</t>
  </si>
  <si>
    <t>Fullara Sushanti Mokate</t>
  </si>
  <si>
    <t>Hridaynath Tendulkar</t>
  </si>
  <si>
    <t>Abhaya Priyavardhan</t>
  </si>
  <si>
    <t>Ayog Chakrabarti</t>
  </si>
  <si>
    <t>Pragya Nilufar</t>
  </si>
  <si>
    <t>Shulabh Qutub Sundaramoorthy</t>
  </si>
  <si>
    <t>Vinanti Choudhari</t>
  </si>
  <si>
    <t>Ranajay Kailashnath Richa</t>
  </si>
  <si>
    <t>Asija Pothireddy</t>
  </si>
  <si>
    <t>Piyali Mahanthapa</t>
  </si>
  <si>
    <t>Sukhdev Nageshwar</t>
  </si>
  <si>
    <t>Country</t>
  </si>
  <si>
    <t>Tenure</t>
  </si>
  <si>
    <t>Bonus</t>
  </si>
  <si>
    <t>Rating number</t>
  </si>
  <si>
    <t>Quick Analysis</t>
  </si>
  <si>
    <t>count of employees</t>
  </si>
  <si>
    <t>Average Salary</t>
  </si>
  <si>
    <t>Average Age</t>
  </si>
  <si>
    <t>others</t>
  </si>
  <si>
    <t>Average Tenure</t>
  </si>
  <si>
    <t>Female Ratio %</t>
  </si>
  <si>
    <t>Female count</t>
  </si>
  <si>
    <t>Ration of employees earning 90,000$  &gt;</t>
  </si>
  <si>
    <t>count of employees earning 90,000&amp; &gt;</t>
  </si>
  <si>
    <t>Information Finder</t>
  </si>
  <si>
    <t>Enter Name :</t>
  </si>
  <si>
    <t>Date of join</t>
  </si>
  <si>
    <t>India</t>
  </si>
  <si>
    <t>Average of Salary</t>
  </si>
  <si>
    <t>Grand Total</t>
  </si>
  <si>
    <t xml:space="preserve">&lt;--- Type department name here </t>
  </si>
  <si>
    <t xml:space="preserve">&lt;--- Type Rating here </t>
  </si>
  <si>
    <t>Tenure less than</t>
  </si>
  <si>
    <t>&lt;----Type the number here</t>
  </si>
  <si>
    <t>No of people</t>
  </si>
  <si>
    <t>Date of joining</t>
  </si>
  <si>
    <t>Values</t>
  </si>
  <si>
    <t>Count of Gender</t>
  </si>
  <si>
    <t>Average of Age</t>
  </si>
  <si>
    <t>Average of Tenure</t>
  </si>
  <si>
    <t>Count of Name</t>
  </si>
  <si>
    <t xml:space="preserve">Month </t>
  </si>
  <si>
    <t xml:space="preserve">Head Count </t>
  </si>
  <si>
    <t>Running Total</t>
  </si>
  <si>
    <t>Row Labels</t>
  </si>
  <si>
    <t>Headcount by Department</t>
  </si>
  <si>
    <t>INDIA</t>
  </si>
  <si>
    <t>UK</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</si>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</sst>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quot;₹&quot;\ #,##0.00"/>
    <numFmt numFmtId="165" formatCode="[$-14009]dd\ mmmm\ yyyy;@"/>
    <numFmt numFmtId="166" formatCode="0.0"/>
    <numFmt numFmtId="167" formatCode="_-[$$-409]* #,##0.00_ ;_-[$$-409]* \-#,##0.00\ ;_-[$$-409]* &quot;-&quot;??_ ;_-@_ "/>
  </numFmts>
  <fonts count="9" x14ac:knownFonts="1">
    <font>
      <sz val="11"/>
      <color theme="1"/>
      <name val="Calibri"/>
      <family val="2"/>
      <scheme val="minor"/>
    </font>
    <font>
      <b/>
      <sz val="18"/>
      <color theme="1"/>
      <name val="Calibri"/>
      <family val="2"/>
      <scheme val="minor"/>
    </font>
    <font>
      <sz val="20"/>
      <color theme="1"/>
      <name val="Calibri"/>
      <family val="2"/>
      <scheme val="minor"/>
    </font>
    <font>
      <b/>
      <sz val="11"/>
      <color theme="1"/>
      <name val="Calibri"/>
      <family val="2"/>
      <scheme val="minor"/>
    </font>
    <font>
      <sz val="48"/>
      <color theme="0"/>
      <name val="Calibri"/>
      <family val="2"/>
      <scheme val="minor"/>
    </font>
    <font>
      <sz val="26"/>
      <color theme="0"/>
      <name val="Calibri"/>
      <family val="2"/>
      <scheme val="minor"/>
    </font>
    <font>
      <sz val="22"/>
      <color theme="1"/>
      <name val="Calibri"/>
      <family val="2"/>
      <scheme val="minor"/>
    </font>
    <font>
      <sz val="18"/>
      <color theme="1"/>
      <name val="Calibri"/>
      <family val="2"/>
      <scheme val="minor"/>
    </font>
    <font>
      <sz val="28"/>
      <color theme="1"/>
      <name val="Calibri"/>
      <family val="2"/>
      <scheme val="minor"/>
    </font>
  </fonts>
  <fills count="10">
    <fill>
      <patternFill patternType="none"/>
    </fill>
    <fill>
      <patternFill patternType="gray125"/>
    </fill>
    <fill>
      <patternFill patternType="solid">
        <fgColor theme="5" tint="0.39997558519241921"/>
        <bgColor indexed="64"/>
      </patternFill>
    </fill>
    <fill>
      <patternFill patternType="solid">
        <fgColor rgb="FFFFC000"/>
        <bgColor indexed="64"/>
      </patternFill>
    </fill>
    <fill>
      <patternFill patternType="solid">
        <fgColor theme="8" tint="0.39997558519241921"/>
        <bgColor indexed="64"/>
      </patternFill>
    </fill>
    <fill>
      <patternFill patternType="solid">
        <fgColor theme="0"/>
        <bgColor indexed="64"/>
      </patternFill>
    </fill>
    <fill>
      <patternFill patternType="solid">
        <fgColor theme="8" tint="-0.249977111117893"/>
        <bgColor indexed="64"/>
      </patternFill>
    </fill>
    <fill>
      <patternFill patternType="solid">
        <fgColor theme="1" tint="0.34998626667073579"/>
        <bgColor indexed="64"/>
      </patternFill>
    </fill>
    <fill>
      <patternFill patternType="solid">
        <fgColor theme="5" tint="0.79998168889431442"/>
        <bgColor indexed="64"/>
      </patternFill>
    </fill>
    <fill>
      <patternFill patternType="solid">
        <fgColor theme="9" tint="0.79998168889431442"/>
        <bgColor theme="9" tint="0.79998168889431442"/>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9">
    <xf numFmtId="0" fontId="0" fillId="0" borderId="0" xfId="0"/>
    <xf numFmtId="15" fontId="0" fillId="0" borderId="0" xfId="0" applyNumberFormat="1"/>
    <xf numFmtId="14" fontId="0" fillId="0" borderId="0" xfId="0" applyNumberFormat="1"/>
    <xf numFmtId="8" fontId="0" fillId="0" borderId="0" xfId="0" applyNumberFormat="1"/>
    <xf numFmtId="2" fontId="0" fillId="0" borderId="0" xfId="0" applyNumberFormat="1"/>
    <xf numFmtId="9" fontId="0" fillId="0" borderId="0" xfId="0" applyNumberFormat="1"/>
    <xf numFmtId="0" fontId="1" fillId="2" borderId="2" xfId="0" applyFont="1" applyFill="1" applyBorder="1" applyAlignment="1">
      <alignment horizontal="center"/>
    </xf>
    <xf numFmtId="0" fontId="2" fillId="2" borderId="2" xfId="0" applyFont="1" applyFill="1" applyBorder="1" applyAlignment="1">
      <alignment horizontal="center"/>
    </xf>
    <xf numFmtId="0" fontId="0" fillId="0" borderId="3" xfId="0" applyBorder="1"/>
    <xf numFmtId="0" fontId="0" fillId="0" borderId="3" xfId="0" applyBorder="1" applyAlignment="1">
      <alignment horizontal="center"/>
    </xf>
    <xf numFmtId="15" fontId="0" fillId="0" borderId="3" xfId="0" applyNumberFormat="1" applyBorder="1" applyAlignment="1">
      <alignment horizontal="center"/>
    </xf>
    <xf numFmtId="2" fontId="0" fillId="0" borderId="3" xfId="0" applyNumberFormat="1" applyBorder="1" applyAlignment="1">
      <alignment horizontal="center"/>
    </xf>
    <xf numFmtId="164" fontId="0" fillId="0" borderId="0" xfId="0" applyNumberFormat="1"/>
    <xf numFmtId="165" fontId="0" fillId="0" borderId="0" xfId="0" applyNumberFormat="1"/>
    <xf numFmtId="0" fontId="2" fillId="3" borderId="4" xfId="0" applyFont="1" applyFill="1" applyBorder="1"/>
    <xf numFmtId="0" fontId="3" fillId="0" borderId="4" xfId="0" applyFont="1" applyBorder="1"/>
    <xf numFmtId="0" fontId="3" fillId="0" borderId="0" xfId="0" applyFont="1"/>
    <xf numFmtId="0" fontId="2" fillId="4" borderId="4" xfId="0" applyFont="1" applyFill="1" applyBorder="1"/>
    <xf numFmtId="0" fontId="0" fillId="0" borderId="0" xfId="0" pivotButton="1"/>
    <xf numFmtId="166" fontId="0" fillId="0" borderId="0" xfId="0" applyNumberFormat="1"/>
    <xf numFmtId="167" fontId="0" fillId="0" borderId="0" xfId="0" applyNumberFormat="1"/>
    <xf numFmtId="0" fontId="0" fillId="0" borderId="4" xfId="0" applyBorder="1"/>
    <xf numFmtId="0" fontId="2" fillId="5" borderId="0" xfId="0" applyFont="1" applyFill="1"/>
    <xf numFmtId="0" fontId="2" fillId="3" borderId="5" xfId="0" applyFont="1" applyFill="1" applyBorder="1"/>
    <xf numFmtId="0" fontId="2" fillId="5" borderId="6" xfId="0" applyFont="1" applyFill="1" applyBorder="1"/>
    <xf numFmtId="0" fontId="0" fillId="0" borderId="0" xfId="0" applyNumberFormat="1"/>
    <xf numFmtId="0" fontId="0" fillId="5" borderId="0" xfId="0" applyFill="1"/>
    <xf numFmtId="0" fontId="6" fillId="5" borderId="0" xfId="0" applyFont="1" applyFill="1" applyAlignment="1">
      <alignment horizontal="center" vertical="center"/>
    </xf>
    <xf numFmtId="0" fontId="4" fillId="6" borderId="0" xfId="0" applyFont="1" applyFill="1" applyBorder="1" applyAlignment="1">
      <alignment horizontal="center" vertical="center"/>
    </xf>
    <xf numFmtId="9" fontId="4" fillId="6" borderId="0" xfId="0" applyNumberFormat="1" applyFont="1" applyFill="1" applyBorder="1" applyAlignment="1">
      <alignment horizontal="center" vertical="center"/>
    </xf>
    <xf numFmtId="8" fontId="5" fillId="6" borderId="0" xfId="0" applyNumberFormat="1" applyFont="1" applyFill="1" applyBorder="1" applyAlignment="1">
      <alignment horizontal="center" vertical="center"/>
    </xf>
    <xf numFmtId="0" fontId="4" fillId="7" borderId="0" xfId="0" applyFont="1" applyFill="1" applyBorder="1" applyAlignment="1">
      <alignment horizontal="center" vertical="center"/>
    </xf>
    <xf numFmtId="9" fontId="4" fillId="7" borderId="0" xfId="0" applyNumberFormat="1" applyFont="1" applyFill="1" applyBorder="1" applyAlignment="1">
      <alignment horizontal="center" vertical="center"/>
    </xf>
    <xf numFmtId="8" fontId="5" fillId="7" borderId="0" xfId="0" applyNumberFormat="1" applyFont="1" applyFill="1" applyBorder="1" applyAlignment="1">
      <alignment horizontal="center" vertical="center"/>
    </xf>
    <xf numFmtId="0" fontId="0" fillId="0" borderId="0" xfId="0" applyAlignment="1">
      <alignment horizontal="left"/>
    </xf>
    <xf numFmtId="0" fontId="7" fillId="8" borderId="0" xfId="0" applyFont="1" applyFill="1" applyAlignment="1">
      <alignment horizontal="center"/>
    </xf>
    <xf numFmtId="0" fontId="8" fillId="0" borderId="0" xfId="0" applyFont="1" applyAlignment="1">
      <alignment horizontal="center"/>
    </xf>
    <xf numFmtId="0" fontId="8" fillId="0" borderId="0" xfId="0" applyFont="1" applyAlignment="1">
      <alignment horizontal="center" vertical="center"/>
    </xf>
    <xf numFmtId="0" fontId="0" fillId="9" borderId="1" xfId="0" applyFont="1" applyFill="1" applyBorder="1"/>
  </cellXfs>
  <cellStyles count="1">
    <cellStyle name="Normal" xfId="0" builtinId="0"/>
  </cellStyles>
  <dxfs count="153">
    <dxf>
      <numFmt numFmtId="166" formatCode="0.0"/>
    </dxf>
    <dxf>
      <numFmt numFmtId="166" formatCode="0.0"/>
    </dxf>
    <dxf>
      <numFmt numFmtId="166" formatCode="0.0"/>
    </dxf>
    <dxf>
      <numFmt numFmtId="166" formatCode="0.0"/>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6" formatCode="0.0"/>
    </dxf>
    <dxf>
      <numFmt numFmtId="166" formatCode="0.0"/>
    </dxf>
    <dxf>
      <numFmt numFmtId="166" formatCode="0.0"/>
    </dxf>
    <dxf>
      <numFmt numFmtId="166" formatCode="0.0"/>
    </dxf>
    <dxf>
      <numFmt numFmtId="167" formatCode="_-[$$-409]* #,##0.00_ ;_-[$$-409]* \-#,##0.00\ ;_-[$$-409]* &quot;-&quot;??_ ;_-@_ "/>
    </dxf>
    <dxf>
      <numFmt numFmtId="166" formatCode="0.0"/>
    </dxf>
    <dxf>
      <numFmt numFmtId="166" formatCode="0.0"/>
    </dxf>
    <dxf>
      <numFmt numFmtId="166" formatCode="0.0"/>
    </dxf>
    <dxf>
      <numFmt numFmtId="166" formatCode="0.0"/>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6" formatCode="0.0"/>
    </dxf>
    <dxf>
      <numFmt numFmtId="166" formatCode="0.0"/>
    </dxf>
    <dxf>
      <numFmt numFmtId="166" formatCode="0.0"/>
    </dxf>
    <dxf>
      <numFmt numFmtId="166" formatCode="0.0"/>
    </dxf>
    <dxf>
      <numFmt numFmtId="0" formatCode="General"/>
    </dxf>
    <dxf>
      <numFmt numFmtId="167" formatCode="_-[$$-409]* #,##0.00_ ;_-[$$-409]* \-#,##0.00\ ;_-[$$-409]* &quot;-&quot;??_ ;_-@_ "/>
    </dxf>
    <dxf>
      <numFmt numFmtId="2" formatCode="0.00"/>
    </dxf>
    <dxf>
      <numFmt numFmtId="0" formatCode="General"/>
    </dxf>
    <dxf>
      <numFmt numFmtId="12" formatCode="&quot;$&quot;#,##0.00_);[Red]\(&quot;$&quot;#,##0.00\)"/>
    </dxf>
    <dxf>
      <numFmt numFmtId="19" formatCode="m/d/yyyy"/>
    </dxf>
    <dxf>
      <numFmt numFmtId="166" formatCode="0.0"/>
    </dxf>
    <dxf>
      <numFmt numFmtId="166" formatCode="0.0"/>
    </dxf>
    <dxf>
      <numFmt numFmtId="166" formatCode="0.0"/>
    </dxf>
    <dxf>
      <numFmt numFmtId="166" formatCode="0.0"/>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6" formatCode="0.0"/>
    </dxf>
    <dxf>
      <numFmt numFmtId="166" formatCode="0.0"/>
    </dxf>
    <dxf>
      <numFmt numFmtId="166" formatCode="0.0"/>
    </dxf>
    <dxf>
      <numFmt numFmtId="166" formatCode="0.0"/>
    </dxf>
    <dxf>
      <numFmt numFmtId="167" formatCode="_-[$$-409]* #,##0.00_ ;_-[$$-409]* \-#,##0.00\ ;_-[$$-409]* &quot;-&quot;??_ ;_-@_ "/>
    </dxf>
    <dxf>
      <numFmt numFmtId="20" formatCode="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sharedStrings" Target="sharedStrings.xml"/><Relationship Id="rId26" Type="http://schemas.openxmlformats.org/officeDocument/2006/relationships/customXml" Target="../customXml/item5.xml"/><Relationship Id="rId3" Type="http://schemas.openxmlformats.org/officeDocument/2006/relationships/worksheet" Target="worksheets/sheet3.xml"/><Relationship Id="rId21" Type="http://schemas.openxmlformats.org/officeDocument/2006/relationships/calcChain" Target="calcChain.xml"/><Relationship Id="rId34" Type="http://schemas.openxmlformats.org/officeDocument/2006/relationships/customXml" Target="../customXml/item1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tyles" Target="styles.xml"/><Relationship Id="rId25" Type="http://schemas.openxmlformats.org/officeDocument/2006/relationships/customXml" Target="../customXml/item4.xml"/><Relationship Id="rId33" Type="http://schemas.openxmlformats.org/officeDocument/2006/relationships/customXml" Target="../customXml/item12.xml"/><Relationship Id="rId38" Type="http://schemas.openxmlformats.org/officeDocument/2006/relationships/customXml" Target="../customXml/item17.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powerPivotData" Target="model/item.data"/><Relationship Id="rId29" Type="http://schemas.openxmlformats.org/officeDocument/2006/relationships/customXml" Target="../customXml/item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customXml" Target="../customXml/item3.xml"/><Relationship Id="rId32" Type="http://schemas.openxmlformats.org/officeDocument/2006/relationships/customXml" Target="../customXml/item11.xml"/><Relationship Id="rId37" Type="http://schemas.openxmlformats.org/officeDocument/2006/relationships/customXml" Target="../customXml/item16.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2.xml"/><Relationship Id="rId28" Type="http://schemas.openxmlformats.org/officeDocument/2006/relationships/customXml" Target="../customXml/item7.xml"/><Relationship Id="rId36" Type="http://schemas.openxmlformats.org/officeDocument/2006/relationships/customXml" Target="../customXml/item15.xml"/><Relationship Id="rId10" Type="http://schemas.openxmlformats.org/officeDocument/2006/relationships/worksheet" Target="worksheets/sheet10.xml"/><Relationship Id="rId19" Type="http://schemas.openxmlformats.org/officeDocument/2006/relationships/sheetMetadata" Target="metadata.xml"/><Relationship Id="rId31" Type="http://schemas.openxmlformats.org/officeDocument/2006/relationships/customXml" Target="../customXml/item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customXml" Target="../customXml/item1.xml"/><Relationship Id="rId27" Type="http://schemas.openxmlformats.org/officeDocument/2006/relationships/customXml" Target="../customXml/item6.xml"/><Relationship Id="rId30" Type="http://schemas.openxmlformats.org/officeDocument/2006/relationships/customXml" Target="../customXml/item9.xml"/><Relationship Id="rId35" Type="http://schemas.openxmlformats.org/officeDocument/2006/relationships/customXml" Target="../customXml/item14.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 vs 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'All staff'!$K$1</c:f>
              <c:strCache>
                <c:ptCount val="1"/>
                <c:pt idx="0">
                  <c:v>Rating number</c:v>
                </c:pt>
              </c:strCache>
            </c:strRef>
          </c:tx>
          <c:spPr>
            <a:ln w="25400" cap="rnd">
              <a:noFill/>
              <a:round/>
            </a:ln>
            <a:effectLst/>
          </c:spPr>
          <c:marker>
            <c:symbol val="circle"/>
            <c:size val="5"/>
            <c:spPr>
              <a:solidFill>
                <a:schemeClr val="accent1"/>
              </a:solidFill>
              <a:ln w="9525">
                <a:solidFill>
                  <a:schemeClr val="accent1"/>
                </a:solidFill>
              </a:ln>
              <a:effectLst/>
            </c:spPr>
          </c:marker>
          <c:xVal>
            <c:numRef>
              <c:f>'All staff'!$F$2:$F$185</c:f>
              <c:numCache>
                <c:formatCode>"$"#,##0.00_);[Red]\("$"#,##0.00\)</c:formatCode>
                <c:ptCount val="184"/>
                <c:pt idx="0">
                  <c:v>112780</c:v>
                </c:pt>
                <c:pt idx="1">
                  <c:v>70610</c:v>
                </c:pt>
                <c:pt idx="2">
                  <c:v>53240</c:v>
                </c:pt>
                <c:pt idx="3">
                  <c:v>115440</c:v>
                </c:pt>
                <c:pt idx="4">
                  <c:v>53540</c:v>
                </c:pt>
                <c:pt idx="5">
                  <c:v>112570</c:v>
                </c:pt>
                <c:pt idx="6">
                  <c:v>48530</c:v>
                </c:pt>
                <c:pt idx="7">
                  <c:v>62780</c:v>
                </c:pt>
                <c:pt idx="8">
                  <c:v>53870</c:v>
                </c:pt>
                <c:pt idx="9">
                  <c:v>119110</c:v>
                </c:pt>
                <c:pt idx="10">
                  <c:v>112110</c:v>
                </c:pt>
                <c:pt idx="11">
                  <c:v>65700</c:v>
                </c:pt>
                <c:pt idx="12">
                  <c:v>69070</c:v>
                </c:pt>
                <c:pt idx="13">
                  <c:v>107700</c:v>
                </c:pt>
                <c:pt idx="14">
                  <c:v>43840</c:v>
                </c:pt>
                <c:pt idx="15">
                  <c:v>99750</c:v>
                </c:pt>
                <c:pt idx="16">
                  <c:v>37920</c:v>
                </c:pt>
                <c:pt idx="17">
                  <c:v>57090</c:v>
                </c:pt>
                <c:pt idx="18">
                  <c:v>41980</c:v>
                </c:pt>
                <c:pt idx="19">
                  <c:v>75880</c:v>
                </c:pt>
                <c:pt idx="20">
                  <c:v>58940</c:v>
                </c:pt>
                <c:pt idx="21">
                  <c:v>67910</c:v>
                </c:pt>
                <c:pt idx="22">
                  <c:v>58100</c:v>
                </c:pt>
                <c:pt idx="23">
                  <c:v>48980</c:v>
                </c:pt>
                <c:pt idx="24">
                  <c:v>64000</c:v>
                </c:pt>
                <c:pt idx="25">
                  <c:v>75000</c:v>
                </c:pt>
                <c:pt idx="26">
                  <c:v>87620</c:v>
                </c:pt>
                <c:pt idx="27">
                  <c:v>34980</c:v>
                </c:pt>
                <c:pt idx="28">
                  <c:v>75970</c:v>
                </c:pt>
                <c:pt idx="29">
                  <c:v>60130</c:v>
                </c:pt>
                <c:pt idx="30">
                  <c:v>75480</c:v>
                </c:pt>
                <c:pt idx="31">
                  <c:v>115920</c:v>
                </c:pt>
                <c:pt idx="32">
                  <c:v>78540</c:v>
                </c:pt>
                <c:pt idx="33">
                  <c:v>109190</c:v>
                </c:pt>
                <c:pt idx="34">
                  <c:v>49630</c:v>
                </c:pt>
                <c:pt idx="35">
                  <c:v>99970</c:v>
                </c:pt>
                <c:pt idx="36">
                  <c:v>96140</c:v>
                </c:pt>
                <c:pt idx="37">
                  <c:v>103550</c:v>
                </c:pt>
                <c:pt idx="38">
                  <c:v>48950</c:v>
                </c:pt>
                <c:pt idx="39">
                  <c:v>52610</c:v>
                </c:pt>
                <c:pt idx="40">
                  <c:v>78390</c:v>
                </c:pt>
                <c:pt idx="41">
                  <c:v>86570</c:v>
                </c:pt>
                <c:pt idx="42">
                  <c:v>83750</c:v>
                </c:pt>
                <c:pt idx="43">
                  <c:v>92450</c:v>
                </c:pt>
                <c:pt idx="44">
                  <c:v>112650</c:v>
                </c:pt>
                <c:pt idx="45">
                  <c:v>79570</c:v>
                </c:pt>
                <c:pt idx="46">
                  <c:v>68900</c:v>
                </c:pt>
                <c:pt idx="47">
                  <c:v>80700</c:v>
                </c:pt>
                <c:pt idx="48">
                  <c:v>58960</c:v>
                </c:pt>
                <c:pt idx="49">
                  <c:v>118840</c:v>
                </c:pt>
                <c:pt idx="50">
                  <c:v>48170</c:v>
                </c:pt>
                <c:pt idx="51">
                  <c:v>45510</c:v>
                </c:pt>
                <c:pt idx="52">
                  <c:v>114890</c:v>
                </c:pt>
                <c:pt idx="53">
                  <c:v>69710</c:v>
                </c:pt>
                <c:pt idx="54">
                  <c:v>71380</c:v>
                </c:pt>
                <c:pt idx="55">
                  <c:v>109160</c:v>
                </c:pt>
                <c:pt idx="56">
                  <c:v>113280</c:v>
                </c:pt>
                <c:pt idx="57">
                  <c:v>69120</c:v>
                </c:pt>
                <c:pt idx="58">
                  <c:v>118100</c:v>
                </c:pt>
                <c:pt idx="59">
                  <c:v>76900</c:v>
                </c:pt>
                <c:pt idx="60">
                  <c:v>114870</c:v>
                </c:pt>
                <c:pt idx="61">
                  <c:v>91310</c:v>
                </c:pt>
                <c:pt idx="62">
                  <c:v>104770</c:v>
                </c:pt>
                <c:pt idx="63">
                  <c:v>54970</c:v>
                </c:pt>
                <c:pt idx="64">
                  <c:v>90700</c:v>
                </c:pt>
                <c:pt idx="65">
                  <c:v>56870</c:v>
                </c:pt>
                <c:pt idx="66">
                  <c:v>92700</c:v>
                </c:pt>
                <c:pt idx="67">
                  <c:v>65920</c:v>
                </c:pt>
                <c:pt idx="68">
                  <c:v>47360</c:v>
                </c:pt>
                <c:pt idx="69">
                  <c:v>60570</c:v>
                </c:pt>
                <c:pt idx="70">
                  <c:v>104120</c:v>
                </c:pt>
                <c:pt idx="71">
                  <c:v>88050</c:v>
                </c:pt>
                <c:pt idx="72">
                  <c:v>100420</c:v>
                </c:pt>
                <c:pt idx="73">
                  <c:v>114180</c:v>
                </c:pt>
                <c:pt idx="74">
                  <c:v>33920</c:v>
                </c:pt>
                <c:pt idx="75">
                  <c:v>106460</c:v>
                </c:pt>
                <c:pt idx="76">
                  <c:v>40400</c:v>
                </c:pt>
                <c:pt idx="77">
                  <c:v>91650</c:v>
                </c:pt>
                <c:pt idx="78">
                  <c:v>36040</c:v>
                </c:pt>
                <c:pt idx="79">
                  <c:v>104410</c:v>
                </c:pt>
                <c:pt idx="80">
                  <c:v>96800</c:v>
                </c:pt>
                <c:pt idx="81">
                  <c:v>85000</c:v>
                </c:pt>
                <c:pt idx="82">
                  <c:v>43510</c:v>
                </c:pt>
                <c:pt idx="83">
                  <c:v>59430</c:v>
                </c:pt>
                <c:pt idx="84">
                  <c:v>65360</c:v>
                </c:pt>
                <c:pt idx="85">
                  <c:v>41570</c:v>
                </c:pt>
                <c:pt idx="86">
                  <c:v>75280</c:v>
                </c:pt>
                <c:pt idx="87">
                  <c:v>74550</c:v>
                </c:pt>
                <c:pt idx="88">
                  <c:v>67950</c:v>
                </c:pt>
                <c:pt idx="89">
                  <c:v>70270</c:v>
                </c:pt>
                <c:pt idx="90">
                  <c:v>53540</c:v>
                </c:pt>
                <c:pt idx="91">
                  <c:v>112650</c:v>
                </c:pt>
                <c:pt idx="92">
                  <c:v>43840</c:v>
                </c:pt>
                <c:pt idx="93">
                  <c:v>103550</c:v>
                </c:pt>
                <c:pt idx="94">
                  <c:v>45510</c:v>
                </c:pt>
                <c:pt idx="95">
                  <c:v>115440</c:v>
                </c:pt>
                <c:pt idx="96">
                  <c:v>56870</c:v>
                </c:pt>
                <c:pt idx="97">
                  <c:v>92700</c:v>
                </c:pt>
                <c:pt idx="98">
                  <c:v>91310</c:v>
                </c:pt>
                <c:pt idx="99">
                  <c:v>74550</c:v>
                </c:pt>
                <c:pt idx="100">
                  <c:v>109190</c:v>
                </c:pt>
                <c:pt idx="101">
                  <c:v>104410</c:v>
                </c:pt>
                <c:pt idx="102">
                  <c:v>96800</c:v>
                </c:pt>
                <c:pt idx="103">
                  <c:v>48170</c:v>
                </c:pt>
                <c:pt idx="104">
                  <c:v>37920</c:v>
                </c:pt>
                <c:pt idx="105">
                  <c:v>112650</c:v>
                </c:pt>
                <c:pt idx="106">
                  <c:v>49630</c:v>
                </c:pt>
                <c:pt idx="107">
                  <c:v>118840</c:v>
                </c:pt>
                <c:pt idx="108">
                  <c:v>69710</c:v>
                </c:pt>
                <c:pt idx="109">
                  <c:v>79570</c:v>
                </c:pt>
                <c:pt idx="110">
                  <c:v>76900</c:v>
                </c:pt>
                <c:pt idx="111">
                  <c:v>54970</c:v>
                </c:pt>
                <c:pt idx="112">
                  <c:v>88050</c:v>
                </c:pt>
                <c:pt idx="113">
                  <c:v>36040</c:v>
                </c:pt>
                <c:pt idx="114">
                  <c:v>75000</c:v>
                </c:pt>
                <c:pt idx="115">
                  <c:v>40400</c:v>
                </c:pt>
                <c:pt idx="116">
                  <c:v>100420</c:v>
                </c:pt>
                <c:pt idx="117">
                  <c:v>58100</c:v>
                </c:pt>
                <c:pt idx="118">
                  <c:v>114870</c:v>
                </c:pt>
                <c:pt idx="119">
                  <c:v>41570</c:v>
                </c:pt>
                <c:pt idx="120">
                  <c:v>112570</c:v>
                </c:pt>
                <c:pt idx="121">
                  <c:v>47360</c:v>
                </c:pt>
                <c:pt idx="122">
                  <c:v>65920</c:v>
                </c:pt>
                <c:pt idx="123">
                  <c:v>99970</c:v>
                </c:pt>
                <c:pt idx="124">
                  <c:v>80700</c:v>
                </c:pt>
                <c:pt idx="125">
                  <c:v>52610</c:v>
                </c:pt>
                <c:pt idx="126">
                  <c:v>112110</c:v>
                </c:pt>
                <c:pt idx="127">
                  <c:v>119110</c:v>
                </c:pt>
                <c:pt idx="128">
                  <c:v>112780</c:v>
                </c:pt>
                <c:pt idx="129">
                  <c:v>114890</c:v>
                </c:pt>
                <c:pt idx="130">
                  <c:v>48980</c:v>
                </c:pt>
                <c:pt idx="131">
                  <c:v>75880</c:v>
                </c:pt>
                <c:pt idx="132">
                  <c:v>53240</c:v>
                </c:pt>
                <c:pt idx="133">
                  <c:v>85000</c:v>
                </c:pt>
                <c:pt idx="134">
                  <c:v>33920</c:v>
                </c:pt>
                <c:pt idx="135">
                  <c:v>75280</c:v>
                </c:pt>
                <c:pt idx="136">
                  <c:v>58940</c:v>
                </c:pt>
                <c:pt idx="137">
                  <c:v>104770</c:v>
                </c:pt>
                <c:pt idx="138">
                  <c:v>57090</c:v>
                </c:pt>
                <c:pt idx="139">
                  <c:v>91650</c:v>
                </c:pt>
                <c:pt idx="140">
                  <c:v>70270</c:v>
                </c:pt>
                <c:pt idx="141">
                  <c:v>75970</c:v>
                </c:pt>
                <c:pt idx="142">
                  <c:v>90700</c:v>
                </c:pt>
                <c:pt idx="143">
                  <c:v>60570</c:v>
                </c:pt>
                <c:pt idx="144">
                  <c:v>115920</c:v>
                </c:pt>
                <c:pt idx="145">
                  <c:v>65360</c:v>
                </c:pt>
                <c:pt idx="146">
                  <c:v>64000</c:v>
                </c:pt>
                <c:pt idx="147">
                  <c:v>92450</c:v>
                </c:pt>
                <c:pt idx="148">
                  <c:v>48950</c:v>
                </c:pt>
                <c:pt idx="149">
                  <c:v>83750</c:v>
                </c:pt>
                <c:pt idx="150">
                  <c:v>87620</c:v>
                </c:pt>
                <c:pt idx="151">
                  <c:v>68900</c:v>
                </c:pt>
                <c:pt idx="152">
                  <c:v>53540</c:v>
                </c:pt>
                <c:pt idx="153">
                  <c:v>43510</c:v>
                </c:pt>
                <c:pt idx="154">
                  <c:v>109160</c:v>
                </c:pt>
                <c:pt idx="155">
                  <c:v>99750</c:v>
                </c:pt>
                <c:pt idx="156">
                  <c:v>41980</c:v>
                </c:pt>
                <c:pt idx="157">
                  <c:v>71380</c:v>
                </c:pt>
                <c:pt idx="158">
                  <c:v>113280</c:v>
                </c:pt>
                <c:pt idx="159">
                  <c:v>86570</c:v>
                </c:pt>
                <c:pt idx="160">
                  <c:v>53540</c:v>
                </c:pt>
                <c:pt idx="161">
                  <c:v>69070</c:v>
                </c:pt>
                <c:pt idx="162">
                  <c:v>67910</c:v>
                </c:pt>
                <c:pt idx="163">
                  <c:v>69120</c:v>
                </c:pt>
                <c:pt idx="164">
                  <c:v>60130</c:v>
                </c:pt>
                <c:pt idx="165">
                  <c:v>106460</c:v>
                </c:pt>
                <c:pt idx="166">
                  <c:v>118100</c:v>
                </c:pt>
                <c:pt idx="167">
                  <c:v>78390</c:v>
                </c:pt>
                <c:pt idx="168">
                  <c:v>114180</c:v>
                </c:pt>
                <c:pt idx="169">
                  <c:v>104120</c:v>
                </c:pt>
                <c:pt idx="170">
                  <c:v>67950</c:v>
                </c:pt>
                <c:pt idx="171">
                  <c:v>34980</c:v>
                </c:pt>
                <c:pt idx="172">
                  <c:v>62780</c:v>
                </c:pt>
                <c:pt idx="173">
                  <c:v>107700</c:v>
                </c:pt>
                <c:pt idx="174">
                  <c:v>65700</c:v>
                </c:pt>
                <c:pt idx="175">
                  <c:v>75480</c:v>
                </c:pt>
                <c:pt idx="176">
                  <c:v>53870</c:v>
                </c:pt>
                <c:pt idx="177">
                  <c:v>78540</c:v>
                </c:pt>
                <c:pt idx="178">
                  <c:v>58960</c:v>
                </c:pt>
                <c:pt idx="179">
                  <c:v>70610</c:v>
                </c:pt>
                <c:pt idx="180">
                  <c:v>59430</c:v>
                </c:pt>
                <c:pt idx="181">
                  <c:v>48530</c:v>
                </c:pt>
                <c:pt idx="182">
                  <c:v>96140</c:v>
                </c:pt>
              </c:numCache>
            </c:numRef>
          </c:xVal>
          <c:yVal>
            <c:numRef>
              <c:f>'All staff'!$K$2:$K$185</c:f>
              <c:numCache>
                <c:formatCode>General</c:formatCode>
                <c:ptCount val="184"/>
                <c:pt idx="0">
                  <c:v>4</c:v>
                </c:pt>
                <c:pt idx="1">
                  <c:v>3</c:v>
                </c:pt>
                <c:pt idx="2">
                  <c:v>3</c:v>
                </c:pt>
                <c:pt idx="3">
                  <c:v>2</c:v>
                </c:pt>
                <c:pt idx="4">
                  <c:v>3</c:v>
                </c:pt>
                <c:pt idx="5">
                  <c:v>3</c:v>
                </c:pt>
                <c:pt idx="6">
                  <c:v>4</c:v>
                </c:pt>
                <c:pt idx="7">
                  <c:v>3</c:v>
                </c:pt>
                <c:pt idx="8">
                  <c:v>3</c:v>
                </c:pt>
                <c:pt idx="9">
                  <c:v>3</c:v>
                </c:pt>
                <c:pt idx="10">
                  <c:v>2</c:v>
                </c:pt>
                <c:pt idx="11">
                  <c:v>3</c:v>
                </c:pt>
                <c:pt idx="12">
                  <c:v>3</c:v>
                </c:pt>
                <c:pt idx="13">
                  <c:v>3</c:v>
                </c:pt>
                <c:pt idx="14">
                  <c:v>4</c:v>
                </c:pt>
                <c:pt idx="15">
                  <c:v>3</c:v>
                </c:pt>
                <c:pt idx="16">
                  <c:v>3</c:v>
                </c:pt>
                <c:pt idx="17">
                  <c:v>3</c:v>
                </c:pt>
                <c:pt idx="18">
                  <c:v>3</c:v>
                </c:pt>
                <c:pt idx="19">
                  <c:v>3</c:v>
                </c:pt>
                <c:pt idx="20">
                  <c:v>3</c:v>
                </c:pt>
                <c:pt idx="21">
                  <c:v>2</c:v>
                </c:pt>
                <c:pt idx="22">
                  <c:v>3</c:v>
                </c:pt>
                <c:pt idx="23">
                  <c:v>3</c:v>
                </c:pt>
                <c:pt idx="24">
                  <c:v>3</c:v>
                </c:pt>
                <c:pt idx="25">
                  <c:v>5</c:v>
                </c:pt>
                <c:pt idx="26">
                  <c:v>3</c:v>
                </c:pt>
                <c:pt idx="27">
                  <c:v>3</c:v>
                </c:pt>
                <c:pt idx="28">
                  <c:v>3</c:v>
                </c:pt>
                <c:pt idx="29">
                  <c:v>3</c:v>
                </c:pt>
                <c:pt idx="30">
                  <c:v>1</c:v>
                </c:pt>
                <c:pt idx="31">
                  <c:v>3</c:v>
                </c:pt>
                <c:pt idx="32">
                  <c:v>3</c:v>
                </c:pt>
                <c:pt idx="33">
                  <c:v>4</c:v>
                </c:pt>
                <c:pt idx="34">
                  <c:v>2</c:v>
                </c:pt>
                <c:pt idx="35">
                  <c:v>3</c:v>
                </c:pt>
                <c:pt idx="36">
                  <c:v>3</c:v>
                </c:pt>
                <c:pt idx="37">
                  <c:v>3</c:v>
                </c:pt>
                <c:pt idx="38">
                  <c:v>3</c:v>
                </c:pt>
                <c:pt idx="39">
                  <c:v>2</c:v>
                </c:pt>
                <c:pt idx="40">
                  <c:v>3</c:v>
                </c:pt>
                <c:pt idx="41">
                  <c:v>3</c:v>
                </c:pt>
                <c:pt idx="42">
                  <c:v>3</c:v>
                </c:pt>
                <c:pt idx="43">
                  <c:v>3</c:v>
                </c:pt>
                <c:pt idx="44">
                  <c:v>3</c:v>
                </c:pt>
                <c:pt idx="45">
                  <c:v>3</c:v>
                </c:pt>
                <c:pt idx="46">
                  <c:v>2</c:v>
                </c:pt>
                <c:pt idx="47">
                  <c:v>4</c:v>
                </c:pt>
                <c:pt idx="48">
                  <c:v>3</c:v>
                </c:pt>
                <c:pt idx="49">
                  <c:v>3</c:v>
                </c:pt>
                <c:pt idx="50">
                  <c:v>4</c:v>
                </c:pt>
                <c:pt idx="51">
                  <c:v>3</c:v>
                </c:pt>
                <c:pt idx="52">
                  <c:v>3</c:v>
                </c:pt>
                <c:pt idx="53">
                  <c:v>3</c:v>
                </c:pt>
                <c:pt idx="54">
                  <c:v>3</c:v>
                </c:pt>
                <c:pt idx="55">
                  <c:v>5</c:v>
                </c:pt>
                <c:pt idx="56">
                  <c:v>1</c:v>
                </c:pt>
                <c:pt idx="57">
                  <c:v>3</c:v>
                </c:pt>
                <c:pt idx="58">
                  <c:v>3</c:v>
                </c:pt>
                <c:pt idx="59">
                  <c:v>4</c:v>
                </c:pt>
                <c:pt idx="60">
                  <c:v>3</c:v>
                </c:pt>
                <c:pt idx="61">
                  <c:v>3</c:v>
                </c:pt>
                <c:pt idx="62">
                  <c:v>3</c:v>
                </c:pt>
                <c:pt idx="63">
                  <c:v>3</c:v>
                </c:pt>
                <c:pt idx="64">
                  <c:v>4</c:v>
                </c:pt>
                <c:pt idx="65">
                  <c:v>4</c:v>
                </c:pt>
                <c:pt idx="66">
                  <c:v>3</c:v>
                </c:pt>
                <c:pt idx="67">
                  <c:v>3</c:v>
                </c:pt>
                <c:pt idx="68">
                  <c:v>3</c:v>
                </c:pt>
                <c:pt idx="69">
                  <c:v>3</c:v>
                </c:pt>
                <c:pt idx="70">
                  <c:v>3</c:v>
                </c:pt>
                <c:pt idx="71">
                  <c:v>2</c:v>
                </c:pt>
                <c:pt idx="72">
                  <c:v>3</c:v>
                </c:pt>
                <c:pt idx="73">
                  <c:v>3</c:v>
                </c:pt>
                <c:pt idx="74">
                  <c:v>3</c:v>
                </c:pt>
                <c:pt idx="75">
                  <c:v>3</c:v>
                </c:pt>
                <c:pt idx="76">
                  <c:v>3</c:v>
                </c:pt>
                <c:pt idx="77">
                  <c:v>4</c:v>
                </c:pt>
                <c:pt idx="78">
                  <c:v>3</c:v>
                </c:pt>
                <c:pt idx="79">
                  <c:v>3</c:v>
                </c:pt>
                <c:pt idx="80">
                  <c:v>3</c:v>
                </c:pt>
                <c:pt idx="81">
                  <c:v>3</c:v>
                </c:pt>
                <c:pt idx="82">
                  <c:v>1</c:v>
                </c:pt>
                <c:pt idx="83">
                  <c:v>3</c:v>
                </c:pt>
                <c:pt idx="84">
                  <c:v>3</c:v>
                </c:pt>
                <c:pt idx="85">
                  <c:v>3</c:v>
                </c:pt>
                <c:pt idx="86">
                  <c:v>3</c:v>
                </c:pt>
                <c:pt idx="87">
                  <c:v>3</c:v>
                </c:pt>
                <c:pt idx="88">
                  <c:v>3</c:v>
                </c:pt>
                <c:pt idx="89">
                  <c:v>2</c:v>
                </c:pt>
                <c:pt idx="90">
                  <c:v>3</c:v>
                </c:pt>
                <c:pt idx="91">
                  <c:v>3</c:v>
                </c:pt>
                <c:pt idx="92">
                  <c:v>4</c:v>
                </c:pt>
                <c:pt idx="93">
                  <c:v>3</c:v>
                </c:pt>
                <c:pt idx="94">
                  <c:v>3</c:v>
                </c:pt>
                <c:pt idx="95">
                  <c:v>2</c:v>
                </c:pt>
                <c:pt idx="96">
                  <c:v>4</c:v>
                </c:pt>
                <c:pt idx="97">
                  <c:v>3</c:v>
                </c:pt>
                <c:pt idx="98">
                  <c:v>3</c:v>
                </c:pt>
                <c:pt idx="99">
                  <c:v>3</c:v>
                </c:pt>
                <c:pt idx="100">
                  <c:v>4</c:v>
                </c:pt>
                <c:pt idx="101">
                  <c:v>3</c:v>
                </c:pt>
                <c:pt idx="102">
                  <c:v>3</c:v>
                </c:pt>
                <c:pt idx="103">
                  <c:v>4</c:v>
                </c:pt>
                <c:pt idx="104">
                  <c:v>3</c:v>
                </c:pt>
                <c:pt idx="105">
                  <c:v>3</c:v>
                </c:pt>
                <c:pt idx="106">
                  <c:v>2</c:v>
                </c:pt>
                <c:pt idx="107">
                  <c:v>3</c:v>
                </c:pt>
                <c:pt idx="108">
                  <c:v>3</c:v>
                </c:pt>
                <c:pt idx="109">
                  <c:v>3</c:v>
                </c:pt>
                <c:pt idx="110">
                  <c:v>4</c:v>
                </c:pt>
                <c:pt idx="111">
                  <c:v>3</c:v>
                </c:pt>
                <c:pt idx="112">
                  <c:v>2</c:v>
                </c:pt>
                <c:pt idx="113">
                  <c:v>3</c:v>
                </c:pt>
                <c:pt idx="114">
                  <c:v>5</c:v>
                </c:pt>
                <c:pt idx="115">
                  <c:v>3</c:v>
                </c:pt>
                <c:pt idx="116">
                  <c:v>3</c:v>
                </c:pt>
                <c:pt idx="117">
                  <c:v>3</c:v>
                </c:pt>
                <c:pt idx="118">
                  <c:v>3</c:v>
                </c:pt>
                <c:pt idx="119">
                  <c:v>3</c:v>
                </c:pt>
                <c:pt idx="120">
                  <c:v>3</c:v>
                </c:pt>
                <c:pt idx="121">
                  <c:v>3</c:v>
                </c:pt>
                <c:pt idx="122">
                  <c:v>3</c:v>
                </c:pt>
                <c:pt idx="123">
                  <c:v>3</c:v>
                </c:pt>
                <c:pt idx="124">
                  <c:v>4</c:v>
                </c:pt>
                <c:pt idx="125">
                  <c:v>2</c:v>
                </c:pt>
                <c:pt idx="126">
                  <c:v>2</c:v>
                </c:pt>
                <c:pt idx="127">
                  <c:v>3</c:v>
                </c:pt>
                <c:pt idx="128">
                  <c:v>4</c:v>
                </c:pt>
                <c:pt idx="129">
                  <c:v>3</c:v>
                </c:pt>
                <c:pt idx="130">
                  <c:v>3</c:v>
                </c:pt>
                <c:pt idx="131">
                  <c:v>3</c:v>
                </c:pt>
                <c:pt idx="132">
                  <c:v>3</c:v>
                </c:pt>
                <c:pt idx="133">
                  <c:v>3</c:v>
                </c:pt>
                <c:pt idx="134">
                  <c:v>3</c:v>
                </c:pt>
                <c:pt idx="135">
                  <c:v>3</c:v>
                </c:pt>
                <c:pt idx="136">
                  <c:v>3</c:v>
                </c:pt>
                <c:pt idx="137">
                  <c:v>3</c:v>
                </c:pt>
                <c:pt idx="138">
                  <c:v>3</c:v>
                </c:pt>
                <c:pt idx="139">
                  <c:v>4</c:v>
                </c:pt>
                <c:pt idx="140">
                  <c:v>2</c:v>
                </c:pt>
                <c:pt idx="141">
                  <c:v>3</c:v>
                </c:pt>
                <c:pt idx="142">
                  <c:v>4</c:v>
                </c:pt>
                <c:pt idx="143">
                  <c:v>3</c:v>
                </c:pt>
                <c:pt idx="144">
                  <c:v>3</c:v>
                </c:pt>
                <c:pt idx="145">
                  <c:v>3</c:v>
                </c:pt>
                <c:pt idx="146">
                  <c:v>3</c:v>
                </c:pt>
                <c:pt idx="147">
                  <c:v>3</c:v>
                </c:pt>
                <c:pt idx="148">
                  <c:v>3</c:v>
                </c:pt>
                <c:pt idx="149">
                  <c:v>3</c:v>
                </c:pt>
                <c:pt idx="150">
                  <c:v>3</c:v>
                </c:pt>
                <c:pt idx="151">
                  <c:v>2</c:v>
                </c:pt>
                <c:pt idx="152">
                  <c:v>3</c:v>
                </c:pt>
                <c:pt idx="153">
                  <c:v>1</c:v>
                </c:pt>
                <c:pt idx="154">
                  <c:v>5</c:v>
                </c:pt>
                <c:pt idx="155">
                  <c:v>3</c:v>
                </c:pt>
                <c:pt idx="156">
                  <c:v>3</c:v>
                </c:pt>
                <c:pt idx="157">
                  <c:v>3</c:v>
                </c:pt>
                <c:pt idx="158">
                  <c:v>1</c:v>
                </c:pt>
                <c:pt idx="159">
                  <c:v>3</c:v>
                </c:pt>
                <c:pt idx="160">
                  <c:v>3</c:v>
                </c:pt>
                <c:pt idx="161">
                  <c:v>3</c:v>
                </c:pt>
                <c:pt idx="162">
                  <c:v>2</c:v>
                </c:pt>
                <c:pt idx="163">
                  <c:v>3</c:v>
                </c:pt>
                <c:pt idx="164">
                  <c:v>3</c:v>
                </c:pt>
                <c:pt idx="165">
                  <c:v>3</c:v>
                </c:pt>
                <c:pt idx="166">
                  <c:v>3</c:v>
                </c:pt>
                <c:pt idx="167">
                  <c:v>3</c:v>
                </c:pt>
                <c:pt idx="168">
                  <c:v>3</c:v>
                </c:pt>
                <c:pt idx="169">
                  <c:v>3</c:v>
                </c:pt>
                <c:pt idx="170">
                  <c:v>3</c:v>
                </c:pt>
                <c:pt idx="171">
                  <c:v>3</c:v>
                </c:pt>
                <c:pt idx="172">
                  <c:v>3</c:v>
                </c:pt>
                <c:pt idx="173">
                  <c:v>3</c:v>
                </c:pt>
                <c:pt idx="174">
                  <c:v>3</c:v>
                </c:pt>
                <c:pt idx="175">
                  <c:v>1</c:v>
                </c:pt>
                <c:pt idx="176">
                  <c:v>3</c:v>
                </c:pt>
                <c:pt idx="177">
                  <c:v>3</c:v>
                </c:pt>
                <c:pt idx="178">
                  <c:v>3</c:v>
                </c:pt>
                <c:pt idx="179">
                  <c:v>3</c:v>
                </c:pt>
                <c:pt idx="180">
                  <c:v>3</c:v>
                </c:pt>
                <c:pt idx="181">
                  <c:v>4</c:v>
                </c:pt>
                <c:pt idx="182">
                  <c:v>3</c:v>
                </c:pt>
              </c:numCache>
            </c:numRef>
          </c:yVal>
          <c:smooth val="0"/>
          <c:extLst>
            <c:ext xmlns:c16="http://schemas.microsoft.com/office/drawing/2014/chart" uri="{C3380CC4-5D6E-409C-BE32-E72D297353CC}">
              <c16:uniqueId val="{00000000-61DE-4AEF-ACA6-C675522D0B7D}"/>
            </c:ext>
          </c:extLst>
        </c:ser>
        <c:dLbls>
          <c:showLegendKey val="0"/>
          <c:showVal val="0"/>
          <c:showCatName val="0"/>
          <c:showSerName val="0"/>
          <c:showPercent val="0"/>
          <c:showBubbleSize val="0"/>
        </c:dLbls>
        <c:axId val="1362232328"/>
        <c:axId val="1362234376"/>
      </c:scatterChart>
      <c:valAx>
        <c:axId val="1362232328"/>
        <c:scaling>
          <c:orientation val="minMax"/>
          <c:max val="150000"/>
          <c:min val="20000"/>
        </c:scaling>
        <c:delete val="0"/>
        <c:axPos val="b"/>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2234376"/>
        <c:crosses val="autoZero"/>
        <c:crossBetween val="midCat"/>
        <c:majorUnit val="20000"/>
      </c:valAx>
      <c:valAx>
        <c:axId val="1362234376"/>
        <c:scaling>
          <c:orientation val="minMax"/>
          <c:max val="5"/>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2232328"/>
        <c:crosses val="autoZero"/>
        <c:crossBetween val="midCat"/>
        <c:maj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dataset project 2.xlsx]Employee Trend!PivotTable3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 Trends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'Employee Trend'!$D$7</c:f>
              <c:strCache>
                <c:ptCount val="1"/>
                <c:pt idx="0">
                  <c:v>Total</c:v>
                </c:pt>
              </c:strCache>
            </c:strRef>
          </c:tx>
          <c:spPr>
            <a:ln w="28575" cap="rnd">
              <a:solidFill>
                <a:schemeClr val="accent1"/>
              </a:solidFill>
              <a:round/>
            </a:ln>
            <a:effectLst/>
          </c:spPr>
          <c:marker>
            <c:symbol val="none"/>
          </c:marker>
          <c:cat>
            <c:strRef>
              <c:f>'Employee Trend'!$C$8:$C$168</c:f>
              <c:strCache>
                <c:ptCount val="160"/>
                <c:pt idx="0">
                  <c:v>9/7/2021</c:v>
                </c:pt>
                <c:pt idx="1">
                  <c:v>7/16/2022</c:v>
                </c:pt>
                <c:pt idx="2">
                  <c:v>6/10/2021</c:v>
                </c:pt>
                <c:pt idx="3">
                  <c:v>11/11/2020</c:v>
                </c:pt>
                <c:pt idx="4">
                  <c:v>9/26/2021</c:v>
                </c:pt>
                <c:pt idx="5">
                  <c:v>10/27/2022</c:v>
                </c:pt>
                <c:pt idx="6">
                  <c:v>5/20/2022</c:v>
                </c:pt>
                <c:pt idx="7">
                  <c:v>11/13/2020</c:v>
                </c:pt>
                <c:pt idx="8">
                  <c:v>11/9/2021</c:v>
                </c:pt>
                <c:pt idx="9">
                  <c:v>10/18/2020</c:v>
                </c:pt>
                <c:pt idx="10">
                  <c:v>12/15/2020</c:v>
                </c:pt>
                <c:pt idx="11">
                  <c:v>7/6/2021</c:v>
                </c:pt>
                <c:pt idx="12">
                  <c:v>9/20/2021</c:v>
                </c:pt>
                <c:pt idx="13">
                  <c:v>6/7/2021</c:v>
                </c:pt>
                <c:pt idx="14">
                  <c:v>3/8/2021</c:v>
                </c:pt>
                <c:pt idx="15">
                  <c:v>9/30/2020</c:v>
                </c:pt>
                <c:pt idx="16">
                  <c:v>7/20/2022</c:v>
                </c:pt>
                <c:pt idx="17">
                  <c:v>11/10/2020</c:v>
                </c:pt>
                <c:pt idx="18">
                  <c:v>2/15/2021</c:v>
                </c:pt>
                <c:pt idx="19">
                  <c:v>4/2/2022</c:v>
                </c:pt>
                <c:pt idx="20">
                  <c:v>7/12/2021</c:v>
                </c:pt>
                <c:pt idx="21">
                  <c:v>4/12/2022</c:v>
                </c:pt>
                <c:pt idx="22">
                  <c:v>1/6/2022</c:v>
                </c:pt>
                <c:pt idx="23">
                  <c:v>2/5/2022</c:v>
                </c:pt>
                <c:pt idx="24">
                  <c:v>8/6/2022</c:v>
                </c:pt>
                <c:pt idx="25">
                  <c:v>5/21/2021</c:v>
                </c:pt>
                <c:pt idx="26">
                  <c:v>7/11/2020</c:v>
                </c:pt>
                <c:pt idx="27">
                  <c:v>12/20/2020</c:v>
                </c:pt>
                <c:pt idx="28">
                  <c:v>2/20/2022</c:v>
                </c:pt>
                <c:pt idx="29">
                  <c:v>6/27/2021</c:v>
                </c:pt>
                <c:pt idx="30">
                  <c:v>11/29/2020</c:v>
                </c:pt>
                <c:pt idx="31">
                  <c:v>10/25/2021</c:v>
                </c:pt>
                <c:pt idx="32">
                  <c:v>6/14/2022</c:v>
                </c:pt>
                <c:pt idx="33">
                  <c:v>6/9/2022</c:v>
                </c:pt>
                <c:pt idx="34">
                  <c:v>3/10/2022</c:v>
                </c:pt>
                <c:pt idx="35">
                  <c:v>12/25/2020</c:v>
                </c:pt>
                <c:pt idx="36">
                  <c:v>6/12/2022</c:v>
                </c:pt>
                <c:pt idx="37">
                  <c:v>11/11/2021</c:v>
                </c:pt>
                <c:pt idx="38">
                  <c:v>8/28/2021</c:v>
                </c:pt>
                <c:pt idx="39">
                  <c:v>11/29/2021</c:v>
                </c:pt>
                <c:pt idx="40">
                  <c:v>9/5/2022</c:v>
                </c:pt>
                <c:pt idx="41">
                  <c:v>5/5/2022</c:v>
                </c:pt>
                <c:pt idx="42">
                  <c:v>9/6/2021</c:v>
                </c:pt>
                <c:pt idx="43">
                  <c:v>12/18/2020</c:v>
                </c:pt>
                <c:pt idx="44">
                  <c:v>7/2/2022</c:v>
                </c:pt>
                <c:pt idx="45">
                  <c:v>12/7/2021</c:v>
                </c:pt>
                <c:pt idx="46">
                  <c:v>5/13/2022</c:v>
                </c:pt>
                <c:pt idx="47">
                  <c:v>3/22/2021</c:v>
                </c:pt>
                <c:pt idx="48">
                  <c:v>7/7/2020</c:v>
                </c:pt>
                <c:pt idx="49">
                  <c:v>7/29/2020</c:v>
                </c:pt>
                <c:pt idx="50">
                  <c:v>7/23/2021</c:v>
                </c:pt>
                <c:pt idx="51">
                  <c:v>9/11/2020</c:v>
                </c:pt>
                <c:pt idx="52">
                  <c:v>10/16/2022</c:v>
                </c:pt>
                <c:pt idx="53">
                  <c:v>5/17/2021</c:v>
                </c:pt>
                <c:pt idx="54">
                  <c:v>6/30/2021</c:v>
                </c:pt>
                <c:pt idx="55">
                  <c:v>2/17/2022</c:v>
                </c:pt>
                <c:pt idx="56">
                  <c:v>3/18/2021</c:v>
                </c:pt>
                <c:pt idx="57">
                  <c:v>9/12/2021</c:v>
                </c:pt>
                <c:pt idx="58">
                  <c:v>9/11/2021</c:v>
                </c:pt>
                <c:pt idx="59">
                  <c:v>4/29/2023</c:v>
                </c:pt>
                <c:pt idx="60">
                  <c:v>8/1/2022</c:v>
                </c:pt>
                <c:pt idx="61">
                  <c:v>10/17/2021</c:v>
                </c:pt>
                <c:pt idx="62">
                  <c:v>10/30/2020</c:v>
                </c:pt>
                <c:pt idx="63">
                  <c:v>3/16/2021</c:v>
                </c:pt>
                <c:pt idx="64">
                  <c:v>5/13/2021</c:v>
                </c:pt>
                <c:pt idx="65">
                  <c:v>1/9/2021</c:v>
                </c:pt>
                <c:pt idx="66">
                  <c:v>5/1/2021</c:v>
                </c:pt>
                <c:pt idx="67">
                  <c:v>1/29/2021</c:v>
                </c:pt>
                <c:pt idx="68">
                  <c:v>4/15/2022</c:v>
                </c:pt>
                <c:pt idx="69">
                  <c:v>3/29/2022</c:v>
                </c:pt>
                <c:pt idx="70">
                  <c:v>5/22/2021</c:v>
                </c:pt>
                <c:pt idx="71">
                  <c:v>4/27/2022</c:v>
                </c:pt>
                <c:pt idx="72">
                  <c:v>9/1/2021</c:v>
                </c:pt>
                <c:pt idx="73">
                  <c:v>6/15/2022</c:v>
                </c:pt>
                <c:pt idx="74">
                  <c:v>2/9/2021</c:v>
                </c:pt>
                <c:pt idx="75">
                  <c:v>2/28/2022</c:v>
                </c:pt>
                <c:pt idx="76">
                  <c:v>7/4/2021</c:v>
                </c:pt>
                <c:pt idx="77">
                  <c:v>2/14/2022</c:v>
                </c:pt>
                <c:pt idx="78">
                  <c:v>9/16/2022</c:v>
                </c:pt>
                <c:pt idx="79">
                  <c:v>2/16/2021</c:v>
                </c:pt>
                <c:pt idx="80">
                  <c:v>8/24/2020</c:v>
                </c:pt>
                <c:pt idx="81">
                  <c:v>2/19/2022</c:v>
                </c:pt>
                <c:pt idx="82">
                  <c:v>4/26/2021</c:v>
                </c:pt>
                <c:pt idx="83">
                  <c:v>7/8/2021</c:v>
                </c:pt>
                <c:pt idx="84">
                  <c:v>6/19/2022</c:v>
                </c:pt>
                <c:pt idx="85">
                  <c:v>8/3/2021</c:v>
                </c:pt>
                <c:pt idx="86">
                  <c:v>4/7/2021</c:v>
                </c:pt>
                <c:pt idx="87">
                  <c:v>5/23/2021</c:v>
                </c:pt>
                <c:pt idx="88">
                  <c:v>3/13/2021</c:v>
                </c:pt>
                <c:pt idx="89">
                  <c:v>11/9/2020</c:v>
                </c:pt>
                <c:pt idx="90">
                  <c:v>6/1/2022</c:v>
                </c:pt>
                <c:pt idx="91">
                  <c:v>5/8/2021</c:v>
                </c:pt>
                <c:pt idx="92">
                  <c:v>4/14/2022</c:v>
                </c:pt>
                <c:pt idx="93">
                  <c:v>5/4/2021</c:v>
                </c:pt>
                <c:pt idx="94">
                  <c:v>12/14/2021</c:v>
                </c:pt>
                <c:pt idx="95">
                  <c:v>5/29/2020</c:v>
                </c:pt>
                <c:pt idx="96">
                  <c:v>7/30/2020</c:v>
                </c:pt>
                <c:pt idx="97">
                  <c:v>3/22/2022</c:v>
                </c:pt>
                <c:pt idx="98">
                  <c:v>4/9/2022</c:v>
                </c:pt>
                <c:pt idx="99">
                  <c:v>5/7/2020</c:v>
                </c:pt>
                <c:pt idx="100">
                  <c:v>8/16/2022</c:v>
                </c:pt>
                <c:pt idx="101">
                  <c:v>5/2/2022</c:v>
                </c:pt>
                <c:pt idx="102">
                  <c:v>7/11/2021</c:v>
                </c:pt>
                <c:pt idx="103">
                  <c:v>8/30/2020</c:v>
                </c:pt>
                <c:pt idx="104">
                  <c:v>12/28/2021</c:v>
                </c:pt>
                <c:pt idx="105">
                  <c:v>6/6/2022</c:v>
                </c:pt>
                <c:pt idx="106">
                  <c:v>3/5/2022</c:v>
                </c:pt>
                <c:pt idx="107">
                  <c:v>2/12/2022</c:v>
                </c:pt>
                <c:pt idx="108">
                  <c:v>2/28/2023</c:v>
                </c:pt>
                <c:pt idx="109">
                  <c:v>12/19/2021</c:v>
                </c:pt>
                <c:pt idx="110">
                  <c:v>8/27/2022</c:v>
                </c:pt>
                <c:pt idx="111">
                  <c:v>3/1/2021</c:v>
                </c:pt>
                <c:pt idx="112">
                  <c:v>1/10/2022</c:v>
                </c:pt>
                <c:pt idx="113">
                  <c:v>3/13/2022</c:v>
                </c:pt>
                <c:pt idx="114">
                  <c:v>6/28/2021</c:v>
                </c:pt>
                <c:pt idx="115">
                  <c:v>10/15/2020</c:v>
                </c:pt>
                <c:pt idx="116">
                  <c:v>8/18/2020</c:v>
                </c:pt>
                <c:pt idx="117">
                  <c:v>7/7/2021</c:v>
                </c:pt>
                <c:pt idx="118">
                  <c:v>11/6/2021</c:v>
                </c:pt>
                <c:pt idx="119">
                  <c:v>4/10/2021</c:v>
                </c:pt>
                <c:pt idx="120">
                  <c:v>7/20/2021</c:v>
                </c:pt>
                <c:pt idx="121">
                  <c:v>2/27/2022</c:v>
                </c:pt>
                <c:pt idx="122">
                  <c:v>2/26/2021</c:v>
                </c:pt>
                <c:pt idx="123">
                  <c:v>2/2/2022</c:v>
                </c:pt>
                <c:pt idx="124">
                  <c:v>8/17/2021</c:v>
                </c:pt>
                <c:pt idx="125">
                  <c:v>12/9/2020</c:v>
                </c:pt>
                <c:pt idx="126">
                  <c:v>4/19/2022</c:v>
                </c:pt>
                <c:pt idx="127">
                  <c:v>10/20/2020</c:v>
                </c:pt>
                <c:pt idx="128">
                  <c:v>1/16/2021</c:v>
                </c:pt>
                <c:pt idx="129">
                  <c:v>2/15/2022</c:v>
                </c:pt>
                <c:pt idx="130">
                  <c:v>9/29/2020</c:v>
                </c:pt>
                <c:pt idx="131">
                  <c:v>6/24/2020</c:v>
                </c:pt>
                <c:pt idx="132">
                  <c:v>12/5/2021</c:v>
                </c:pt>
                <c:pt idx="133">
                  <c:v>3/21/2021</c:v>
                </c:pt>
                <c:pt idx="134">
                  <c:v>10/7/2021</c:v>
                </c:pt>
                <c:pt idx="135">
                  <c:v>7/26/2021</c:v>
                </c:pt>
                <c:pt idx="136">
                  <c:v>4/30/2021</c:v>
                </c:pt>
                <c:pt idx="137">
                  <c:v>1/8/2021</c:v>
                </c:pt>
                <c:pt idx="138">
                  <c:v>9/10/2020</c:v>
                </c:pt>
                <c:pt idx="139">
                  <c:v>3/17/2021</c:v>
                </c:pt>
                <c:pt idx="140">
                  <c:v>12/17/2021</c:v>
                </c:pt>
                <c:pt idx="141">
                  <c:v>7/5/2022</c:v>
                </c:pt>
                <c:pt idx="142">
                  <c:v>6/3/2021</c:v>
                </c:pt>
                <c:pt idx="143">
                  <c:v>3/20/2022</c:v>
                </c:pt>
                <c:pt idx="144">
                  <c:v>5/12/2021</c:v>
                </c:pt>
                <c:pt idx="145">
                  <c:v>1/18/2021</c:v>
                </c:pt>
                <c:pt idx="146">
                  <c:v>12/20/2021</c:v>
                </c:pt>
                <c:pt idx="147">
                  <c:v>7/1/2021</c:v>
                </c:pt>
                <c:pt idx="148">
                  <c:v>9/29/2021</c:v>
                </c:pt>
                <c:pt idx="149">
                  <c:v>1/29/2022</c:v>
                </c:pt>
                <c:pt idx="150">
                  <c:v>5/11/2020</c:v>
                </c:pt>
                <c:pt idx="151">
                  <c:v>9/13/2020</c:v>
                </c:pt>
                <c:pt idx="152">
                  <c:v>5/6/2021</c:v>
                </c:pt>
                <c:pt idx="153">
                  <c:v>4/27/2021</c:v>
                </c:pt>
                <c:pt idx="154">
                  <c:v>9/9/2021</c:v>
                </c:pt>
                <c:pt idx="155">
                  <c:v>8/25/2021</c:v>
                </c:pt>
                <c:pt idx="156">
                  <c:v>1/22/2021</c:v>
                </c:pt>
                <c:pt idx="157">
                  <c:v>5/16/2022</c:v>
                </c:pt>
                <c:pt idx="158">
                  <c:v>12/16/2020</c:v>
                </c:pt>
                <c:pt idx="159">
                  <c:v>10/25/2020</c:v>
                </c:pt>
              </c:strCache>
            </c:strRef>
          </c:cat>
          <c:val>
            <c:numRef>
              <c:f>'Employee Trend'!$D$8:$D$168</c:f>
              <c:numCache>
                <c:formatCode>General</c:formatCode>
                <c:ptCount val="160"/>
                <c:pt idx="0">
                  <c:v>1</c:v>
                </c:pt>
                <c:pt idx="1">
                  <c:v>3</c:v>
                </c:pt>
                <c:pt idx="2">
                  <c:v>4</c:v>
                </c:pt>
                <c:pt idx="3">
                  <c:v>5</c:v>
                </c:pt>
                <c:pt idx="4">
                  <c:v>6</c:v>
                </c:pt>
                <c:pt idx="5">
                  <c:v>7</c:v>
                </c:pt>
                <c:pt idx="6">
                  <c:v>11</c:v>
                </c:pt>
                <c:pt idx="7">
                  <c:v>12</c:v>
                </c:pt>
                <c:pt idx="8">
                  <c:v>13</c:v>
                </c:pt>
                <c:pt idx="9">
                  <c:v>15</c:v>
                </c:pt>
                <c:pt idx="10">
                  <c:v>17</c:v>
                </c:pt>
                <c:pt idx="11">
                  <c:v>19</c:v>
                </c:pt>
                <c:pt idx="12">
                  <c:v>21</c:v>
                </c:pt>
                <c:pt idx="13">
                  <c:v>22</c:v>
                </c:pt>
                <c:pt idx="14">
                  <c:v>23</c:v>
                </c:pt>
                <c:pt idx="15">
                  <c:v>24</c:v>
                </c:pt>
                <c:pt idx="16">
                  <c:v>25</c:v>
                </c:pt>
                <c:pt idx="17">
                  <c:v>26</c:v>
                </c:pt>
                <c:pt idx="18">
                  <c:v>27</c:v>
                </c:pt>
                <c:pt idx="19">
                  <c:v>28</c:v>
                </c:pt>
                <c:pt idx="20">
                  <c:v>30</c:v>
                </c:pt>
                <c:pt idx="21">
                  <c:v>32</c:v>
                </c:pt>
                <c:pt idx="22">
                  <c:v>33</c:v>
                </c:pt>
                <c:pt idx="23">
                  <c:v>34</c:v>
                </c:pt>
                <c:pt idx="24">
                  <c:v>35</c:v>
                </c:pt>
                <c:pt idx="25">
                  <c:v>36</c:v>
                </c:pt>
                <c:pt idx="26">
                  <c:v>38</c:v>
                </c:pt>
                <c:pt idx="27">
                  <c:v>39</c:v>
                </c:pt>
                <c:pt idx="28">
                  <c:v>40</c:v>
                </c:pt>
                <c:pt idx="29">
                  <c:v>41</c:v>
                </c:pt>
                <c:pt idx="30">
                  <c:v>43</c:v>
                </c:pt>
                <c:pt idx="31">
                  <c:v>44</c:v>
                </c:pt>
                <c:pt idx="32">
                  <c:v>45</c:v>
                </c:pt>
                <c:pt idx="33">
                  <c:v>46</c:v>
                </c:pt>
                <c:pt idx="34">
                  <c:v>47</c:v>
                </c:pt>
                <c:pt idx="35">
                  <c:v>48</c:v>
                </c:pt>
                <c:pt idx="36">
                  <c:v>49</c:v>
                </c:pt>
                <c:pt idx="37">
                  <c:v>50</c:v>
                </c:pt>
                <c:pt idx="38">
                  <c:v>51</c:v>
                </c:pt>
                <c:pt idx="39">
                  <c:v>52</c:v>
                </c:pt>
                <c:pt idx="40">
                  <c:v>53</c:v>
                </c:pt>
                <c:pt idx="41">
                  <c:v>55</c:v>
                </c:pt>
                <c:pt idx="42">
                  <c:v>56</c:v>
                </c:pt>
                <c:pt idx="43">
                  <c:v>57</c:v>
                </c:pt>
                <c:pt idx="44">
                  <c:v>58</c:v>
                </c:pt>
                <c:pt idx="45">
                  <c:v>59</c:v>
                </c:pt>
                <c:pt idx="46">
                  <c:v>60</c:v>
                </c:pt>
                <c:pt idx="47">
                  <c:v>62</c:v>
                </c:pt>
                <c:pt idx="48">
                  <c:v>63</c:v>
                </c:pt>
                <c:pt idx="49">
                  <c:v>64</c:v>
                </c:pt>
                <c:pt idx="50">
                  <c:v>65</c:v>
                </c:pt>
                <c:pt idx="51">
                  <c:v>67</c:v>
                </c:pt>
                <c:pt idx="52">
                  <c:v>69</c:v>
                </c:pt>
                <c:pt idx="53">
                  <c:v>70</c:v>
                </c:pt>
                <c:pt idx="54">
                  <c:v>71</c:v>
                </c:pt>
                <c:pt idx="55">
                  <c:v>72</c:v>
                </c:pt>
                <c:pt idx="56">
                  <c:v>73</c:v>
                </c:pt>
                <c:pt idx="57">
                  <c:v>74</c:v>
                </c:pt>
                <c:pt idx="58">
                  <c:v>76</c:v>
                </c:pt>
                <c:pt idx="59">
                  <c:v>77</c:v>
                </c:pt>
                <c:pt idx="60">
                  <c:v>78</c:v>
                </c:pt>
                <c:pt idx="61">
                  <c:v>79</c:v>
                </c:pt>
                <c:pt idx="62">
                  <c:v>80</c:v>
                </c:pt>
                <c:pt idx="63">
                  <c:v>81</c:v>
                </c:pt>
                <c:pt idx="64">
                  <c:v>82</c:v>
                </c:pt>
                <c:pt idx="65">
                  <c:v>83</c:v>
                </c:pt>
                <c:pt idx="66">
                  <c:v>84</c:v>
                </c:pt>
                <c:pt idx="67">
                  <c:v>85</c:v>
                </c:pt>
                <c:pt idx="68">
                  <c:v>87</c:v>
                </c:pt>
                <c:pt idx="69">
                  <c:v>88</c:v>
                </c:pt>
                <c:pt idx="70">
                  <c:v>89</c:v>
                </c:pt>
                <c:pt idx="71">
                  <c:v>90</c:v>
                </c:pt>
                <c:pt idx="72">
                  <c:v>91</c:v>
                </c:pt>
                <c:pt idx="73">
                  <c:v>92</c:v>
                </c:pt>
                <c:pt idx="74">
                  <c:v>93</c:v>
                </c:pt>
                <c:pt idx="75">
                  <c:v>94</c:v>
                </c:pt>
                <c:pt idx="76">
                  <c:v>95</c:v>
                </c:pt>
                <c:pt idx="77">
                  <c:v>96</c:v>
                </c:pt>
                <c:pt idx="78">
                  <c:v>97</c:v>
                </c:pt>
                <c:pt idx="79">
                  <c:v>98</c:v>
                </c:pt>
                <c:pt idx="80">
                  <c:v>99</c:v>
                </c:pt>
                <c:pt idx="81">
                  <c:v>100</c:v>
                </c:pt>
                <c:pt idx="82">
                  <c:v>101</c:v>
                </c:pt>
                <c:pt idx="83">
                  <c:v>102</c:v>
                </c:pt>
                <c:pt idx="84">
                  <c:v>103</c:v>
                </c:pt>
                <c:pt idx="85">
                  <c:v>104</c:v>
                </c:pt>
                <c:pt idx="86">
                  <c:v>105</c:v>
                </c:pt>
                <c:pt idx="87">
                  <c:v>106</c:v>
                </c:pt>
                <c:pt idx="88">
                  <c:v>107</c:v>
                </c:pt>
                <c:pt idx="89">
                  <c:v>108</c:v>
                </c:pt>
                <c:pt idx="90">
                  <c:v>109</c:v>
                </c:pt>
                <c:pt idx="91">
                  <c:v>110</c:v>
                </c:pt>
                <c:pt idx="92">
                  <c:v>111</c:v>
                </c:pt>
                <c:pt idx="93">
                  <c:v>112</c:v>
                </c:pt>
                <c:pt idx="94">
                  <c:v>113</c:v>
                </c:pt>
                <c:pt idx="95">
                  <c:v>114</c:v>
                </c:pt>
                <c:pt idx="96">
                  <c:v>115</c:v>
                </c:pt>
                <c:pt idx="97">
                  <c:v>116</c:v>
                </c:pt>
                <c:pt idx="98">
                  <c:v>117</c:v>
                </c:pt>
                <c:pt idx="99">
                  <c:v>118</c:v>
                </c:pt>
                <c:pt idx="100">
                  <c:v>120</c:v>
                </c:pt>
                <c:pt idx="101">
                  <c:v>121</c:v>
                </c:pt>
                <c:pt idx="102">
                  <c:v>122</c:v>
                </c:pt>
                <c:pt idx="103">
                  <c:v>123</c:v>
                </c:pt>
                <c:pt idx="104">
                  <c:v>124</c:v>
                </c:pt>
                <c:pt idx="105">
                  <c:v>125</c:v>
                </c:pt>
                <c:pt idx="106">
                  <c:v>127</c:v>
                </c:pt>
                <c:pt idx="107">
                  <c:v>128</c:v>
                </c:pt>
                <c:pt idx="108">
                  <c:v>129</c:v>
                </c:pt>
                <c:pt idx="109">
                  <c:v>130</c:v>
                </c:pt>
                <c:pt idx="110">
                  <c:v>131</c:v>
                </c:pt>
                <c:pt idx="111">
                  <c:v>132</c:v>
                </c:pt>
                <c:pt idx="112">
                  <c:v>133</c:v>
                </c:pt>
                <c:pt idx="113">
                  <c:v>134</c:v>
                </c:pt>
                <c:pt idx="114">
                  <c:v>135</c:v>
                </c:pt>
                <c:pt idx="115">
                  <c:v>136</c:v>
                </c:pt>
                <c:pt idx="116">
                  <c:v>137</c:v>
                </c:pt>
                <c:pt idx="117">
                  <c:v>138</c:v>
                </c:pt>
                <c:pt idx="118">
                  <c:v>139</c:v>
                </c:pt>
                <c:pt idx="119">
                  <c:v>140</c:v>
                </c:pt>
                <c:pt idx="120">
                  <c:v>142</c:v>
                </c:pt>
                <c:pt idx="121">
                  <c:v>143</c:v>
                </c:pt>
                <c:pt idx="122">
                  <c:v>144</c:v>
                </c:pt>
                <c:pt idx="123">
                  <c:v>145</c:v>
                </c:pt>
                <c:pt idx="124">
                  <c:v>146</c:v>
                </c:pt>
                <c:pt idx="125">
                  <c:v>147</c:v>
                </c:pt>
                <c:pt idx="126">
                  <c:v>148</c:v>
                </c:pt>
                <c:pt idx="127">
                  <c:v>149</c:v>
                </c:pt>
                <c:pt idx="128">
                  <c:v>150</c:v>
                </c:pt>
                <c:pt idx="129">
                  <c:v>151</c:v>
                </c:pt>
                <c:pt idx="130">
                  <c:v>152</c:v>
                </c:pt>
                <c:pt idx="131">
                  <c:v>153</c:v>
                </c:pt>
                <c:pt idx="132">
                  <c:v>154</c:v>
                </c:pt>
                <c:pt idx="133">
                  <c:v>155</c:v>
                </c:pt>
                <c:pt idx="134">
                  <c:v>156</c:v>
                </c:pt>
                <c:pt idx="135">
                  <c:v>157</c:v>
                </c:pt>
                <c:pt idx="136">
                  <c:v>158</c:v>
                </c:pt>
                <c:pt idx="137">
                  <c:v>159</c:v>
                </c:pt>
                <c:pt idx="138">
                  <c:v>160</c:v>
                </c:pt>
                <c:pt idx="139">
                  <c:v>161</c:v>
                </c:pt>
                <c:pt idx="140">
                  <c:v>162</c:v>
                </c:pt>
                <c:pt idx="141">
                  <c:v>163</c:v>
                </c:pt>
                <c:pt idx="142">
                  <c:v>164</c:v>
                </c:pt>
                <c:pt idx="143">
                  <c:v>167</c:v>
                </c:pt>
                <c:pt idx="144">
                  <c:v>168</c:v>
                </c:pt>
                <c:pt idx="145">
                  <c:v>169</c:v>
                </c:pt>
                <c:pt idx="146">
                  <c:v>170</c:v>
                </c:pt>
                <c:pt idx="147">
                  <c:v>171</c:v>
                </c:pt>
                <c:pt idx="148">
                  <c:v>172</c:v>
                </c:pt>
                <c:pt idx="149">
                  <c:v>173</c:v>
                </c:pt>
                <c:pt idx="150">
                  <c:v>174</c:v>
                </c:pt>
                <c:pt idx="151">
                  <c:v>175</c:v>
                </c:pt>
                <c:pt idx="152">
                  <c:v>176</c:v>
                </c:pt>
                <c:pt idx="153">
                  <c:v>177</c:v>
                </c:pt>
                <c:pt idx="154">
                  <c:v>178</c:v>
                </c:pt>
                <c:pt idx="155">
                  <c:v>179</c:v>
                </c:pt>
                <c:pt idx="156">
                  <c:v>180</c:v>
                </c:pt>
                <c:pt idx="157">
                  <c:v>181</c:v>
                </c:pt>
                <c:pt idx="158">
                  <c:v>182</c:v>
                </c:pt>
                <c:pt idx="159">
                  <c:v>183</c:v>
                </c:pt>
              </c:numCache>
            </c:numRef>
          </c:val>
          <c:smooth val="0"/>
          <c:extLst>
            <c:ext xmlns:c16="http://schemas.microsoft.com/office/drawing/2014/chart" uri="{C3380CC4-5D6E-409C-BE32-E72D297353CC}">
              <c16:uniqueId val="{00000000-4864-4D3D-B708-A02514ED77E2}"/>
            </c:ext>
          </c:extLst>
        </c:ser>
        <c:dLbls>
          <c:showLegendKey val="0"/>
          <c:showVal val="0"/>
          <c:showCatName val="0"/>
          <c:showSerName val="0"/>
          <c:showPercent val="0"/>
          <c:showBubbleSize val="0"/>
        </c:dLbls>
        <c:smooth val="0"/>
        <c:axId val="576108128"/>
        <c:axId val="576108456"/>
      </c:lineChart>
      <c:catAx>
        <c:axId val="576108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108456"/>
        <c:crosses val="autoZero"/>
        <c:auto val="1"/>
        <c:lblAlgn val="ctr"/>
        <c:lblOffset val="100"/>
        <c:noMultiLvlLbl val="0"/>
      </c:catAx>
      <c:valAx>
        <c:axId val="576108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108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Current Running Total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'Employee Trend'!$Y$8:$Y$43</c:f>
              <c:numCache>
                <c:formatCode>d\-mmm\-yy</c:formatCode>
                <c:ptCount val="36"/>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cat>
          <c:val>
            <c:numRef>
              <c:f>'Employee Trend'!$AA$8:$AA$43</c:f>
              <c:numCache>
                <c:formatCode>General</c:formatCode>
                <c:ptCount val="36"/>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val>
          <c:smooth val="0"/>
          <c:extLst>
            <c:ext xmlns:c16="http://schemas.microsoft.com/office/drawing/2014/chart" uri="{C3380CC4-5D6E-409C-BE32-E72D297353CC}">
              <c16:uniqueId val="{00000000-53FF-4D20-8672-04F269510563}"/>
            </c:ext>
          </c:extLst>
        </c:ser>
        <c:dLbls>
          <c:showLegendKey val="0"/>
          <c:showVal val="0"/>
          <c:showCatName val="0"/>
          <c:showSerName val="0"/>
          <c:showPercent val="0"/>
          <c:showBubbleSize val="0"/>
        </c:dLbls>
        <c:smooth val="0"/>
        <c:axId val="544404856"/>
        <c:axId val="544410760"/>
      </c:lineChart>
      <c:dateAx>
        <c:axId val="544404856"/>
        <c:scaling>
          <c:orientation val="minMax"/>
        </c:scaling>
        <c:delete val="0"/>
        <c:axPos val="b"/>
        <c:numFmt formatCode="d\-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4410760"/>
        <c:crosses val="autoZero"/>
        <c:auto val="1"/>
        <c:lblOffset val="100"/>
        <c:baseTimeUnit val="months"/>
      </c:dateAx>
      <c:valAx>
        <c:axId val="544410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4404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dataset project 2.xlsx]Dpt Head Count!PivotTable3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'Dpt Head Count'!$D$5</c:f>
              <c:strCache>
                <c:ptCount val="1"/>
                <c:pt idx="0">
                  <c:v>Total</c:v>
                </c:pt>
              </c:strCache>
            </c:strRef>
          </c:tx>
          <c:spPr>
            <a:solidFill>
              <a:schemeClr val="accent1"/>
            </a:solidFill>
            <a:ln>
              <a:noFill/>
            </a:ln>
            <a:effectLst/>
          </c:spPr>
          <c:invertIfNegative val="0"/>
          <c:cat>
            <c:strRef>
              <c:f>'Dpt Head Count'!$C$6:$C$11</c:f>
              <c:strCache>
                <c:ptCount val="5"/>
                <c:pt idx="0">
                  <c:v>Procurement</c:v>
                </c:pt>
                <c:pt idx="1">
                  <c:v>Website</c:v>
                </c:pt>
                <c:pt idx="2">
                  <c:v>Finance</c:v>
                </c:pt>
                <c:pt idx="3">
                  <c:v>Sales</c:v>
                </c:pt>
                <c:pt idx="4">
                  <c:v>HR</c:v>
                </c:pt>
              </c:strCache>
            </c:strRef>
          </c:cat>
          <c:val>
            <c:numRef>
              <c:f>'Dpt Head Count'!$D$6:$D$11</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DC9D-46F5-8594-C9EB4F7C4E9F}"/>
            </c:ext>
          </c:extLst>
        </c:ser>
        <c:dLbls>
          <c:showLegendKey val="0"/>
          <c:showVal val="0"/>
          <c:showCatName val="0"/>
          <c:showSerName val="0"/>
          <c:showPercent val="0"/>
          <c:showBubbleSize val="0"/>
        </c:dLbls>
        <c:gapWidth val="182"/>
        <c:axId val="610880776"/>
        <c:axId val="616833088"/>
      </c:barChart>
      <c:catAx>
        <c:axId val="610880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833088"/>
        <c:crosses val="autoZero"/>
        <c:auto val="1"/>
        <c:lblAlgn val="ctr"/>
        <c:lblOffset val="100"/>
        <c:noMultiLvlLbl val="0"/>
      </c:catAx>
      <c:valAx>
        <c:axId val="6168330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08807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dataset project 2.xlsx]Dpt Head Count!PivotTable4</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tx1">
              <a:lumMod val="65000"/>
              <a:lumOff val="3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'Dpt Head Count'!$J$5</c:f>
              <c:strCache>
                <c:ptCount val="1"/>
                <c:pt idx="0">
                  <c:v>Total</c:v>
                </c:pt>
              </c:strCache>
            </c:strRef>
          </c:tx>
          <c:spPr>
            <a:solidFill>
              <a:schemeClr val="tx1">
                <a:lumMod val="65000"/>
                <a:lumOff val="35000"/>
              </a:schemeClr>
            </a:solidFill>
            <a:ln>
              <a:noFill/>
            </a:ln>
            <a:effectLst/>
          </c:spPr>
          <c:invertIfNegative val="0"/>
          <c:cat>
            <c:strRef>
              <c:f>'Dpt Head Count'!$I$6:$I$11</c:f>
              <c:strCache>
                <c:ptCount val="5"/>
                <c:pt idx="0">
                  <c:v>Procurement</c:v>
                </c:pt>
                <c:pt idx="1">
                  <c:v>Website</c:v>
                </c:pt>
                <c:pt idx="2">
                  <c:v>Finance</c:v>
                </c:pt>
                <c:pt idx="3">
                  <c:v>Sales</c:v>
                </c:pt>
                <c:pt idx="4">
                  <c:v>HR</c:v>
                </c:pt>
              </c:strCache>
            </c:strRef>
          </c:cat>
          <c:val>
            <c:numRef>
              <c:f>'Dpt Head Count'!$J$6:$J$11</c:f>
              <c:numCache>
                <c:formatCode>General</c:formatCode>
                <c:ptCount val="5"/>
                <c:pt idx="0">
                  <c:v>55</c:v>
                </c:pt>
                <c:pt idx="1">
                  <c:v>54</c:v>
                </c:pt>
                <c:pt idx="2">
                  <c:v>38</c:v>
                </c:pt>
                <c:pt idx="3">
                  <c:v>28</c:v>
                </c:pt>
                <c:pt idx="4">
                  <c:v>8</c:v>
                </c:pt>
              </c:numCache>
            </c:numRef>
          </c:val>
          <c:extLst>
            <c:ext xmlns:c16="http://schemas.microsoft.com/office/drawing/2014/chart" uri="{C3380CC4-5D6E-409C-BE32-E72D297353CC}">
              <c16:uniqueId val="{00000000-5723-464F-B1BD-995BE93A7BFE}"/>
            </c:ext>
          </c:extLst>
        </c:ser>
        <c:dLbls>
          <c:showLegendKey val="0"/>
          <c:showVal val="0"/>
          <c:showCatName val="0"/>
          <c:showSerName val="0"/>
          <c:showPercent val="0"/>
          <c:showBubbleSize val="0"/>
        </c:dLbls>
        <c:gapWidth val="182"/>
        <c:axId val="1196614672"/>
        <c:axId val="1196615984"/>
      </c:barChart>
      <c:catAx>
        <c:axId val="11966146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6615984"/>
        <c:crosses val="autoZero"/>
        <c:auto val="1"/>
        <c:lblAlgn val="ctr"/>
        <c:lblOffset val="100"/>
        <c:noMultiLvlLbl val="0"/>
      </c:catAx>
      <c:valAx>
        <c:axId val="11966159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6614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dataset project 2.xlsx]Dpt Head Count!PivotTable3</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'Dpt Head Count'!$D$5</c:f>
              <c:strCache>
                <c:ptCount val="1"/>
                <c:pt idx="0">
                  <c:v>Total</c:v>
                </c:pt>
              </c:strCache>
            </c:strRef>
          </c:tx>
          <c:spPr>
            <a:solidFill>
              <a:schemeClr val="accent1"/>
            </a:solidFill>
            <a:ln>
              <a:noFill/>
            </a:ln>
            <a:effectLst/>
          </c:spPr>
          <c:invertIfNegative val="0"/>
          <c:cat>
            <c:strRef>
              <c:f>'Dpt Head Count'!$C$6:$C$11</c:f>
              <c:strCache>
                <c:ptCount val="5"/>
                <c:pt idx="0">
                  <c:v>Procurement</c:v>
                </c:pt>
                <c:pt idx="1">
                  <c:v>Website</c:v>
                </c:pt>
                <c:pt idx="2">
                  <c:v>Finance</c:v>
                </c:pt>
                <c:pt idx="3">
                  <c:v>Sales</c:v>
                </c:pt>
                <c:pt idx="4">
                  <c:v>HR</c:v>
                </c:pt>
              </c:strCache>
            </c:strRef>
          </c:cat>
          <c:val>
            <c:numRef>
              <c:f>'Dpt Head Count'!$D$6:$D$11</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8B05-4772-AA48-1B3663ECCD2F}"/>
            </c:ext>
          </c:extLst>
        </c:ser>
        <c:dLbls>
          <c:showLegendKey val="0"/>
          <c:showVal val="0"/>
          <c:showCatName val="0"/>
          <c:showSerName val="0"/>
          <c:showPercent val="0"/>
          <c:showBubbleSize val="0"/>
        </c:dLbls>
        <c:gapWidth val="18"/>
        <c:axId val="610880776"/>
        <c:axId val="616833088"/>
      </c:barChart>
      <c:catAx>
        <c:axId val="610880776"/>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616833088"/>
        <c:crosses val="autoZero"/>
        <c:auto val="1"/>
        <c:lblAlgn val="ctr"/>
        <c:lblOffset val="100"/>
        <c:noMultiLvlLbl val="0"/>
      </c:catAx>
      <c:valAx>
        <c:axId val="616833088"/>
        <c:scaling>
          <c:orientation val="minMax"/>
        </c:scaling>
        <c:delete val="0"/>
        <c:axPos val="t"/>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08807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dataset project 2.xlsx]Dpt Head Count!PivotTable4</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tx1">
              <a:lumMod val="65000"/>
              <a:lumOff val="3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1">
              <a:lumMod val="65000"/>
              <a:lumOff val="3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1">
              <a:lumMod val="65000"/>
              <a:lumOff val="3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'Dpt Head Count'!$J$5</c:f>
              <c:strCache>
                <c:ptCount val="1"/>
                <c:pt idx="0">
                  <c:v>Total</c:v>
                </c:pt>
              </c:strCache>
            </c:strRef>
          </c:tx>
          <c:spPr>
            <a:solidFill>
              <a:schemeClr val="tx1">
                <a:lumMod val="65000"/>
                <a:lumOff val="35000"/>
              </a:schemeClr>
            </a:solidFill>
            <a:ln>
              <a:noFill/>
            </a:ln>
            <a:effectLst/>
          </c:spPr>
          <c:invertIfNegative val="0"/>
          <c:cat>
            <c:strRef>
              <c:f>'Dpt Head Count'!$I$6:$I$11</c:f>
              <c:strCache>
                <c:ptCount val="5"/>
                <c:pt idx="0">
                  <c:v>Procurement</c:v>
                </c:pt>
                <c:pt idx="1">
                  <c:v>Website</c:v>
                </c:pt>
                <c:pt idx="2">
                  <c:v>Finance</c:v>
                </c:pt>
                <c:pt idx="3">
                  <c:v>Sales</c:v>
                </c:pt>
                <c:pt idx="4">
                  <c:v>HR</c:v>
                </c:pt>
              </c:strCache>
            </c:strRef>
          </c:cat>
          <c:val>
            <c:numRef>
              <c:f>'Dpt Head Count'!$J$6:$J$11</c:f>
              <c:numCache>
                <c:formatCode>General</c:formatCode>
                <c:ptCount val="5"/>
                <c:pt idx="0">
                  <c:v>55</c:v>
                </c:pt>
                <c:pt idx="1">
                  <c:v>54</c:v>
                </c:pt>
                <c:pt idx="2">
                  <c:v>38</c:v>
                </c:pt>
                <c:pt idx="3">
                  <c:v>28</c:v>
                </c:pt>
                <c:pt idx="4">
                  <c:v>8</c:v>
                </c:pt>
              </c:numCache>
            </c:numRef>
          </c:val>
          <c:extLst>
            <c:ext xmlns:c16="http://schemas.microsoft.com/office/drawing/2014/chart" uri="{C3380CC4-5D6E-409C-BE32-E72D297353CC}">
              <c16:uniqueId val="{00000000-CCF3-4D74-86FA-448BF83D6978}"/>
            </c:ext>
          </c:extLst>
        </c:ser>
        <c:dLbls>
          <c:showLegendKey val="0"/>
          <c:showVal val="0"/>
          <c:showCatName val="0"/>
          <c:showSerName val="0"/>
          <c:showPercent val="0"/>
          <c:showBubbleSize val="0"/>
        </c:dLbls>
        <c:gapWidth val="21"/>
        <c:axId val="1196614672"/>
        <c:axId val="1196615984"/>
      </c:barChart>
      <c:catAx>
        <c:axId val="119661467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6615984"/>
        <c:crosses val="autoZero"/>
        <c:auto val="1"/>
        <c:lblAlgn val="ctr"/>
        <c:lblOffset val="100"/>
        <c:noMultiLvlLbl val="0"/>
      </c:catAx>
      <c:valAx>
        <c:axId val="1196615984"/>
        <c:scaling>
          <c:orientation val="minMax"/>
        </c:scaling>
        <c:delete val="0"/>
        <c:axPos val="t"/>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6614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Salary spread by 10,000$</cx:v>
        </cx:txData>
      </cx:tx>
    </cx:title>
    <cx:plotArea>
      <cx:plotAreaRegion>
        <cx:series layoutId="clusteredColumn" uniqueId="{9AF593A3-1B59-47B0-A73D-B7A49970852C}" formatIdx="0">
          <cx:tx>
            <cx:txData>
              <cx:f>_xlchart.v1.0</cx:f>
              <cx:v>Salary</cx:v>
            </cx:txData>
          </cx:tx>
          <cx:dataId val="0"/>
          <cx:layoutPr>
            <cx:binning intervalClosed="r" underflow="40000" overflow="auto">
              <cx:binSize val="10000"/>
            </cx:binning>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0</xdr:colOff>
      <xdr:row>3</xdr:row>
      <xdr:rowOff>0</xdr:rowOff>
    </xdr:from>
    <xdr:to>
      <xdr:col>15</xdr:col>
      <xdr:colOff>123825</xdr:colOff>
      <xdr:row>22</xdr:row>
      <xdr:rowOff>114300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8FFA8216-335E-4C4D-BC26-6B45CF2D430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09600" y="571500"/>
              <a:ext cx="8658225" cy="37338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2</xdr:row>
      <xdr:rowOff>0</xdr:rowOff>
    </xdr:from>
    <xdr:to>
      <xdr:col>15</xdr:col>
      <xdr:colOff>590550</xdr:colOff>
      <xdr:row>21</xdr:row>
      <xdr:rowOff>19050</xdr:rowOff>
    </xdr:to>
    <xdr:graphicFrame macro="">
      <xdr:nvGraphicFramePr>
        <xdr:cNvPr id="3" name="Chart 2">
          <a:extLst>
            <a:ext uri="{FF2B5EF4-FFF2-40B4-BE49-F238E27FC236}">
              <a16:creationId xmlns:a16="http://schemas.microsoft.com/office/drawing/2014/main" id="{6C7B2AA0-A6E4-4285-8EF7-C4315AFEC3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123824</xdr:colOff>
      <xdr:row>2</xdr:row>
      <xdr:rowOff>104775</xdr:rowOff>
    </xdr:from>
    <xdr:to>
      <xdr:col>10</xdr:col>
      <xdr:colOff>666749</xdr:colOff>
      <xdr:row>8</xdr:row>
      <xdr:rowOff>180975</xdr:rowOff>
    </xdr:to>
    <mc:AlternateContent xmlns:mc="http://schemas.openxmlformats.org/markup-compatibility/2006">
      <mc:Choice xmlns:a14="http://schemas.microsoft.com/office/drawing/2010/main" Requires="a14">
        <xdr:graphicFrame macro="">
          <xdr:nvGraphicFramePr>
            <xdr:cNvPr id="4" name="Country">
              <a:extLst>
                <a:ext uri="{FF2B5EF4-FFF2-40B4-BE49-F238E27FC236}">
                  <a16:creationId xmlns:a16="http://schemas.microsoft.com/office/drawing/2014/main" id="{52385AB6-5D79-43D1-B2C6-E5EED93D14EA}"/>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5676899" y="485775"/>
              <a:ext cx="2828925" cy="1219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5</xdr:col>
      <xdr:colOff>581024</xdr:colOff>
      <xdr:row>5</xdr:row>
      <xdr:rowOff>179855</xdr:rowOff>
    </xdr:from>
    <xdr:to>
      <xdr:col>18</xdr:col>
      <xdr:colOff>323849</xdr:colOff>
      <xdr:row>21</xdr:row>
      <xdr:rowOff>160804</xdr:rowOff>
    </xdr:to>
    <xdr:graphicFrame macro="">
      <xdr:nvGraphicFramePr>
        <xdr:cNvPr id="3" name="Chart 2">
          <a:extLst>
            <a:ext uri="{FF2B5EF4-FFF2-40B4-BE49-F238E27FC236}">
              <a16:creationId xmlns:a16="http://schemas.microsoft.com/office/drawing/2014/main" id="{4BE6AEAF-D036-4AA6-918E-FF62DF8768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28</xdr:col>
      <xdr:colOff>596013</xdr:colOff>
      <xdr:row>5</xdr:row>
      <xdr:rowOff>176212</xdr:rowOff>
    </xdr:from>
    <xdr:to>
      <xdr:col>36</xdr:col>
      <xdr:colOff>293454</xdr:colOff>
      <xdr:row>20</xdr:row>
      <xdr:rowOff>82923</xdr:rowOff>
    </xdr:to>
    <xdr:graphicFrame macro="">
      <xdr:nvGraphicFramePr>
        <xdr:cNvPr id="2" name="Chart 1">
          <a:extLst>
            <a:ext uri="{FF2B5EF4-FFF2-40B4-BE49-F238E27FC236}">
              <a16:creationId xmlns:a16="http://schemas.microsoft.com/office/drawing/2014/main" id="{38162D1C-883F-4FC9-9FD9-1167A7D5D3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457200</xdr:colOff>
      <xdr:row>13</xdr:row>
      <xdr:rowOff>161925</xdr:rowOff>
    </xdr:from>
    <xdr:to>
      <xdr:col>8</xdr:col>
      <xdr:colOff>571500</xdr:colOff>
      <xdr:row>28</xdr:row>
      <xdr:rowOff>47625</xdr:rowOff>
    </xdr:to>
    <xdr:graphicFrame macro="">
      <xdr:nvGraphicFramePr>
        <xdr:cNvPr id="2" name="Chart 1">
          <a:extLst>
            <a:ext uri="{FF2B5EF4-FFF2-40B4-BE49-F238E27FC236}">
              <a16:creationId xmlns:a16="http://schemas.microsoft.com/office/drawing/2014/main" id="{758B0E33-E9E1-40C7-9FFD-B477E28D71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928687</xdr:colOff>
      <xdr:row>13</xdr:row>
      <xdr:rowOff>180975</xdr:rowOff>
    </xdr:from>
    <xdr:to>
      <xdr:col>17</xdr:col>
      <xdr:colOff>271462</xdr:colOff>
      <xdr:row>28</xdr:row>
      <xdr:rowOff>66675</xdr:rowOff>
    </xdr:to>
    <xdr:graphicFrame macro="">
      <xdr:nvGraphicFramePr>
        <xdr:cNvPr id="3" name="Chart 2">
          <a:extLst>
            <a:ext uri="{FF2B5EF4-FFF2-40B4-BE49-F238E27FC236}">
              <a16:creationId xmlns:a16="http://schemas.microsoft.com/office/drawing/2014/main" id="{AA01C843-A635-455C-858D-1A9ADD1254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602455</xdr:colOff>
      <xdr:row>6</xdr:row>
      <xdr:rowOff>161924</xdr:rowOff>
    </xdr:from>
    <xdr:to>
      <xdr:col>6</xdr:col>
      <xdr:colOff>1762124</xdr:colOff>
      <xdr:row>29</xdr:row>
      <xdr:rowOff>126206</xdr:rowOff>
    </xdr:to>
    <xdr:graphicFrame macro="">
      <xdr:nvGraphicFramePr>
        <xdr:cNvPr id="2" name="Chart 1">
          <a:extLst>
            <a:ext uri="{FF2B5EF4-FFF2-40B4-BE49-F238E27FC236}">
              <a16:creationId xmlns:a16="http://schemas.microsoft.com/office/drawing/2014/main" id="{ACC47D1E-8B48-4B9D-AC07-139FB28D1F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9525</xdr:colOff>
      <xdr:row>6</xdr:row>
      <xdr:rowOff>154782</xdr:rowOff>
    </xdr:from>
    <xdr:to>
      <xdr:col>16</xdr:col>
      <xdr:colOff>19050</xdr:colOff>
      <xdr:row>29</xdr:row>
      <xdr:rowOff>142874</xdr:rowOff>
    </xdr:to>
    <xdr:graphicFrame macro="">
      <xdr:nvGraphicFramePr>
        <xdr:cNvPr id="3" name="Chart 2">
          <a:extLst>
            <a:ext uri="{FF2B5EF4-FFF2-40B4-BE49-F238E27FC236}">
              <a16:creationId xmlns:a16="http://schemas.microsoft.com/office/drawing/2014/main" id="{26D15DF6-8CE0-4034-B5A6-0D67FEF010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457200</xdr:colOff>
      <xdr:row>0</xdr:row>
      <xdr:rowOff>161925</xdr:rowOff>
    </xdr:from>
    <xdr:to>
      <xdr:col>8</xdr:col>
      <xdr:colOff>504825</xdr:colOff>
      <xdr:row>29</xdr:row>
      <xdr:rowOff>161925</xdr:rowOff>
    </xdr:to>
    <xdr:cxnSp macro="">
      <xdr:nvCxnSpPr>
        <xdr:cNvPr id="5" name="Straight Connector 4">
          <a:extLst>
            <a:ext uri="{FF2B5EF4-FFF2-40B4-BE49-F238E27FC236}">
              <a16:creationId xmlns:a16="http://schemas.microsoft.com/office/drawing/2014/main" id="{DA4269DA-E78C-47F0-B708-6F08B2EF33BD}"/>
            </a:ext>
          </a:extLst>
        </xdr:cNvPr>
        <xdr:cNvCxnSpPr/>
      </xdr:nvCxnSpPr>
      <xdr:spPr>
        <a:xfrm flipH="1">
          <a:off x="8305800" y="161925"/>
          <a:ext cx="47625" cy="6743700"/>
        </a:xfrm>
        <a:prstGeom prst="line">
          <a:avLst/>
        </a:prstGeom>
        <a:ln>
          <a:solidFill>
            <a:schemeClr val="bg1">
              <a:lumMod val="85000"/>
            </a:schemeClr>
          </a:solidFill>
          <a:prstDash val="lgDash"/>
        </a:ln>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319.920549074071" backgroundQuery="1" createdVersion="7" refreshedVersion="7" minRefreshableVersion="3" recordCount="0" supportSubquery="1" supportAdvancedDrill="1" xr:uid="{A4DA67CB-B30F-4C82-838A-45900610301A}">
  <cacheSource type="external" connectionId="6"/>
  <cacheFields count="3">
    <cacheField name="[Measures].[Count of Name]" caption="Count of Name" numFmtId="0" hierarchy="13" level="32767"/>
    <cacheField name="[staff].[Department].[Department]" caption="Department" numFmtId="0" hierarchy="2" level="1">
      <sharedItems count="5">
        <s v="Finance"/>
        <s v="HR"/>
        <s v="Procurement"/>
        <s v="Sales"/>
        <s v="Website"/>
      </sharedItems>
    </cacheField>
    <cacheField name="[staff].[Country].[Country]" caption="Country" numFmtId="0" hierarchy="7" level="1">
      <sharedItems containsSemiMixedTypes="0" containsNonDate="0" containsString="0"/>
    </cacheField>
  </cacheFields>
  <cacheHierarchies count="1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1"/>
      </fieldsUsage>
    </cacheHierarchy>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fieldsUsage count="2">
        <fieldUsage x="-1"/>
        <fieldUsage x="2"/>
      </fieldsUsage>
    </cacheHierarchy>
    <cacheHierarchy uniqueName="[staff].[Tenure]" caption="Tenure" attribute="1" defaultMemberUniqueName="[staff].[Tenure].[All]" allUniqueName="[staff].[Tenure].[All]" dimensionUniqueName="[staff]" displayFolder="" count="0" memberValueDatatype="5" unbalanced="0"/>
    <cacheHierarchy uniqueName="[staff].[Bonus]" caption="Bonus" attribute="1" defaultMemberUniqueName="[staff].[Bonus].[All]" allUniqueName="[staff].[Bonus].[All]" dimensionUniqueName="[staff]" displayFolder="" count="0" memberValueDatatype="5" unbalanced="0"/>
    <cacheHierarchy uniqueName="[staff].[Rating number]" caption="Rating number" attribute="1" defaultMemberUniqueName="[staff].[Rating number].[All]" allUniqueName="[staff].[Rating number].[All]" dimensionUniqueName="[staff]" displayFolder="" count="0" memberValueDatatype="20" unbalanced="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0"/>
      </fieldsUsage>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319.920550000003" backgroundQuery="1" createdVersion="7" refreshedVersion="7" minRefreshableVersion="3" recordCount="0" supportSubquery="1" supportAdvancedDrill="1" xr:uid="{04508542-1742-4F78-9E2B-60D63E56643C}">
  <cacheSource type="external" connectionId="6"/>
  <cacheFields count="3">
    <cacheField name="[Measures].[Count of Name]" caption="Count of Name" numFmtId="0" hierarchy="13" level="32767"/>
    <cacheField name="[staff].[Department].[Department]" caption="Department" numFmtId="0" hierarchy="2" level="1">
      <sharedItems count="5">
        <s v="Finance"/>
        <s v="HR"/>
        <s v="Procurement"/>
        <s v="Sales"/>
        <s v="Website"/>
      </sharedItems>
    </cacheField>
    <cacheField name="[staff].[Country].[Country]" caption="Country" numFmtId="0" hierarchy="7" level="1">
      <sharedItems containsSemiMixedTypes="0" containsNonDate="0" containsString="0"/>
    </cacheField>
  </cacheFields>
  <cacheHierarchies count="1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1"/>
      </fieldsUsage>
    </cacheHierarchy>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fieldsUsage count="2">
        <fieldUsage x="-1"/>
        <fieldUsage x="2"/>
      </fieldsUsage>
    </cacheHierarchy>
    <cacheHierarchy uniqueName="[staff].[Tenure]" caption="Tenure" attribute="1" defaultMemberUniqueName="[staff].[Tenure].[All]" allUniqueName="[staff].[Tenure].[All]" dimensionUniqueName="[staff]" displayFolder="" count="0" memberValueDatatype="5" unbalanced="0"/>
    <cacheHierarchy uniqueName="[staff].[Bonus]" caption="Bonus" attribute="1" defaultMemberUniqueName="[staff].[Bonus].[All]" allUniqueName="[staff].[Bonus].[All]" dimensionUniqueName="[staff]" displayFolder="" count="0" memberValueDatatype="5" unbalanced="0"/>
    <cacheHierarchy uniqueName="[staff].[Rating number]" caption="Rating number" attribute="1" defaultMemberUniqueName="[staff].[Rating number].[All]" allUniqueName="[staff].[Rating number].[All]" dimensionUniqueName="[staff]" displayFolder="" count="0" memberValueDatatype="20" unbalanced="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0"/>
      </fieldsUsage>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319.920550000003" createdVersion="8" refreshedVersion="7" minRefreshableVersion="3" recordCount="183" xr:uid="{5681DFA4-C7E3-4E38-BC4D-0EBEE525AC67}">
  <cacheSource type="worksheet">
    <worksheetSource name="staff"/>
  </cacheSource>
  <cacheFields count="11">
    <cacheField name="Name" numFmtId="0">
      <sharedItems/>
    </cacheField>
    <cacheField name="Gender" numFmtId="0">
      <sharedItems count="3">
        <s v="Male"/>
        <s v="Female"/>
        <s v="others"/>
      </sharedItems>
    </cacheField>
    <cacheField name="Department" numFmtId="0">
      <sharedItems/>
    </cacheField>
    <cacheField name="Age" numFmtId="0">
      <sharedItems containsSemiMixedTypes="0" containsString="0" containsNumber="1" containsInteger="1" minValue="19" maxValue="46"/>
    </cacheField>
    <cacheField name="Date Joined" numFmtId="14">
      <sharedItems containsSemiMixedTypes="0" containsNonDate="0" containsDate="1" containsString="0" minDate="2020-05-07T00:00:00" maxDate="2023-04-30T00:00:00" count="160">
        <d v="2021-09-07T00:00:00"/>
        <d v="2022-07-16T00:00:00"/>
        <d v="2021-06-10T00:00:00"/>
        <d v="2020-11-11T00:00:00"/>
        <d v="2021-09-26T00:00:00"/>
        <d v="2022-10-27T00:00:00"/>
        <d v="2022-05-20T00:00:00"/>
        <d v="2020-11-13T00:00:00"/>
        <d v="2021-11-09T00:00:00"/>
        <d v="2020-10-18T00:00:00"/>
        <d v="2020-12-15T00:00:00"/>
        <d v="2021-07-06T00:00:00"/>
        <d v="2021-09-20T00:00:00"/>
        <d v="2021-06-07T00:00:00"/>
        <d v="2021-03-08T00:00:00"/>
        <d v="2020-09-30T00:00:00"/>
        <d v="2022-07-20T00:00:00"/>
        <d v="2020-11-10T00:00:00"/>
        <d v="2021-02-15T00:00:00"/>
        <d v="2022-04-02T00:00:00"/>
        <d v="2021-07-12T00:00:00"/>
        <d v="2022-04-12T00:00:00"/>
        <d v="2022-01-06T00:00:00"/>
        <d v="2022-02-05T00:00:00"/>
        <d v="2022-08-06T00:00:00"/>
        <d v="2021-05-21T00:00:00"/>
        <d v="2020-07-11T00:00:00"/>
        <d v="2020-12-20T00:00:00"/>
        <d v="2022-02-20T00:00:00"/>
        <d v="2021-06-27T00:00:00"/>
        <d v="2020-11-29T00:00:00"/>
        <d v="2021-10-25T00:00:00"/>
        <d v="2022-06-14T00:00:00"/>
        <d v="2022-06-09T00:00:00"/>
        <d v="2022-03-10T00:00:00"/>
        <d v="2020-12-25T00:00:00"/>
        <d v="2022-06-12T00:00:00"/>
        <d v="2021-11-11T00:00:00"/>
        <d v="2021-08-28T00:00:00"/>
        <d v="2021-11-29T00:00:00"/>
        <d v="2022-09-05T00:00:00"/>
        <d v="2022-05-05T00:00:00"/>
        <d v="2021-09-06T00:00:00"/>
        <d v="2020-12-18T00:00:00"/>
        <d v="2022-07-02T00:00:00"/>
        <d v="2021-12-07T00:00:00"/>
        <d v="2022-05-13T00:00:00"/>
        <d v="2021-03-22T00:00:00"/>
        <d v="2020-07-07T00:00:00"/>
        <d v="2020-07-29T00:00:00"/>
        <d v="2021-07-23T00:00:00"/>
        <d v="2020-09-11T00:00:00"/>
        <d v="2022-10-16T00:00:00"/>
        <d v="2021-05-17T00:00:00"/>
        <d v="2021-06-30T00:00:00"/>
        <d v="2022-02-17T00:00:00"/>
        <d v="2021-03-18T00:00:00"/>
        <d v="2021-09-12T00:00:00"/>
        <d v="2021-09-11T00:00:00"/>
        <d v="2023-04-29T00:00:00"/>
        <d v="2022-08-01T00:00:00"/>
        <d v="2021-10-17T00:00:00"/>
        <d v="2020-10-30T00:00:00"/>
        <d v="2021-03-16T00:00:00"/>
        <d v="2021-05-13T00:00:00"/>
        <d v="2021-01-09T00:00:00"/>
        <d v="2021-05-01T00:00:00"/>
        <d v="2021-01-29T00:00:00"/>
        <d v="2022-04-15T00:00:00"/>
        <d v="2022-03-29T00:00:00"/>
        <d v="2021-05-22T00:00:00"/>
        <d v="2022-04-27T00:00:00"/>
        <d v="2021-09-01T00:00:00"/>
        <d v="2022-06-15T00:00:00"/>
        <d v="2021-02-09T00:00:00"/>
        <d v="2022-02-28T00:00:00"/>
        <d v="2021-07-04T00:00:00"/>
        <d v="2022-02-14T00:00:00"/>
        <d v="2022-09-16T00:00:00"/>
        <d v="2021-02-16T00:00:00"/>
        <d v="2020-08-24T00:00:00"/>
        <d v="2022-02-19T00:00:00"/>
        <d v="2021-04-26T00:00:00"/>
        <d v="2021-07-08T00:00:00"/>
        <d v="2022-06-19T00:00:00"/>
        <d v="2021-08-03T00:00:00"/>
        <d v="2021-04-07T00:00:00"/>
        <d v="2021-05-23T00:00:00"/>
        <d v="2021-03-13T00:00:00"/>
        <d v="2020-11-09T00:00:00"/>
        <d v="2022-06-01T00:00:00"/>
        <d v="2021-05-08T00:00:00"/>
        <d v="2022-04-14T00:00:00"/>
        <d v="2021-05-04T00:00:00"/>
        <d v="2021-12-14T00:00:00"/>
        <d v="2020-05-29T00:00:00"/>
        <d v="2020-07-30T00:00:00"/>
        <d v="2022-03-22T00:00:00"/>
        <d v="2022-04-09T00:00:00"/>
        <d v="2020-05-07T00:00:00"/>
        <d v="2022-08-16T00:00:00"/>
        <d v="2022-05-02T00:00:00"/>
        <d v="2021-07-11T00:00:00"/>
        <d v="2020-08-30T00:00:00"/>
        <d v="2021-12-28T00:00:00"/>
        <d v="2022-06-06T00:00:00"/>
        <d v="2022-03-05T00:00:00"/>
        <d v="2022-02-12T00:00:00"/>
        <d v="2023-02-28T00:00:00"/>
        <d v="2021-12-19T00:00:00"/>
        <d v="2022-08-27T00:00:00"/>
        <d v="2021-03-01T00:00:00"/>
        <d v="2022-01-10T00:00:00"/>
        <d v="2022-03-13T00:00:00"/>
        <d v="2021-06-28T00:00:00"/>
        <d v="2020-10-15T00:00:00"/>
        <d v="2020-08-18T00:00:00"/>
        <d v="2021-07-07T00:00:00"/>
        <d v="2021-11-06T00:00:00"/>
        <d v="2021-04-10T00:00:00"/>
        <d v="2021-07-20T00:00:00"/>
        <d v="2022-02-27T00:00:00"/>
        <d v="2021-02-26T00:00:00"/>
        <d v="2022-02-02T00:00:00"/>
        <d v="2021-08-17T00:00:00"/>
        <d v="2020-12-09T00:00:00"/>
        <d v="2022-04-19T00:00:00"/>
        <d v="2020-10-20T00:00:00"/>
        <d v="2021-01-16T00:00:00"/>
        <d v="2022-02-15T00:00:00"/>
        <d v="2020-09-29T00:00:00"/>
        <d v="2020-06-24T00:00:00"/>
        <d v="2021-12-05T00:00:00"/>
        <d v="2021-03-21T00:00:00"/>
        <d v="2021-10-07T00:00:00"/>
        <d v="2021-07-26T00:00:00"/>
        <d v="2021-04-30T00:00:00"/>
        <d v="2021-01-08T00:00:00"/>
        <d v="2020-09-10T00:00:00"/>
        <d v="2021-03-17T00:00:00"/>
        <d v="2021-12-17T00:00:00"/>
        <d v="2022-07-05T00:00:00"/>
        <d v="2021-06-03T00:00:00"/>
        <d v="2022-03-20T00:00:00"/>
        <d v="2021-05-12T00:00:00"/>
        <d v="2021-01-18T00:00:00"/>
        <d v="2021-12-20T00:00:00"/>
        <d v="2021-07-01T00:00:00"/>
        <d v="2021-09-29T00:00:00"/>
        <d v="2022-01-29T00:00:00"/>
        <d v="2020-05-11T00:00:00"/>
        <d v="2020-09-13T00:00:00"/>
        <d v="2021-05-06T00:00:00"/>
        <d v="2021-04-27T00:00:00"/>
        <d v="2021-09-09T00:00:00"/>
        <d v="2021-08-25T00:00:00"/>
        <d v="2021-01-22T00:00:00"/>
        <d v="2022-05-16T00:00:00"/>
        <d v="2020-12-16T00:00:00"/>
        <d v="2020-10-25T00:00:00"/>
      </sharedItems>
    </cacheField>
    <cacheField name="Salary" numFmtId="8">
      <sharedItems containsSemiMixedTypes="0" containsString="0" containsNumber="1" containsInteger="1" minValue="33920" maxValue="119110"/>
    </cacheField>
    <cacheField name="Rating" numFmtId="0">
      <sharedItems containsBlank="1" count="6">
        <s v="Above average"/>
        <s v="Average"/>
        <s v="Poor"/>
        <s v="Exceptional"/>
        <s v="Very poor"/>
        <m u="1"/>
      </sharedItems>
    </cacheField>
    <cacheField name="Country" numFmtId="0">
      <sharedItems count="2">
        <s v="UK"/>
        <s v="India"/>
      </sharedItems>
    </cacheField>
    <cacheField name="Tenure" numFmtId="2">
      <sharedItems containsSemiMixedTypes="0" containsString="0" containsNumber="1" minValue="0.75068493150684934" maxValue="3.7287671232876711"/>
    </cacheField>
    <cacheField name="Bonus" numFmtId="167">
      <sharedItems containsSemiMixedTypes="0" containsString="0" containsNumber="1" minValue="678.4" maxValue="3573.2999999999997"/>
    </cacheField>
    <cacheField name="Rating number" numFmtId="0">
      <sharedItems containsSemiMixedTypes="0" containsString="0" containsNumber="1" containsInteger="1" minValue="1" maxValue="5"/>
    </cacheField>
  </cacheFields>
  <extLst>
    <ext xmlns:x14="http://schemas.microsoft.com/office/spreadsheetml/2009/9/main" uri="{725AE2AE-9491-48be-B2B4-4EB974FC3084}">
      <x14:pivotCacheDefinition pivotCacheId="25300806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
  <r>
    <s v="Lindy Guillet"/>
    <x v="0"/>
    <s v="Sales"/>
    <n v="22"/>
    <x v="0"/>
    <n v="112780"/>
    <x v="0"/>
    <x v="0"/>
    <n v="2.3917808219178083"/>
    <n v="3383.4"/>
    <n v="4"/>
  </r>
  <r>
    <s v="Ambros Murthwaite"/>
    <x v="0"/>
    <s v="Procurement"/>
    <n v="46"/>
    <x v="1"/>
    <n v="70610"/>
    <x v="1"/>
    <x v="0"/>
    <n v="1.536986301369863"/>
    <n v="1412.2"/>
    <n v="3"/>
  </r>
  <r>
    <s v="Tatum Hush"/>
    <x v="1"/>
    <s v="Sales"/>
    <n v="28"/>
    <x v="2"/>
    <n v="53240"/>
    <x v="1"/>
    <x v="0"/>
    <n v="2.6356164383561644"/>
    <n v="1597.2"/>
    <n v="3"/>
  </r>
  <r>
    <s v="Benny Karolovsky"/>
    <x v="2"/>
    <s v="Finance"/>
    <n v="37"/>
    <x v="3"/>
    <n v="115440"/>
    <x v="2"/>
    <x v="0"/>
    <n v="3.2136986301369861"/>
    <n v="3463.2"/>
    <n v="2"/>
  </r>
  <r>
    <s v="Hoyt D'Alesco"/>
    <x v="0"/>
    <s v="Sales"/>
    <n v="32"/>
    <x v="4"/>
    <n v="53540"/>
    <x v="1"/>
    <x v="0"/>
    <n v="2.3397260273972602"/>
    <n v="1606.2"/>
    <n v="3"/>
  </r>
  <r>
    <s v="Halimeda Kuscha"/>
    <x v="1"/>
    <s v="Procurement"/>
    <n v="30"/>
    <x v="5"/>
    <n v="112570"/>
    <x v="1"/>
    <x v="0"/>
    <n v="1.2547945205479452"/>
    <n v="2251.4"/>
    <n v="3"/>
  </r>
  <r>
    <s v="Erin Androsik"/>
    <x v="0"/>
    <s v="Procurement"/>
    <n v="33"/>
    <x v="6"/>
    <n v="48530"/>
    <x v="0"/>
    <x v="0"/>
    <n v="1.6931506849315068"/>
    <n v="970.6"/>
    <n v="4"/>
  </r>
  <r>
    <s v="Vic Radolf"/>
    <x v="1"/>
    <s v="Website"/>
    <n v="24"/>
    <x v="7"/>
    <n v="62780"/>
    <x v="1"/>
    <x v="0"/>
    <n v="3.2082191780821918"/>
    <n v="1883.3999999999999"/>
    <n v="3"/>
  </r>
  <r>
    <s v="William Reeveley"/>
    <x v="0"/>
    <s v="Website"/>
    <n v="33"/>
    <x v="8"/>
    <n v="53870"/>
    <x v="1"/>
    <x v="0"/>
    <n v="2.2191780821917808"/>
    <n v="1616.1"/>
    <n v="3"/>
  </r>
  <r>
    <s v="Ewart Laphorn"/>
    <x v="1"/>
    <s v="HR"/>
    <n v="27"/>
    <x v="9"/>
    <n v="119110"/>
    <x v="1"/>
    <x v="0"/>
    <n v="3.2794520547945205"/>
    <n v="3573.2999999999997"/>
    <n v="3"/>
  </r>
  <r>
    <s v="Bev Lashley"/>
    <x v="0"/>
    <s v="Website"/>
    <n v="29"/>
    <x v="10"/>
    <n v="112110"/>
    <x v="2"/>
    <x v="0"/>
    <n v="3.1205479452054794"/>
    <n v="3363.2999999999997"/>
    <n v="2"/>
  </r>
  <r>
    <s v="Kath Bletsoe"/>
    <x v="0"/>
    <s v="Sales"/>
    <n v="25"/>
    <x v="11"/>
    <n v="65700"/>
    <x v="1"/>
    <x v="0"/>
    <n v="2.5643835616438357"/>
    <n v="1971"/>
    <n v="3"/>
  </r>
  <r>
    <s v="Murry Dryburgh"/>
    <x v="0"/>
    <s v="Website"/>
    <n v="37"/>
    <x v="6"/>
    <n v="69070"/>
    <x v="1"/>
    <x v="0"/>
    <n v="1.6931506849315068"/>
    <n v="1381.4"/>
    <n v="3"/>
  </r>
  <r>
    <s v="Kaine Padly"/>
    <x v="0"/>
    <s v="Website"/>
    <n v="20"/>
    <x v="12"/>
    <n v="107700"/>
    <x v="1"/>
    <x v="0"/>
    <n v="2.3561643835616439"/>
    <n v="3231"/>
    <n v="3"/>
  </r>
  <r>
    <s v="Kassi Jonson"/>
    <x v="1"/>
    <s v="Website"/>
    <n v="32"/>
    <x v="13"/>
    <n v="43840"/>
    <x v="0"/>
    <x v="0"/>
    <n v="2.6438356164383561"/>
    <n v="1315.2"/>
    <n v="4"/>
  </r>
  <r>
    <s v="Simon Kembery"/>
    <x v="0"/>
    <s v="Procurement"/>
    <n v="40"/>
    <x v="14"/>
    <n v="99750"/>
    <x v="1"/>
    <x v="0"/>
    <n v="2.893150684931507"/>
    <n v="2992.5"/>
    <n v="3"/>
  </r>
  <r>
    <s v="Orton Livick"/>
    <x v="0"/>
    <s v="Procurement"/>
    <n v="21"/>
    <x v="15"/>
    <n v="37920"/>
    <x v="1"/>
    <x v="0"/>
    <n v="3.3287671232876712"/>
    <n v="1137.5999999999999"/>
    <n v="3"/>
  </r>
  <r>
    <s v="Kelci Walkden"/>
    <x v="0"/>
    <s v="Procurement"/>
    <n v="21"/>
    <x v="16"/>
    <n v="57090"/>
    <x v="1"/>
    <x v="0"/>
    <n v="1.526027397260274"/>
    <n v="1141.8"/>
    <n v="3"/>
  </r>
  <r>
    <s v="Dotty Strutley"/>
    <x v="1"/>
    <s v="Website"/>
    <n v="31"/>
    <x v="17"/>
    <n v="41980"/>
    <x v="1"/>
    <x v="0"/>
    <n v="3.2164383561643834"/>
    <n v="1259.3999999999999"/>
    <n v="3"/>
  </r>
  <r>
    <s v="Shari McNee"/>
    <x v="0"/>
    <s v="HR"/>
    <n v="21"/>
    <x v="18"/>
    <n v="75880"/>
    <x v="1"/>
    <x v="0"/>
    <n v="2.9506849315068493"/>
    <n v="2276.4"/>
    <n v="3"/>
  </r>
  <r>
    <s v="Oby Sorrel"/>
    <x v="1"/>
    <s v="Finance"/>
    <n v="34"/>
    <x v="19"/>
    <n v="58940"/>
    <x v="1"/>
    <x v="0"/>
    <n v="1.8246575342465754"/>
    <n v="1178.8"/>
    <n v="3"/>
  </r>
  <r>
    <s v="Husein Augar"/>
    <x v="1"/>
    <s v="Finance"/>
    <n v="30"/>
    <x v="20"/>
    <n v="67910"/>
    <x v="2"/>
    <x v="0"/>
    <n v="2.547945205479452"/>
    <n v="2037.3"/>
    <n v="2"/>
  </r>
  <r>
    <s v="Brien Boise"/>
    <x v="1"/>
    <s v="Website"/>
    <n v="31"/>
    <x v="21"/>
    <n v="58100"/>
    <x v="1"/>
    <x v="0"/>
    <n v="1.7972602739726027"/>
    <n v="1162"/>
    <n v="3"/>
  </r>
  <r>
    <s v="Esmaria Denecamp"/>
    <x v="0"/>
    <s v="Finance"/>
    <n v="27"/>
    <x v="22"/>
    <n v="48980"/>
    <x v="1"/>
    <x v="0"/>
    <n v="2.0602739726027397"/>
    <n v="1469.3999999999999"/>
    <n v="3"/>
  </r>
  <r>
    <s v="Curtice Advani"/>
    <x v="2"/>
    <s v="Finance"/>
    <n v="30"/>
    <x v="23"/>
    <n v="64000"/>
    <x v="1"/>
    <x v="0"/>
    <n v="1.978082191780822"/>
    <n v="1280"/>
    <n v="3"/>
  </r>
  <r>
    <s v="Barr Faughny"/>
    <x v="1"/>
    <s v="Procurement"/>
    <n v="42"/>
    <x v="24"/>
    <n v="75000"/>
    <x v="3"/>
    <x v="0"/>
    <n v="1.4794520547945205"/>
    <n v="1500"/>
    <n v="5"/>
  </r>
  <r>
    <s v="Merrilee Plenty"/>
    <x v="1"/>
    <s v="Website"/>
    <n v="40"/>
    <x v="25"/>
    <n v="87620"/>
    <x v="1"/>
    <x v="0"/>
    <n v="2.6904109589041094"/>
    <n v="2628.6"/>
    <n v="3"/>
  </r>
  <r>
    <s v="Niall Selesnick"/>
    <x v="1"/>
    <s v="Website"/>
    <n v="29"/>
    <x v="26"/>
    <n v="34980"/>
    <x v="1"/>
    <x v="0"/>
    <n v="3.5506849315068494"/>
    <n v="1049.3999999999999"/>
    <n v="3"/>
  </r>
  <r>
    <s v="Beverie Moffet"/>
    <x v="1"/>
    <s v="Finance"/>
    <n v="28"/>
    <x v="27"/>
    <n v="75970"/>
    <x v="1"/>
    <x v="0"/>
    <n v="3.106849315068493"/>
    <n v="2279.1"/>
    <n v="3"/>
  </r>
  <r>
    <s v="Jehu Rudeforth"/>
    <x v="1"/>
    <s v="Finance"/>
    <n v="34"/>
    <x v="28"/>
    <n v="60130"/>
    <x v="1"/>
    <x v="0"/>
    <n v="1.9369863013698629"/>
    <n v="1202.6000000000001"/>
    <n v="3"/>
  </r>
  <r>
    <s v="Camilla Castle"/>
    <x v="1"/>
    <s v="Website"/>
    <n v="33"/>
    <x v="29"/>
    <n v="75480"/>
    <x v="4"/>
    <x v="0"/>
    <n v="2.5890410958904111"/>
    <n v="2264.4"/>
    <n v="1"/>
  </r>
  <r>
    <s v="Roddy Speechley"/>
    <x v="0"/>
    <s v="Procurement"/>
    <n v="33"/>
    <x v="30"/>
    <n v="115920"/>
    <x v="1"/>
    <x v="0"/>
    <n v="3.1643835616438358"/>
    <n v="3477.6"/>
    <n v="3"/>
  </r>
  <r>
    <s v="Gray Seamon"/>
    <x v="1"/>
    <s v="Sales"/>
    <n v="36"/>
    <x v="31"/>
    <n v="78540"/>
    <x v="1"/>
    <x v="0"/>
    <n v="2.2602739726027399"/>
    <n v="2356.1999999999998"/>
    <n v="3"/>
  </r>
  <r>
    <s v="Madelene Upcott"/>
    <x v="0"/>
    <s v="Procurement"/>
    <n v="25"/>
    <x v="32"/>
    <n v="109190"/>
    <x v="0"/>
    <x v="0"/>
    <n v="1.6246575342465754"/>
    <n v="2183.8000000000002"/>
    <n v="4"/>
  </r>
  <r>
    <s v="Violante Courtonne"/>
    <x v="1"/>
    <s v="Sales"/>
    <n v="34"/>
    <x v="33"/>
    <n v="49630"/>
    <x v="2"/>
    <x v="0"/>
    <n v="1.6383561643835616"/>
    <n v="992.6"/>
    <n v="2"/>
  </r>
  <r>
    <s v="Bernie Gorges"/>
    <x v="1"/>
    <s v="Procurement"/>
    <n v="28"/>
    <x v="34"/>
    <n v="99970"/>
    <x v="1"/>
    <x v="0"/>
    <n v="1.8876712328767122"/>
    <n v="1999.4"/>
    <n v="3"/>
  </r>
  <r>
    <s v="Torrance Collier"/>
    <x v="1"/>
    <s v="Website"/>
    <n v="33"/>
    <x v="35"/>
    <n v="96140"/>
    <x v="1"/>
    <x v="0"/>
    <n v="3.0931506849315067"/>
    <n v="2884.2"/>
    <n v="3"/>
  </r>
  <r>
    <s v="Dyna Doucette"/>
    <x v="0"/>
    <s v="Procurement"/>
    <n v="31"/>
    <x v="36"/>
    <n v="103550"/>
    <x v="1"/>
    <x v="0"/>
    <n v="1.6301369863013699"/>
    <n v="2071"/>
    <n v="3"/>
  </r>
  <r>
    <s v="Gunar Cockshoot"/>
    <x v="0"/>
    <s v="Website"/>
    <n v="31"/>
    <x v="37"/>
    <n v="48950"/>
    <x v="1"/>
    <x v="0"/>
    <n v="2.2136986301369861"/>
    <n v="1468.5"/>
    <n v="3"/>
  </r>
  <r>
    <s v="Kaye Crocroft"/>
    <x v="0"/>
    <s v="Finance"/>
    <n v="24"/>
    <x v="38"/>
    <n v="52610"/>
    <x v="2"/>
    <x v="0"/>
    <n v="2.419178082191781"/>
    <n v="1578.3"/>
    <n v="2"/>
  </r>
  <r>
    <s v="Allene Gobbet"/>
    <x v="1"/>
    <s v="Procurement"/>
    <n v="36"/>
    <x v="39"/>
    <n v="78390"/>
    <x v="1"/>
    <x v="0"/>
    <n v="2.1643835616438358"/>
    <n v="2351.6999999999998"/>
    <n v="3"/>
  </r>
  <r>
    <s v="Sibyl Dunkirk"/>
    <x v="1"/>
    <s v="Finance"/>
    <n v="33"/>
    <x v="40"/>
    <n v="86570"/>
    <x v="1"/>
    <x v="0"/>
    <n v="1.3972602739726028"/>
    <n v="1731.4"/>
    <n v="3"/>
  </r>
  <r>
    <s v="Agnes Collicott"/>
    <x v="1"/>
    <s v="Website"/>
    <n v="27"/>
    <x v="41"/>
    <n v="83750"/>
    <x v="1"/>
    <x v="0"/>
    <n v="1.7342465753424658"/>
    <n v="1675"/>
    <n v="3"/>
  </r>
  <r>
    <s v="Leilah Yesinin"/>
    <x v="1"/>
    <s v="Finance"/>
    <n v="34"/>
    <x v="42"/>
    <n v="92450"/>
    <x v="1"/>
    <x v="0"/>
    <n v="2.3945205479452056"/>
    <n v="2773.5"/>
    <n v="3"/>
  </r>
  <r>
    <s v="Mollie Hanway"/>
    <x v="0"/>
    <s v="Website"/>
    <n v="20"/>
    <x v="43"/>
    <n v="112650"/>
    <x v="1"/>
    <x v="0"/>
    <n v="3.1123287671232878"/>
    <n v="3379.5"/>
    <n v="3"/>
  </r>
  <r>
    <s v="Kellsie Waby"/>
    <x v="0"/>
    <s v="Procurement"/>
    <n v="20"/>
    <x v="44"/>
    <n v="79570"/>
    <x v="1"/>
    <x v="0"/>
    <n v="1.5753424657534247"/>
    <n v="1591.4"/>
    <n v="3"/>
  </r>
  <r>
    <s v="Hyacinthie Braybrooke"/>
    <x v="1"/>
    <s v="Sales"/>
    <n v="20"/>
    <x v="45"/>
    <n v="68900"/>
    <x v="2"/>
    <x v="0"/>
    <n v="2.1424657534246574"/>
    <n v="2067"/>
    <n v="2"/>
  </r>
  <r>
    <s v="Van Tuxwell"/>
    <x v="1"/>
    <s v="Website"/>
    <n v="25"/>
    <x v="46"/>
    <n v="80700"/>
    <x v="0"/>
    <x v="0"/>
    <n v="1.7123287671232876"/>
    <n v="1614"/>
    <n v="4"/>
  </r>
  <r>
    <s v="Lilyan Klimpt"/>
    <x v="0"/>
    <s v="Procurement"/>
    <n v="19"/>
    <x v="47"/>
    <n v="58960"/>
    <x v="1"/>
    <x v="0"/>
    <n v="2.8547945205479452"/>
    <n v="1768.8"/>
    <n v="3"/>
  </r>
  <r>
    <s v="Tawnya Tickel"/>
    <x v="0"/>
    <s v="Website"/>
    <n v="36"/>
    <x v="48"/>
    <n v="118840"/>
    <x v="1"/>
    <x v="0"/>
    <n v="3.5616438356164384"/>
    <n v="3565.2"/>
    <n v="3"/>
  </r>
  <r>
    <s v="Jan Morforth"/>
    <x v="0"/>
    <s v="Finance"/>
    <n v="28"/>
    <x v="49"/>
    <n v="48170"/>
    <x v="0"/>
    <x v="0"/>
    <n v="3.5013698630136987"/>
    <n v="1445.1"/>
    <n v="4"/>
  </r>
  <r>
    <s v="Florinda Crace"/>
    <x v="1"/>
    <s v="HR"/>
    <n v="32"/>
    <x v="50"/>
    <n v="45510"/>
    <x v="1"/>
    <x v="0"/>
    <n v="2.5178082191780824"/>
    <n v="1365.3"/>
    <n v="3"/>
  </r>
  <r>
    <s v="Tracy Renad"/>
    <x v="1"/>
    <s v="Procurement"/>
    <n v="36"/>
    <x v="51"/>
    <n v="114890"/>
    <x v="1"/>
    <x v="0"/>
    <n v="3.3808219178082193"/>
    <n v="3446.7"/>
    <n v="3"/>
  </r>
  <r>
    <s v="Myer McCory"/>
    <x v="0"/>
    <s v="Website"/>
    <n v="30"/>
    <x v="52"/>
    <n v="69710"/>
    <x v="1"/>
    <x v="0"/>
    <n v="1.284931506849315"/>
    <n v="1394.2"/>
    <n v="3"/>
  </r>
  <r>
    <s v="Bennie Pepis"/>
    <x v="0"/>
    <s v="Finance"/>
    <n v="36"/>
    <x v="53"/>
    <n v="71380"/>
    <x v="1"/>
    <x v="0"/>
    <n v="2.7013698630136984"/>
    <n v="2141.4"/>
    <n v="3"/>
  </r>
  <r>
    <s v="Rafaelita Blaksland"/>
    <x v="1"/>
    <s v="Sales"/>
    <n v="38"/>
    <x v="54"/>
    <n v="109160"/>
    <x v="3"/>
    <x v="0"/>
    <n v="2.580821917808219"/>
    <n v="3274.7999999999997"/>
    <n v="5"/>
  </r>
  <r>
    <s v="Mahalia Larcher"/>
    <x v="0"/>
    <s v="Procurement"/>
    <n v="27"/>
    <x v="55"/>
    <n v="113280"/>
    <x v="4"/>
    <x v="0"/>
    <n v="1.9452054794520548"/>
    <n v="2265.6"/>
    <n v="1"/>
  </r>
  <r>
    <s v="Andria Kimpton"/>
    <x v="0"/>
    <s v="Website"/>
    <n v="30"/>
    <x v="56"/>
    <n v="69120"/>
    <x v="1"/>
    <x v="0"/>
    <n v="2.8657534246575342"/>
    <n v="2073.6"/>
    <n v="3"/>
  </r>
  <r>
    <s v="Valentia Etteridge"/>
    <x v="1"/>
    <s v="HR"/>
    <n v="37"/>
    <x v="57"/>
    <n v="118100"/>
    <x v="1"/>
    <x v="0"/>
    <n v="2.3780821917808219"/>
    <n v="3543"/>
    <n v="3"/>
  </r>
  <r>
    <s v="Virginia McConville"/>
    <x v="1"/>
    <s v="Procurement"/>
    <n v="22"/>
    <x v="58"/>
    <n v="76900"/>
    <x v="0"/>
    <x v="0"/>
    <n v="2.3808219178082193"/>
    <n v="2307"/>
    <n v="4"/>
  </r>
  <r>
    <s v="Wilone O'Kielt"/>
    <x v="1"/>
    <s v="Website"/>
    <n v="43"/>
    <x v="59"/>
    <n v="114870"/>
    <x v="1"/>
    <x v="0"/>
    <n v="0.75068493150684934"/>
    <n v="2297.4"/>
    <n v="3"/>
  </r>
  <r>
    <s v="Madge McCloughen"/>
    <x v="2"/>
    <s v="Website"/>
    <n v="32"/>
    <x v="60"/>
    <n v="91310"/>
    <x v="1"/>
    <x v="0"/>
    <n v="1.4931506849315068"/>
    <n v="1826.2"/>
    <n v="3"/>
  </r>
  <r>
    <s v="Janene Hairsine"/>
    <x v="1"/>
    <s v="Procurement"/>
    <n v="28"/>
    <x v="61"/>
    <n v="104770"/>
    <x v="1"/>
    <x v="0"/>
    <n v="2.2821917808219179"/>
    <n v="3143.1"/>
    <n v="3"/>
  </r>
  <r>
    <s v="Alta Kaszper"/>
    <x v="0"/>
    <s v="Sales"/>
    <n v="27"/>
    <x v="62"/>
    <n v="54970"/>
    <x v="1"/>
    <x v="0"/>
    <n v="3.2465753424657535"/>
    <n v="1649.1"/>
    <n v="3"/>
  </r>
  <r>
    <s v="Dennison Crosswaite"/>
    <x v="2"/>
    <s v="Website"/>
    <n v="26"/>
    <x v="63"/>
    <n v="90700"/>
    <x v="0"/>
    <x v="0"/>
    <n v="2.871232876712329"/>
    <n v="2721"/>
    <n v="4"/>
  </r>
  <r>
    <s v="Oran Buxcy"/>
    <x v="1"/>
    <s v="Sales"/>
    <n v="38"/>
    <x v="64"/>
    <n v="56870"/>
    <x v="0"/>
    <x v="0"/>
    <n v="2.7123287671232879"/>
    <n v="1706.1"/>
    <n v="4"/>
  </r>
  <r>
    <s v="Hinda Label"/>
    <x v="1"/>
    <s v="Sales"/>
    <n v="25"/>
    <x v="65"/>
    <n v="92700"/>
    <x v="1"/>
    <x v="0"/>
    <n v="3.0520547945205481"/>
    <n v="2781"/>
    <n v="3"/>
  </r>
  <r>
    <s v="Marney O'Breen"/>
    <x v="1"/>
    <s v="Finance"/>
    <n v="21"/>
    <x v="66"/>
    <n v="65920"/>
    <x v="1"/>
    <x v="0"/>
    <n v="2.7452054794520548"/>
    <n v="1977.6"/>
    <n v="3"/>
  </r>
  <r>
    <s v="Dell Molloy"/>
    <x v="0"/>
    <s v="Procurement"/>
    <n v="26"/>
    <x v="67"/>
    <n v="47360"/>
    <x v="1"/>
    <x v="0"/>
    <n v="2.9972602739726026"/>
    <n v="1420.8"/>
    <n v="3"/>
  </r>
  <r>
    <s v="Mallorie Waber"/>
    <x v="0"/>
    <s v="Procurement"/>
    <n v="30"/>
    <x v="68"/>
    <n v="60570"/>
    <x v="1"/>
    <x v="0"/>
    <n v="1.789041095890411"/>
    <n v="1211.4000000000001"/>
    <n v="3"/>
  </r>
  <r>
    <s v="Cherlyn Barter"/>
    <x v="1"/>
    <s v="Procurement"/>
    <n v="28"/>
    <x v="69"/>
    <n v="104120"/>
    <x v="1"/>
    <x v="0"/>
    <n v="1.8356164383561644"/>
    <n v="2082.4"/>
    <n v="3"/>
  </r>
  <r>
    <s v="Ches Bonnell"/>
    <x v="0"/>
    <s v="Website"/>
    <n v="37"/>
    <x v="70"/>
    <n v="88050"/>
    <x v="2"/>
    <x v="0"/>
    <n v="2.6876712328767125"/>
    <n v="2641.5"/>
    <n v="2"/>
  </r>
  <r>
    <s v="Collin Jagson"/>
    <x v="0"/>
    <s v="Website"/>
    <n v="24"/>
    <x v="41"/>
    <n v="100420"/>
    <x v="1"/>
    <x v="0"/>
    <n v="1.7342465753424658"/>
    <n v="2008.4"/>
    <n v="3"/>
  </r>
  <r>
    <s v="Hogan Iles"/>
    <x v="1"/>
    <s v="Procurement"/>
    <n v="30"/>
    <x v="52"/>
    <n v="114180"/>
    <x v="1"/>
    <x v="0"/>
    <n v="1.284931506849315"/>
    <n v="2283.6"/>
    <n v="3"/>
  </r>
  <r>
    <s v="Gretchen Callow"/>
    <x v="1"/>
    <s v="Website"/>
    <n v="21"/>
    <x v="71"/>
    <n v="33920"/>
    <x v="1"/>
    <x v="0"/>
    <n v="1.7561643835616438"/>
    <n v="678.4"/>
    <n v="3"/>
  </r>
  <r>
    <s v="Kissiah Maydway"/>
    <x v="0"/>
    <s v="Procurement"/>
    <n v="23"/>
    <x v="72"/>
    <n v="106460"/>
    <x v="1"/>
    <x v="0"/>
    <n v="2.408219178082192"/>
    <n v="3193.7999999999997"/>
    <n v="3"/>
  </r>
  <r>
    <s v="Archibald Filliskirk"/>
    <x v="0"/>
    <s v="Procurement"/>
    <n v="35"/>
    <x v="73"/>
    <n v="40400"/>
    <x v="1"/>
    <x v="0"/>
    <n v="1.6219178082191781"/>
    <n v="808"/>
    <n v="3"/>
  </r>
  <r>
    <s v="Enoch Dowrey"/>
    <x v="0"/>
    <s v="Finance"/>
    <n v="27"/>
    <x v="74"/>
    <n v="91650"/>
    <x v="0"/>
    <x v="0"/>
    <n v="2.967123287671233"/>
    <n v="2749.5"/>
    <n v="4"/>
  </r>
  <r>
    <s v="Bili Sizey"/>
    <x v="0"/>
    <s v="Sales"/>
    <n v="43"/>
    <x v="75"/>
    <n v="36040"/>
    <x v="1"/>
    <x v="0"/>
    <n v="1.9150684931506849"/>
    <n v="720.80000000000007"/>
    <n v="3"/>
  </r>
  <r>
    <s v="Caro Chappel"/>
    <x v="1"/>
    <s v="Website"/>
    <n v="40"/>
    <x v="76"/>
    <n v="104410"/>
    <x v="1"/>
    <x v="0"/>
    <n v="2.56986301369863"/>
    <n v="3132.2999999999997"/>
    <n v="3"/>
  </r>
  <r>
    <s v="Constantino Espley"/>
    <x v="0"/>
    <s v="Finance"/>
    <n v="30"/>
    <x v="77"/>
    <n v="96800"/>
    <x v="1"/>
    <x v="0"/>
    <n v="1.9534246575342467"/>
    <n v="1936"/>
    <n v="3"/>
  </r>
  <r>
    <s v="Karlen McCaffrey"/>
    <x v="1"/>
    <s v="Finance"/>
    <n v="34"/>
    <x v="12"/>
    <n v="85000"/>
    <x v="1"/>
    <x v="0"/>
    <n v="2.3561643835616439"/>
    <n v="2550"/>
    <n v="3"/>
  </r>
  <r>
    <s v="Drusy MacCombe"/>
    <x v="0"/>
    <s v="Sales"/>
    <n v="28"/>
    <x v="78"/>
    <n v="43510"/>
    <x v="4"/>
    <x v="0"/>
    <n v="1.3671232876712329"/>
    <n v="870.2"/>
    <n v="1"/>
  </r>
  <r>
    <s v="My Hanscome"/>
    <x v="0"/>
    <s v="Finance"/>
    <n v="33"/>
    <x v="79"/>
    <n v="59430"/>
    <x v="1"/>
    <x v="0"/>
    <n v="2.9479452054794519"/>
    <n v="1782.8999999999999"/>
    <n v="3"/>
  </r>
  <r>
    <s v="Teressa Udden"/>
    <x v="1"/>
    <s v="Finance"/>
    <n v="33"/>
    <x v="80"/>
    <n v="65360"/>
    <x v="1"/>
    <x v="0"/>
    <n v="3.43013698630137"/>
    <n v="1960.8"/>
    <n v="3"/>
  </r>
  <r>
    <s v="Crissie Cordel"/>
    <x v="1"/>
    <s v="Procurement"/>
    <n v="32"/>
    <x v="81"/>
    <n v="41570"/>
    <x v="1"/>
    <x v="0"/>
    <n v="1.9397260273972603"/>
    <n v="831.4"/>
    <n v="3"/>
  </r>
  <r>
    <s v="Elia Cockton"/>
    <x v="1"/>
    <s v="Website"/>
    <n v="33"/>
    <x v="82"/>
    <n v="75280"/>
    <x v="1"/>
    <x v="0"/>
    <n v="2.7589041095890412"/>
    <n v="2258.4"/>
    <n v="3"/>
  </r>
  <r>
    <s v="Gigi Bohling"/>
    <x v="0"/>
    <s v="Sales"/>
    <n v="33"/>
    <x v="83"/>
    <n v="74550"/>
    <x v="1"/>
    <x v="0"/>
    <n v="2.558904109589041"/>
    <n v="2236.5"/>
    <n v="3"/>
  </r>
  <r>
    <s v="Ebonee Roxburgh"/>
    <x v="0"/>
    <s v="Procurement"/>
    <n v="30"/>
    <x v="6"/>
    <n v="67950"/>
    <x v="1"/>
    <x v="0"/>
    <n v="1.6931506849315068"/>
    <n v="1359"/>
    <n v="3"/>
  </r>
  <r>
    <s v="Shayne Stegel"/>
    <x v="0"/>
    <s v="Finance"/>
    <n v="42"/>
    <x v="84"/>
    <n v="70270"/>
    <x v="2"/>
    <x v="0"/>
    <n v="1.6109589041095891"/>
    <n v="1405.4"/>
    <n v="2"/>
  </r>
  <r>
    <s v="Zach Polon"/>
    <x v="0"/>
    <s v="Procurement"/>
    <n v="26"/>
    <x v="85"/>
    <n v="53540"/>
    <x v="1"/>
    <x v="0"/>
    <n v="2.4876712328767123"/>
    <n v="1606.2"/>
    <n v="3"/>
  </r>
  <r>
    <s v="Deepali Charan"/>
    <x v="0"/>
    <s v="Website"/>
    <n v="20"/>
    <x v="9"/>
    <n v="112650"/>
    <x v="1"/>
    <x v="1"/>
    <n v="3.2794520547945205"/>
    <n v="3379.5"/>
    <n v="3"/>
  </r>
  <r>
    <s v="Yagna Sujeev"/>
    <x v="1"/>
    <s v="Website"/>
    <n v="32"/>
    <x v="86"/>
    <n v="43840"/>
    <x v="0"/>
    <x v="1"/>
    <n v="2.8109589041095893"/>
    <n v="1315.2"/>
    <n v="4"/>
  </r>
  <r>
    <s v="Satyendra Venkatadri"/>
    <x v="0"/>
    <s v="Procurement"/>
    <n v="31"/>
    <x v="21"/>
    <n v="103550"/>
    <x v="1"/>
    <x v="1"/>
    <n v="1.7972602739726027"/>
    <n v="2071"/>
    <n v="3"/>
  </r>
  <r>
    <s v="Madhavdas Buhpathi"/>
    <x v="1"/>
    <s v="HR"/>
    <n v="32"/>
    <x v="87"/>
    <n v="45510"/>
    <x v="1"/>
    <x v="1"/>
    <n v="2.6849315068493151"/>
    <n v="1365.3"/>
    <n v="3"/>
  </r>
  <r>
    <s v="Sahila Chandrasekhar"/>
    <x v="2"/>
    <s v="Finance"/>
    <n v="37"/>
    <x v="51"/>
    <n v="115440"/>
    <x v="2"/>
    <x v="1"/>
    <n v="3.3808219178082193"/>
    <n v="3463.2"/>
    <n v="2"/>
  </r>
  <r>
    <s v="Mirium Seemantini Shivakumar"/>
    <x v="1"/>
    <s v="Sales"/>
    <n v="38"/>
    <x v="88"/>
    <n v="56870"/>
    <x v="0"/>
    <x v="1"/>
    <n v="2.8794520547945206"/>
    <n v="1706.1"/>
    <n v="4"/>
  </r>
  <r>
    <s v="Purnendu Vijayarangan"/>
    <x v="1"/>
    <s v="Sales"/>
    <n v="25"/>
    <x v="89"/>
    <n v="92700"/>
    <x v="1"/>
    <x v="1"/>
    <n v="3.2191780821917808"/>
    <n v="2781"/>
    <n v="3"/>
  </r>
  <r>
    <s v="Rukma Vinita"/>
    <x v="2"/>
    <s v="Website"/>
    <n v="32"/>
    <x v="90"/>
    <n v="91310"/>
    <x v="1"/>
    <x v="1"/>
    <n v="1.6602739726027398"/>
    <n v="1826.2"/>
    <n v="3"/>
  </r>
  <r>
    <s v="Yauvani Tarpa"/>
    <x v="0"/>
    <s v="Sales"/>
    <n v="33"/>
    <x v="91"/>
    <n v="74550"/>
    <x v="1"/>
    <x v="1"/>
    <n v="2.7260273972602738"/>
    <n v="2236.5"/>
    <n v="3"/>
  </r>
  <r>
    <s v="Damayanti Thangavadivelu"/>
    <x v="0"/>
    <s v="Procurement"/>
    <n v="25"/>
    <x v="92"/>
    <n v="109190"/>
    <x v="0"/>
    <x v="1"/>
    <n v="1.7917808219178082"/>
    <n v="2183.8000000000002"/>
    <n v="4"/>
  </r>
  <r>
    <s v="Manjusri Ruchi"/>
    <x v="1"/>
    <s v="Website"/>
    <n v="40"/>
    <x v="93"/>
    <n v="104410"/>
    <x v="1"/>
    <x v="1"/>
    <n v="2.7369863013698632"/>
    <n v="3132.2999999999997"/>
    <n v="3"/>
  </r>
  <r>
    <s v="Mithil Nadkarni"/>
    <x v="0"/>
    <s v="Finance"/>
    <n v="30"/>
    <x v="94"/>
    <n v="96800"/>
    <x v="1"/>
    <x v="1"/>
    <n v="2.1232876712328768"/>
    <n v="2904"/>
    <n v="3"/>
  </r>
  <r>
    <s v="Ardhendu Abhichandra Jayakar"/>
    <x v="0"/>
    <s v="Finance"/>
    <n v="28"/>
    <x v="95"/>
    <n v="48170"/>
    <x v="0"/>
    <x v="1"/>
    <n v="3.6684931506849314"/>
    <n v="1445.1"/>
    <n v="4"/>
  </r>
  <r>
    <s v="Akbar Sorabhjee"/>
    <x v="0"/>
    <s v="Procurement"/>
    <n v="21"/>
    <x v="96"/>
    <n v="37920"/>
    <x v="1"/>
    <x v="1"/>
    <n v="3.4986301369863013"/>
    <n v="1137.5999999999999"/>
    <n v="3"/>
  </r>
  <r>
    <s v="Bandhula Sathyanna"/>
    <x v="0"/>
    <s v="Procurement"/>
    <n v="34"/>
    <x v="97"/>
    <n v="112650"/>
    <x v="1"/>
    <x v="1"/>
    <n v="1.8547945205479452"/>
    <n v="2253"/>
    <n v="3"/>
  </r>
  <r>
    <s v="Daruka Ghazali"/>
    <x v="1"/>
    <s v="Sales"/>
    <n v="34"/>
    <x v="98"/>
    <n v="49630"/>
    <x v="2"/>
    <x v="1"/>
    <n v="1.8054794520547945"/>
    <n v="992.6"/>
    <n v="2"/>
  </r>
  <r>
    <s v="Heer Pennathur"/>
    <x v="0"/>
    <s v="Website"/>
    <n v="36"/>
    <x v="99"/>
    <n v="118840"/>
    <x v="1"/>
    <x v="1"/>
    <n v="3.7287671232876711"/>
    <n v="3565.2"/>
    <n v="3"/>
  </r>
  <r>
    <s v="Shekhar Eswara"/>
    <x v="0"/>
    <s v="Website"/>
    <n v="30"/>
    <x v="100"/>
    <n v="69710"/>
    <x v="1"/>
    <x v="1"/>
    <n v="1.452054794520548"/>
    <n v="1394.2"/>
    <n v="3"/>
  </r>
  <r>
    <s v="Udyan Lanka"/>
    <x v="0"/>
    <s v="Procurement"/>
    <n v="20"/>
    <x v="101"/>
    <n v="79570"/>
    <x v="1"/>
    <x v="1"/>
    <n v="1.7424657534246575"/>
    <n v="1591.4"/>
    <n v="3"/>
  </r>
  <r>
    <s v="Shreela Ramasubraman"/>
    <x v="1"/>
    <s v="Procurement"/>
    <n v="22"/>
    <x v="102"/>
    <n v="76900"/>
    <x v="0"/>
    <x v="1"/>
    <n v="2.5506849315068494"/>
    <n v="2307"/>
    <n v="4"/>
  </r>
  <r>
    <s v="Sanchali Shirish"/>
    <x v="0"/>
    <s v="Sales"/>
    <n v="27"/>
    <x v="103"/>
    <n v="54970"/>
    <x v="1"/>
    <x v="1"/>
    <n v="3.4136986301369863"/>
    <n v="1649.1"/>
    <n v="3"/>
  </r>
  <r>
    <s v="Gangadutt Ragha"/>
    <x v="0"/>
    <s v="Website"/>
    <n v="37"/>
    <x v="47"/>
    <n v="88050"/>
    <x v="2"/>
    <x v="1"/>
    <n v="2.8547945205479452"/>
    <n v="2641.5"/>
    <n v="2"/>
  </r>
  <r>
    <s v="Waheeda Vasuman"/>
    <x v="0"/>
    <s v="Sales"/>
    <n v="43"/>
    <x v="104"/>
    <n v="36040"/>
    <x v="1"/>
    <x v="1"/>
    <n v="2.0849315068493151"/>
    <n v="1081.2"/>
    <n v="3"/>
  </r>
  <r>
    <s v="Nanak Sapna"/>
    <x v="1"/>
    <s v="Procurement"/>
    <n v="42"/>
    <x v="105"/>
    <n v="75000"/>
    <x v="3"/>
    <x v="1"/>
    <n v="1.6465753424657534"/>
    <n v="1500"/>
    <n v="5"/>
  </r>
  <r>
    <s v="Shobhana Samuel"/>
    <x v="0"/>
    <s v="Procurement"/>
    <n v="35"/>
    <x v="68"/>
    <n v="40400"/>
    <x v="1"/>
    <x v="1"/>
    <n v="1.789041095890411"/>
    <n v="808"/>
    <n v="3"/>
  </r>
  <r>
    <s v="Amlankusum Rajabhushan"/>
    <x v="0"/>
    <s v="Website"/>
    <n v="24"/>
    <x v="106"/>
    <n v="100420"/>
    <x v="1"/>
    <x v="1"/>
    <n v="1.9013698630136986"/>
    <n v="2008.4"/>
    <n v="3"/>
  </r>
  <r>
    <s v="Pratigya Rema"/>
    <x v="1"/>
    <s v="Website"/>
    <n v="31"/>
    <x v="107"/>
    <n v="58100"/>
    <x v="1"/>
    <x v="1"/>
    <n v="1.9589041095890412"/>
    <n v="1162"/>
    <n v="3"/>
  </r>
  <r>
    <s v="Ramnath Ravuri"/>
    <x v="1"/>
    <s v="Website"/>
    <n v="44"/>
    <x v="108"/>
    <n v="114870"/>
    <x v="1"/>
    <x v="1"/>
    <n v="0.91506849315068495"/>
    <n v="2297.4"/>
    <n v="3"/>
  </r>
  <r>
    <s v="Prerana Nishita"/>
    <x v="1"/>
    <s v="Procurement"/>
    <n v="32"/>
    <x v="109"/>
    <n v="41570"/>
    <x v="1"/>
    <x v="1"/>
    <n v="2.1095890410958904"/>
    <n v="1247.0999999999999"/>
    <n v="3"/>
  </r>
  <r>
    <s v="Makshi Vinutha"/>
    <x v="1"/>
    <s v="Procurement"/>
    <n v="30"/>
    <x v="110"/>
    <n v="112570"/>
    <x v="1"/>
    <x v="1"/>
    <n v="1.4219178082191781"/>
    <n v="2251.4"/>
    <n v="3"/>
  </r>
  <r>
    <s v="Shiuli Sapna"/>
    <x v="0"/>
    <s v="Procurement"/>
    <n v="26"/>
    <x v="30"/>
    <n v="47360"/>
    <x v="1"/>
    <x v="1"/>
    <n v="3.1643835616438358"/>
    <n v="1420.8"/>
    <n v="3"/>
  </r>
  <r>
    <s v="Agrata Rajarama"/>
    <x v="1"/>
    <s v="Finance"/>
    <n v="21"/>
    <x v="111"/>
    <n v="65920"/>
    <x v="1"/>
    <x v="1"/>
    <n v="2.9123287671232876"/>
    <n v="1977.6"/>
    <n v="3"/>
  </r>
  <r>
    <s v="Vasu Nandin"/>
    <x v="1"/>
    <s v="Procurement"/>
    <n v="28"/>
    <x v="112"/>
    <n v="99970"/>
    <x v="1"/>
    <x v="1"/>
    <n v="2.0493150684931507"/>
    <n v="2999.1"/>
    <n v="3"/>
  </r>
  <r>
    <s v="Bhuvan Pals"/>
    <x v="1"/>
    <s v="Website"/>
    <n v="25"/>
    <x v="113"/>
    <n v="80700"/>
    <x v="0"/>
    <x v="1"/>
    <n v="1.8794520547945206"/>
    <n v="1614"/>
    <n v="4"/>
  </r>
  <r>
    <s v="Gumwant Veera"/>
    <x v="0"/>
    <s v="Finance"/>
    <n v="24"/>
    <x v="114"/>
    <n v="52610"/>
    <x v="2"/>
    <x v="1"/>
    <n v="2.5863013698630137"/>
    <n v="1578.3"/>
    <n v="2"/>
  </r>
  <r>
    <s v="Narois Motiwala"/>
    <x v="0"/>
    <s v="Website"/>
    <n v="29"/>
    <x v="115"/>
    <n v="112110"/>
    <x v="2"/>
    <x v="1"/>
    <n v="3.2876712328767121"/>
    <n v="3363.2999999999997"/>
    <n v="2"/>
  </r>
  <r>
    <s v="Anjushri Chandiramani"/>
    <x v="1"/>
    <s v="HR"/>
    <n v="27"/>
    <x v="116"/>
    <n v="119110"/>
    <x v="1"/>
    <x v="1"/>
    <n v="3.4465753424657533"/>
    <n v="3573.2999999999997"/>
    <n v="3"/>
  </r>
  <r>
    <s v="Krishnakanta Vellanki"/>
    <x v="0"/>
    <s v="Sales"/>
    <n v="22"/>
    <x v="117"/>
    <n v="112780"/>
    <x v="0"/>
    <x v="1"/>
    <n v="2.5616438356164384"/>
    <n v="3383.4"/>
    <n v="4"/>
  </r>
  <r>
    <s v="Dhruv Manjunath"/>
    <x v="1"/>
    <s v="Procurement"/>
    <n v="36"/>
    <x v="26"/>
    <n v="114890"/>
    <x v="1"/>
    <x v="1"/>
    <n v="3.5506849315068494"/>
    <n v="3446.7"/>
    <n v="3"/>
  </r>
  <r>
    <s v="Vanmala Shriharsha"/>
    <x v="0"/>
    <s v="Finance"/>
    <n v="27"/>
    <x v="118"/>
    <n v="48980"/>
    <x v="1"/>
    <x v="1"/>
    <n v="2.2273972602739724"/>
    <n v="1469.3999999999999"/>
    <n v="3"/>
  </r>
  <r>
    <s v="Sameer Shashank Sapra"/>
    <x v="0"/>
    <s v="HR"/>
    <n v="21"/>
    <x v="10"/>
    <n v="75880"/>
    <x v="1"/>
    <x v="1"/>
    <n v="3.1205479452054794"/>
    <n v="2276.4"/>
    <n v="3"/>
  </r>
  <r>
    <s v="Anumati Shyamari Meherhomji"/>
    <x v="1"/>
    <s v="Sales"/>
    <n v="28"/>
    <x v="119"/>
    <n v="53240"/>
    <x v="1"/>
    <x v="1"/>
    <n v="2.8027397260273972"/>
    <n v="1597.2"/>
    <n v="3"/>
  </r>
  <r>
    <s v="Tarala Vishaal"/>
    <x v="1"/>
    <s v="Finance"/>
    <n v="34"/>
    <x v="120"/>
    <n v="85000"/>
    <x v="1"/>
    <x v="1"/>
    <n v="2.526027397260274"/>
    <n v="2550"/>
    <n v="3"/>
  </r>
  <r>
    <s v="Shubhra Potla"/>
    <x v="1"/>
    <s v="Website"/>
    <n v="21"/>
    <x v="121"/>
    <n v="33920"/>
    <x v="1"/>
    <x v="1"/>
    <n v="1.9178082191780821"/>
    <n v="678.4"/>
    <n v="3"/>
  </r>
  <r>
    <s v="Hemavati Muthiah"/>
    <x v="1"/>
    <s v="Website"/>
    <n v="33"/>
    <x v="122"/>
    <n v="75280"/>
    <x v="1"/>
    <x v="1"/>
    <n v="2.9205479452054797"/>
    <n v="2258.4"/>
    <n v="3"/>
  </r>
  <r>
    <s v="Krittika Gaekwad"/>
    <x v="1"/>
    <s v="Finance"/>
    <n v="34"/>
    <x v="123"/>
    <n v="58940"/>
    <x v="1"/>
    <x v="1"/>
    <n v="1.9863013698630136"/>
    <n v="1178.8"/>
    <n v="3"/>
  </r>
  <r>
    <s v="Shevantilal Muppala"/>
    <x v="1"/>
    <s v="Procurement"/>
    <n v="28"/>
    <x v="124"/>
    <n v="104770"/>
    <x v="1"/>
    <x v="1"/>
    <n v="2.4493150684931506"/>
    <n v="3143.1"/>
    <n v="3"/>
  </r>
  <r>
    <s v="Shattesh Utpat"/>
    <x v="0"/>
    <s v="Procurement"/>
    <n v="21"/>
    <x v="6"/>
    <n v="57090"/>
    <x v="1"/>
    <x v="1"/>
    <n v="1.6931506849315068"/>
    <n v="1141.8"/>
    <n v="3"/>
  </r>
  <r>
    <s v="Kamalakshi Mukundan"/>
    <x v="0"/>
    <s v="Finance"/>
    <n v="27"/>
    <x v="125"/>
    <n v="91650"/>
    <x v="0"/>
    <x v="1"/>
    <n v="3.1369863013698631"/>
    <n v="2749.5"/>
    <n v="4"/>
  </r>
  <r>
    <s v="Chandana Sannidhi Surnilla"/>
    <x v="0"/>
    <s v="Finance"/>
    <n v="42"/>
    <x v="126"/>
    <n v="70270"/>
    <x v="2"/>
    <x v="1"/>
    <n v="1.7780821917808218"/>
    <n v="1405.4"/>
    <n v="2"/>
  </r>
  <r>
    <s v="Indu Varada Sumedh"/>
    <x v="1"/>
    <s v="Finance"/>
    <n v="28"/>
    <x v="127"/>
    <n v="75970"/>
    <x v="1"/>
    <x v="1"/>
    <n v="3.2739726027397262"/>
    <n v="2279.1"/>
    <n v="3"/>
  </r>
  <r>
    <s v="Karuna Pashupathy"/>
    <x v="2"/>
    <s v="Website"/>
    <n v="27"/>
    <x v="128"/>
    <n v="90700"/>
    <x v="0"/>
    <x v="1"/>
    <n v="3.032876712328767"/>
    <n v="2721"/>
    <n v="4"/>
  </r>
  <r>
    <s v="Mardav Ramaswami"/>
    <x v="0"/>
    <s v="Procurement"/>
    <n v="30"/>
    <x v="129"/>
    <n v="60570"/>
    <x v="1"/>
    <x v="1"/>
    <n v="1.9506849315068493"/>
    <n v="1211.4000000000001"/>
    <n v="3"/>
  </r>
  <r>
    <s v="Sarayu Ragunathan"/>
    <x v="0"/>
    <s v="Procurement"/>
    <n v="33"/>
    <x v="130"/>
    <n v="115920"/>
    <x v="1"/>
    <x v="1"/>
    <n v="3.3315068493150686"/>
    <n v="3477.6"/>
    <n v="3"/>
  </r>
  <r>
    <s v="Kevalkumar Solanki"/>
    <x v="1"/>
    <s v="Finance"/>
    <n v="33"/>
    <x v="131"/>
    <n v="65360"/>
    <x v="1"/>
    <x v="1"/>
    <n v="3.5972602739726027"/>
    <n v="1960.8"/>
    <n v="3"/>
  </r>
  <r>
    <s v="Upendra Swati"/>
    <x v="2"/>
    <s v="Finance"/>
    <n v="30"/>
    <x v="132"/>
    <n v="64000"/>
    <x v="1"/>
    <x v="1"/>
    <n v="2.1479452054794521"/>
    <n v="1920"/>
    <n v="3"/>
  </r>
  <r>
    <s v="Deepit Ranjana"/>
    <x v="1"/>
    <s v="Finance"/>
    <n v="34"/>
    <x v="11"/>
    <n v="92450"/>
    <x v="1"/>
    <x v="1"/>
    <n v="2.5643835616438357"/>
    <n v="2773.5"/>
    <n v="3"/>
  </r>
  <r>
    <s v="Amal Nimesh"/>
    <x v="0"/>
    <s v="Website"/>
    <n v="31"/>
    <x v="58"/>
    <n v="48950"/>
    <x v="1"/>
    <x v="1"/>
    <n v="2.3808219178082193"/>
    <n v="1468.5"/>
    <n v="3"/>
  </r>
  <r>
    <s v="Kunja Prashanta Vibha"/>
    <x v="1"/>
    <s v="Website"/>
    <n v="27"/>
    <x v="106"/>
    <n v="83750"/>
    <x v="1"/>
    <x v="1"/>
    <n v="1.9013698630136986"/>
    <n v="1675"/>
    <n v="3"/>
  </r>
  <r>
    <s v="Godavari Veena"/>
    <x v="1"/>
    <s v="Website"/>
    <n v="40"/>
    <x v="133"/>
    <n v="87620"/>
    <x v="1"/>
    <x v="1"/>
    <n v="2.8575342465753426"/>
    <n v="2628.6"/>
    <n v="3"/>
  </r>
  <r>
    <s v="Devasree Fullara Saurin"/>
    <x v="1"/>
    <s v="Sales"/>
    <n v="20"/>
    <x v="134"/>
    <n v="68900"/>
    <x v="2"/>
    <x v="1"/>
    <n v="2.3095890410958906"/>
    <n v="2067"/>
    <n v="2"/>
  </r>
  <r>
    <s v="Geena Raghavanpillai"/>
    <x v="0"/>
    <s v="Sales"/>
    <n v="32"/>
    <x v="135"/>
    <n v="53540"/>
    <x v="1"/>
    <x v="1"/>
    <n v="2.5095890410958903"/>
    <n v="1606.2"/>
    <n v="3"/>
  </r>
  <r>
    <s v="Rupak Mehra"/>
    <x v="0"/>
    <s v="Sales"/>
    <n v="28"/>
    <x v="1"/>
    <n v="43510"/>
    <x v="4"/>
    <x v="1"/>
    <n v="1.536986301369863"/>
    <n v="870.2"/>
    <n v="1"/>
  </r>
  <r>
    <s v="Sawini Chandan"/>
    <x v="1"/>
    <s v="Sales"/>
    <n v="38"/>
    <x v="136"/>
    <n v="109160"/>
    <x v="3"/>
    <x v="1"/>
    <n v="2.7479452054794522"/>
    <n v="3274.7999999999997"/>
    <n v="5"/>
  </r>
  <r>
    <s v="Baruna Ogale"/>
    <x v="0"/>
    <s v="Procurement"/>
    <n v="40"/>
    <x v="137"/>
    <n v="99750"/>
    <x v="1"/>
    <x v="1"/>
    <n v="3.0547945205479454"/>
    <n v="2992.5"/>
    <n v="3"/>
  </r>
  <r>
    <s v="Jagajeet Viraj"/>
    <x v="1"/>
    <s v="Website"/>
    <n v="31"/>
    <x v="138"/>
    <n v="41980"/>
    <x v="1"/>
    <x v="1"/>
    <n v="3.3835616438356166"/>
    <n v="1259.3999999999999"/>
    <n v="3"/>
  </r>
  <r>
    <s v="Kulbhushan Moorthy"/>
    <x v="0"/>
    <s v="Finance"/>
    <n v="36"/>
    <x v="139"/>
    <n v="71380"/>
    <x v="1"/>
    <x v="1"/>
    <n v="2.8684931506849316"/>
    <n v="2141.4"/>
    <n v="3"/>
  </r>
  <r>
    <s v="Ilesh Dasgupta"/>
    <x v="0"/>
    <s v="Procurement"/>
    <n v="27"/>
    <x v="140"/>
    <n v="113280"/>
    <x v="4"/>
    <x v="1"/>
    <n v="2.1150684931506851"/>
    <n v="3398.4"/>
    <n v="1"/>
  </r>
  <r>
    <s v="Madhumati Gazala Soumitra"/>
    <x v="1"/>
    <s v="Finance"/>
    <n v="33"/>
    <x v="141"/>
    <n v="86570"/>
    <x v="1"/>
    <x v="1"/>
    <n v="1.5671232876712329"/>
    <n v="1731.4"/>
    <n v="3"/>
  </r>
  <r>
    <s v="Chitrasen Laul"/>
    <x v="0"/>
    <s v="Procurement"/>
    <n v="26"/>
    <x v="142"/>
    <n v="53540"/>
    <x v="1"/>
    <x v="1"/>
    <n v="2.6547945205479451"/>
    <n v="1606.2"/>
    <n v="3"/>
  </r>
  <r>
    <s v="Jaishree Atasi Yavatkar"/>
    <x v="0"/>
    <s v="Website"/>
    <n v="37"/>
    <x v="143"/>
    <n v="69070"/>
    <x v="1"/>
    <x v="1"/>
    <n v="1.8602739726027397"/>
    <n v="1381.4"/>
    <n v="3"/>
  </r>
  <r>
    <s v="Kantimoy Pritish"/>
    <x v="1"/>
    <s v="Finance"/>
    <n v="30"/>
    <x v="144"/>
    <n v="67910"/>
    <x v="2"/>
    <x v="1"/>
    <n v="2.7150684931506848"/>
    <n v="2037.3"/>
    <n v="2"/>
  </r>
  <r>
    <s v="Rameshwari Chikodi"/>
    <x v="0"/>
    <s v="Website"/>
    <n v="30"/>
    <x v="145"/>
    <n v="69120"/>
    <x v="1"/>
    <x v="1"/>
    <n v="3.0273972602739727"/>
    <n v="2073.6"/>
    <n v="3"/>
  </r>
  <r>
    <s v="Lalit Kothari"/>
    <x v="1"/>
    <s v="Finance"/>
    <n v="34"/>
    <x v="146"/>
    <n v="60130"/>
    <x v="1"/>
    <x v="1"/>
    <n v="2.106849315068493"/>
    <n v="1803.8999999999999"/>
    <n v="3"/>
  </r>
  <r>
    <s v="Sahas Sanabhi Shrikant"/>
    <x v="0"/>
    <s v="Procurement"/>
    <n v="23"/>
    <x v="147"/>
    <n v="106460"/>
    <x v="1"/>
    <x v="1"/>
    <n v="2.5780821917808221"/>
    <n v="3193.7999999999997"/>
    <n v="3"/>
  </r>
  <r>
    <s v="Kaishori Harathi Kateel"/>
    <x v="1"/>
    <s v="HR"/>
    <n v="37"/>
    <x v="20"/>
    <n v="118100"/>
    <x v="1"/>
    <x v="1"/>
    <n v="2.547945205479452"/>
    <n v="3543"/>
    <n v="3"/>
  </r>
  <r>
    <s v="Rushil Kripa"/>
    <x v="1"/>
    <s v="Procurement"/>
    <n v="36"/>
    <x v="148"/>
    <n v="78390"/>
    <x v="1"/>
    <x v="1"/>
    <n v="2.3315068493150686"/>
    <n v="2351.6999999999998"/>
    <n v="3"/>
  </r>
  <r>
    <s v="Sarojini Naueshwara"/>
    <x v="1"/>
    <s v="Procurement"/>
    <n v="30"/>
    <x v="100"/>
    <n v="114180"/>
    <x v="1"/>
    <x v="1"/>
    <n v="1.452054794520548"/>
    <n v="2283.6"/>
    <n v="3"/>
  </r>
  <r>
    <s v="Sartaj Probal"/>
    <x v="1"/>
    <s v="Procurement"/>
    <n v="28"/>
    <x v="149"/>
    <n v="104120"/>
    <x v="1"/>
    <x v="1"/>
    <n v="1.9972602739726026"/>
    <n v="2082.4"/>
    <n v="3"/>
  </r>
  <r>
    <s v="Mahindra Sreedharan"/>
    <x v="0"/>
    <s v="Procurement"/>
    <n v="30"/>
    <x v="143"/>
    <n v="67950"/>
    <x v="1"/>
    <x v="1"/>
    <n v="1.8602739726027397"/>
    <n v="1359"/>
    <n v="3"/>
  </r>
  <r>
    <s v="Suchira Bhanupriya Tapti"/>
    <x v="1"/>
    <s v="Website"/>
    <n v="29"/>
    <x v="150"/>
    <n v="34980"/>
    <x v="1"/>
    <x v="1"/>
    <n v="3.7178082191780821"/>
    <n v="1049.3999999999999"/>
    <n v="3"/>
  </r>
  <r>
    <s v="Fullara Sushanti Mokate"/>
    <x v="1"/>
    <s v="Website"/>
    <n v="24"/>
    <x v="151"/>
    <n v="62780"/>
    <x v="1"/>
    <x v="1"/>
    <n v="3.3753424657534246"/>
    <n v="1883.3999999999999"/>
    <n v="3"/>
  </r>
  <r>
    <s v="Hridaynath Tendulkar"/>
    <x v="0"/>
    <s v="Website"/>
    <n v="20"/>
    <x v="120"/>
    <n v="107700"/>
    <x v="1"/>
    <x v="1"/>
    <n v="2.526027397260274"/>
    <n v="3231"/>
    <n v="3"/>
  </r>
  <r>
    <s v="Abhaya Priyavardhan"/>
    <x v="0"/>
    <s v="Sales"/>
    <n v="25"/>
    <x v="152"/>
    <n v="65700"/>
    <x v="1"/>
    <x v="1"/>
    <n v="2.7315068493150685"/>
    <n v="1971"/>
    <n v="3"/>
  </r>
  <r>
    <s v="Ayog Chakrabarti"/>
    <x v="1"/>
    <s v="Website"/>
    <n v="33"/>
    <x v="153"/>
    <n v="75480"/>
    <x v="4"/>
    <x v="1"/>
    <n v="2.7561643835616438"/>
    <n v="2264.4"/>
    <n v="1"/>
  </r>
  <r>
    <s v="Pragya Nilufar"/>
    <x v="0"/>
    <s v="Website"/>
    <n v="33"/>
    <x v="154"/>
    <n v="53870"/>
    <x v="1"/>
    <x v="1"/>
    <n v="2.3863013698630136"/>
    <n v="1616.1"/>
    <n v="3"/>
  </r>
  <r>
    <s v="Shulabh Qutub Sundaramoorthy"/>
    <x v="1"/>
    <s v="Sales"/>
    <n v="36"/>
    <x v="155"/>
    <n v="78540"/>
    <x v="1"/>
    <x v="1"/>
    <n v="2.4273972602739726"/>
    <n v="2356.1999999999998"/>
    <n v="3"/>
  </r>
  <r>
    <s v="Vinanti Choudhari"/>
    <x v="0"/>
    <s v="Procurement"/>
    <n v="19"/>
    <x v="156"/>
    <n v="58960"/>
    <x v="1"/>
    <x v="1"/>
    <n v="3.0164383561643837"/>
    <n v="1768.8"/>
    <n v="3"/>
  </r>
  <r>
    <s v="Ranajay Kailashnath Richa"/>
    <x v="0"/>
    <s v="Procurement"/>
    <n v="46"/>
    <x v="157"/>
    <n v="70610"/>
    <x v="1"/>
    <x v="1"/>
    <n v="1.704109589041096"/>
    <n v="1412.2"/>
    <n v="3"/>
  </r>
  <r>
    <s v="Asija Pothireddy"/>
    <x v="0"/>
    <s v="Finance"/>
    <n v="33"/>
    <x v="158"/>
    <n v="59430"/>
    <x v="1"/>
    <x v="1"/>
    <n v="3.117808219178082"/>
    <n v="1782.8999999999999"/>
    <n v="3"/>
  </r>
  <r>
    <s v="Piyali Mahanthapa"/>
    <x v="0"/>
    <s v="Procurement"/>
    <n v="33"/>
    <x v="143"/>
    <n v="48530"/>
    <x v="0"/>
    <x v="1"/>
    <n v="1.8602739726027397"/>
    <n v="970.6"/>
    <n v="4"/>
  </r>
  <r>
    <s v="Sukhdev Nageshwar"/>
    <x v="1"/>
    <s v="Website"/>
    <n v="33"/>
    <x v="159"/>
    <n v="96140"/>
    <x v="1"/>
    <x v="1"/>
    <n v="3.2602739726027399"/>
    <n v="2884.2"/>
    <n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4425F5C-F3CE-423E-AC28-9CC0C27D24CB}" name="PivotTable1" cacheId="14" applyNumberFormats="0" applyBorderFormats="0" applyFontFormats="0" applyPatternFormats="0" applyAlignmentFormats="0" applyWidthHeightFormats="1" dataCaption="Values" updatedVersion="7" minRefreshableVersion="3" useAutoFormatting="1" itemPrintTitles="1" createdVersion="8" indent="0" compact="0" compactData="0" multipleFieldFilters="0">
  <location ref="B3:C9" firstHeaderRow="1" firstDataRow="1" firstDataCol="1"/>
  <pivotFields count="11">
    <pivotField compact="0" outline="0" showAll="0"/>
    <pivotField compact="0" outline="0" showAll="0"/>
    <pivotField compact="0" outline="0" showAll="0"/>
    <pivotField compact="0" outline="0" showAll="0"/>
    <pivotField compact="0" outline="0" showAll="0"/>
    <pivotField dataField="1" compact="0" numFmtId="8" outline="0" showAll="0"/>
    <pivotField axis="axisRow" compact="0" outline="0" showAll="0">
      <items count="7">
        <item x="3"/>
        <item x="0"/>
        <item x="1"/>
        <item x="2"/>
        <item x="4"/>
        <item h="1" m="1" x="5"/>
        <item t="default"/>
      </items>
    </pivotField>
    <pivotField compact="0" outline="0" showAll="0"/>
    <pivotField compact="0" numFmtId="2" outline="0" showAll="0"/>
    <pivotField compact="0" numFmtId="167" outline="0" showAll="0"/>
    <pivotField compact="0" outline="0" showAll="0"/>
  </pivotFields>
  <rowFields count="1">
    <field x="6"/>
  </rowFields>
  <rowItems count="6">
    <i>
      <x/>
    </i>
    <i>
      <x v="1"/>
    </i>
    <i>
      <x v="2"/>
    </i>
    <i>
      <x v="3"/>
    </i>
    <i>
      <x v="4"/>
    </i>
    <i t="grand">
      <x/>
    </i>
  </rowItems>
  <colItems count="1">
    <i/>
  </colItems>
  <dataFields count="1">
    <dataField name="Average of Salary" fld="5" subtotal="average" baseField="0" baseItem="0" numFmtId="167"/>
  </dataFields>
  <formats count="1">
    <format dxfId="151">
      <pivotArea outline="0" collapsedLevelsAreSubtotals="1" fieldPosition="0"/>
    </format>
  </formats>
  <conditionalFormats count="4">
    <conditionalFormat priority="1">
      <pivotAreas count="1">
        <pivotArea type="data" outline="0" collapsedLevelsAreSubtotals="1" fieldPosition="0">
          <references count="1">
            <reference field="4294967294" count="1" selected="0">
              <x v="0"/>
            </reference>
          </references>
        </pivotArea>
      </pivotAreas>
    </conditionalFormat>
    <conditionalFormat priority="2">
      <pivotAreas count="1">
        <pivotArea type="data" outline="0" collapsedLevelsAreSubtotals="1" fieldPosition="0">
          <references count="2">
            <reference field="4294967294" count="1" selected="0">
              <x v="0"/>
            </reference>
            <reference field="6" count="1" selected="0">
              <x v="0"/>
            </reference>
          </references>
        </pivotArea>
      </pivotAreas>
    </conditionalFormat>
    <conditionalFormat priority="3">
      <pivotAreas count="1">
        <pivotArea type="data" outline="0" collapsedLevelsAreSubtotals="1" fieldPosition="0">
          <references count="2">
            <reference field="4294967294" count="1" selected="0">
              <x v="0"/>
            </reference>
            <reference field="6" count="1" selected="0">
              <x v="0"/>
            </reference>
          </references>
        </pivotArea>
      </pivotAreas>
    </conditionalFormat>
    <conditionalFormat priority="4">
      <pivotAreas count="1">
        <pivotArea type="data" outline="0" collapsedLevelsAreSubtotals="1" fieldPosition="0">
          <references count="2">
            <reference field="4294967294" count="1" selected="0">
              <x v="0"/>
            </reference>
            <reference field="6"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D9C1477-1C24-41B5-9439-C30DD0357C51}" name="PivotTable2" cacheId="14" dataOnRows="1" applyNumberFormats="0" applyBorderFormats="0" applyFontFormats="0" applyPatternFormats="0" applyAlignmentFormats="0" applyWidthHeightFormats="1" dataCaption="Values" updatedVersion="7" minRefreshableVersion="3" useAutoFormatting="1" itemPrintTitles="1" createdVersion="8" indent="0" compact="0" compactData="0" multipleFieldFilters="0">
  <location ref="B3:F8" firstHeaderRow="1" firstDataRow="2" firstDataCol="1"/>
  <pivotFields count="11">
    <pivotField compact="0" outline="0" showAll="0"/>
    <pivotField axis="axisCol" dataField="1" compact="0" outline="0" showAll="0">
      <items count="4">
        <item x="1"/>
        <item x="0"/>
        <item x="2"/>
        <item t="default"/>
      </items>
    </pivotField>
    <pivotField compact="0" outline="0" showAll="0"/>
    <pivotField dataField="1" compact="0" outline="0" showAll="0"/>
    <pivotField compact="0" outline="0" showAll="0"/>
    <pivotField dataField="1" compact="0" numFmtId="8" outline="0" showAll="0"/>
    <pivotField compact="0" outline="0" showAll="0"/>
    <pivotField compact="0" outline="0" showAll="0">
      <items count="3">
        <item h="1" x="1"/>
        <item x="0"/>
        <item t="default"/>
      </items>
    </pivotField>
    <pivotField dataField="1" compact="0" numFmtId="2" outline="0" showAll="0"/>
    <pivotField compact="0" numFmtId="167" outline="0" showAll="0"/>
    <pivotField compact="0" outline="0" showAll="0"/>
  </pivotFields>
  <rowFields count="1">
    <field x="-2"/>
  </rowFields>
  <rowItems count="4">
    <i>
      <x/>
    </i>
    <i i="1">
      <x v="1"/>
    </i>
    <i i="2">
      <x v="2"/>
    </i>
    <i i="3">
      <x v="3"/>
    </i>
  </rowItems>
  <colFields count="1">
    <field x="1"/>
  </colFields>
  <colItems count="4">
    <i>
      <x/>
    </i>
    <i>
      <x v="1"/>
    </i>
    <i>
      <x v="2"/>
    </i>
    <i t="grand">
      <x/>
    </i>
  </colItems>
  <dataFields count="4">
    <dataField name="Count of Gender" fld="1" subtotal="count" baseField="0" baseItem="0"/>
    <dataField name="Average of Age" fld="3" subtotal="average" baseField="0" baseItem="0"/>
    <dataField name="Average of Salary" fld="5" subtotal="average" baseField="0" baseItem="0"/>
    <dataField name="Average of Tenure" fld="8" subtotal="average" baseField="0" baseItem="0"/>
  </dataFields>
  <formats count="12">
    <format dxfId="150">
      <pivotArea outline="0" fieldPosition="0">
        <references count="2">
          <reference field="4294967294" count="1" selected="0">
            <x v="1"/>
          </reference>
          <reference field="1" count="1" selected="0">
            <x v="0"/>
          </reference>
        </references>
      </pivotArea>
    </format>
    <format dxfId="149">
      <pivotArea outline="0" fieldPosition="0">
        <references count="2">
          <reference field="4294967294" count="1" selected="0">
            <x v="1"/>
          </reference>
          <reference field="1" count="1" selected="0">
            <x v="1"/>
          </reference>
        </references>
      </pivotArea>
    </format>
    <format dxfId="148">
      <pivotArea outline="0" fieldPosition="0">
        <references count="2">
          <reference field="4294967294" count="1" selected="0">
            <x v="1"/>
          </reference>
          <reference field="1" count="1" selected="0">
            <x v="2"/>
          </reference>
        </references>
      </pivotArea>
    </format>
    <format dxfId="147">
      <pivotArea field="1" grandCol="1" outline="0" axis="axisCol" fieldPosition="0">
        <references count="1">
          <reference field="4294967294" count="1" selected="0">
            <x v="1"/>
          </reference>
        </references>
      </pivotArea>
    </format>
    <format dxfId="146">
      <pivotArea outline="0" fieldPosition="0">
        <references count="2">
          <reference field="4294967294" count="1" selected="0">
            <x v="2"/>
          </reference>
          <reference field="1" count="1" selected="0">
            <x v="0"/>
          </reference>
        </references>
      </pivotArea>
    </format>
    <format dxfId="145">
      <pivotArea outline="0" fieldPosition="0">
        <references count="2">
          <reference field="4294967294" count="1" selected="0">
            <x v="2"/>
          </reference>
          <reference field="1" count="1" selected="0">
            <x v="1"/>
          </reference>
        </references>
      </pivotArea>
    </format>
    <format dxfId="144">
      <pivotArea outline="0" fieldPosition="0">
        <references count="2">
          <reference field="4294967294" count="1" selected="0">
            <x v="2"/>
          </reference>
          <reference field="1" count="1" selected="0">
            <x v="2"/>
          </reference>
        </references>
      </pivotArea>
    </format>
    <format dxfId="143">
      <pivotArea field="1" grandCol="1" outline="0" axis="axisCol" fieldPosition="0">
        <references count="1">
          <reference field="4294967294" count="1" selected="0">
            <x v="2"/>
          </reference>
        </references>
      </pivotArea>
    </format>
    <format dxfId="142">
      <pivotArea outline="0" fieldPosition="0">
        <references count="2">
          <reference field="4294967294" count="1" selected="0">
            <x v="3"/>
          </reference>
          <reference field="1" count="1" selected="0">
            <x v="0"/>
          </reference>
        </references>
      </pivotArea>
    </format>
    <format dxfId="141">
      <pivotArea outline="0" fieldPosition="0">
        <references count="2">
          <reference field="4294967294" count="1" selected="0">
            <x v="3"/>
          </reference>
          <reference field="1" count="1" selected="0">
            <x v="1"/>
          </reference>
        </references>
      </pivotArea>
    </format>
    <format dxfId="140">
      <pivotArea outline="0" fieldPosition="0">
        <references count="2">
          <reference field="4294967294" count="1" selected="0">
            <x v="3"/>
          </reference>
          <reference field="1" count="1" selected="0">
            <x v="2"/>
          </reference>
        </references>
      </pivotArea>
    </format>
    <format dxfId="139">
      <pivotArea field="1" grandCol="1" outline="0" axis="axisCol" fieldPosition="0">
        <references count="1">
          <reference field="4294967294"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11ECF7B-62B0-4D88-BEE0-2DB46AF6EFC7}" name="PivotTable3" cacheId="14" applyNumberFormats="0" applyBorderFormats="0" applyFontFormats="0" applyPatternFormats="0" applyAlignmentFormats="0" applyWidthHeightFormats="1" dataCaption="Values" updatedVersion="7" minRefreshableVersion="3" useAutoFormatting="1" itemPrintTitles="1" createdVersion="8" indent="0" compact="0" compactData="0" multipleFieldFilters="0" chartFormat="3">
  <location ref="C7:D168" firstHeaderRow="1" firstDataRow="1" firstDataCol="1"/>
  <pivotFields count="11">
    <pivotField dataField="1" compact="0" outline="0" showAll="0"/>
    <pivotField compact="0" outline="0" showAll="0"/>
    <pivotField compact="0" outline="0" showAll="0"/>
    <pivotField compact="0" outline="0" showAll="0"/>
    <pivotField axis="axisRow" compact="0" outline="0" showAll="0">
      <items count="1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t="default"/>
      </items>
    </pivotField>
    <pivotField compact="0" numFmtId="8" outline="0" showAll="0"/>
    <pivotField compact="0" outline="0" showAll="0"/>
    <pivotField compact="0" outline="0" showAll="0"/>
    <pivotField compact="0" numFmtId="2" outline="0" showAll="0"/>
    <pivotField compact="0" numFmtId="167" outline="0" showAll="0"/>
    <pivotField compact="0" outline="0" showAll="0"/>
  </pivotFields>
  <rowFields count="1">
    <field x="4"/>
  </rowFields>
  <rowItems count="16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t="grand">
      <x/>
    </i>
  </rowItems>
  <colItems count="1">
    <i/>
  </colItems>
  <dataFields count="1">
    <dataField name="Count of Name" fld="0" subtotal="count" showDataAs="runTotal" baseField="4" baseItem="0"/>
  </dataField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3B40DDB-7573-4684-B82C-9FCF6E154EF4}" name="PivotTable4" cacheId="5" applyNumberFormats="0" applyBorderFormats="0" applyFontFormats="0" applyPatternFormats="0" applyAlignmentFormats="0" applyWidthHeightFormats="1" dataCaption="Values" tag="8d1d907e-2284-4ca3-b849-5f4db7dadc19" updatedVersion="7" minRefreshableVersion="3" useAutoFormatting="1" itemPrintTitles="1" createdVersion="7" indent="0" outline="1" outlineData="1" multipleFieldFilters="0" chartFormat="4">
  <location ref="I5:J11" firstHeaderRow="1" firstDataRow="1" firstDataCol="1" rowPageCount="1" colPageCount="1"/>
  <pivotFields count="3">
    <pivotField dataField="1" subtotalTop="0" showAll="0" defaultSubtotal="0"/>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s>
  <rowFields count="1">
    <field x="1"/>
  </rowFields>
  <rowItems count="6">
    <i>
      <x v="2"/>
    </i>
    <i>
      <x v="4"/>
    </i>
    <i>
      <x/>
    </i>
    <i>
      <x v="3"/>
    </i>
    <i>
      <x v="1"/>
    </i>
    <i t="grand">
      <x/>
    </i>
  </rowItems>
  <colItems count="1">
    <i/>
  </colItems>
  <pageFields count="1">
    <pageField fld="2" hier="7" name="[staff].[Country].[All]" cap="All"/>
  </pageFields>
  <dataFields count="1">
    <dataField name="Count of Name" fld="0" subtotal="count"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Hierarchies count="1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mployee dataset project 1 (ongoing).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1021A47-66EB-49B7-8BD5-621105A8F46C}" name="PivotTable3" cacheId="8" applyNumberFormats="0" applyBorderFormats="0" applyFontFormats="0" applyPatternFormats="0" applyAlignmentFormats="0" applyWidthHeightFormats="1" dataCaption="Values" tag="d0da0656-fad8-4051-826f-0ed55f3c9273" updatedVersion="7" minRefreshableVersion="3" useAutoFormatting="1" itemPrintTitles="1" createdVersion="7" indent="0" outline="1" outlineData="1" multipleFieldFilters="0" chartFormat="4">
  <location ref="C5:D11" firstHeaderRow="1" firstDataRow="1" firstDataCol="1" rowPageCount="1" colPageCount="1"/>
  <pivotFields count="3">
    <pivotField dataField="1" subtotalTop="0" showAll="0" defaultSubtotal="0"/>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s>
  <rowFields count="1">
    <field x="1"/>
  </rowFields>
  <rowItems count="6">
    <i>
      <x v="2"/>
    </i>
    <i>
      <x v="4"/>
    </i>
    <i>
      <x/>
    </i>
    <i>
      <x v="3"/>
    </i>
    <i>
      <x v="1"/>
    </i>
    <i t="grand">
      <x/>
    </i>
  </rowItems>
  <colItems count="1">
    <i/>
  </colItems>
  <pageFields count="1">
    <pageField fld="2" hier="7" name="[staff].[Country].&amp;[India]" cap="India"/>
  </pageFields>
  <dataFields count="1">
    <dataField name="Count of Name" fld="0" subtotal="count"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Hierarchies count="1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mployee dataset project 1 (ongoing).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DD0AB97-9739-4D8A-AA8B-99525F9AD7CD}" autoFormatId="16" applyNumberFormats="0" applyBorderFormats="0" applyFontFormats="0" applyPatternFormats="0" applyAlignmentFormats="0" applyWidthHeightFormats="0">
  <queryTableRefresh nextId="14" unboundColumnsRight="3">
    <queryTableFields count="11">
      <queryTableField id="1" name="Name" tableColumnId="1"/>
      <queryTableField id="2" name="Gender" tableColumnId="2"/>
      <queryTableField id="3" name="Department" tableColumnId="3"/>
      <queryTableField id="4" name="Age" tableColumnId="4"/>
      <queryTableField id="5" name="Date Joined" tableColumnId="5"/>
      <queryTableField id="6" name="Salary" tableColumnId="6"/>
      <queryTableField id="7" name="Rating" tableColumnId="7"/>
      <queryTableField id="8" name="Country" tableColumnId="8"/>
      <queryTableField id="9" dataBound="0" tableColumnId="9"/>
      <queryTableField id="11" dataBound="0" tableColumnId="11"/>
      <queryTableField id="13" dataBound="0"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7344C283-6231-40A4-BD1C-781D4F4AC4A2}" sourceName="Country">
  <pivotTables>
    <pivotTable tabId="5" name="PivotTable2"/>
  </pivotTables>
  <data>
    <tabular pivotCacheId="253008066">
      <items count="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C1FCCC7E-7645-4499-BA75-10C6490783A8}" cache="Slicer_Country" caption="Country"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FB14D6-C284-4CCB-8D80-0DC4BBFD2E0C}" name="UK_staff" displayName="UK_staff" ref="A1:G102" totalsRowCount="1">
  <autoFilter ref="A1:G101" xr:uid="{3DFB14D6-C284-4CCB-8D80-0DC4BBFD2E0C}"/>
  <tableColumns count="7">
    <tableColumn id="1" xr3:uid="{5BD6E464-A423-4CAD-B75E-9CDAA329EF6D}" name="Name" totalsRowLabel="Total"/>
    <tableColumn id="2" xr3:uid="{C7C908C5-1F09-46AB-A246-93EE7D86441B}" name="Gender"/>
    <tableColumn id="3" xr3:uid="{7584D600-A5A8-459C-8C50-70867142469D}" name="Department"/>
    <tableColumn id="4" xr3:uid="{9D8E198F-55F2-4666-893D-332C6E1290F1}" name="Age" totalsRowFunction="average"/>
    <tableColumn id="5" xr3:uid="{F45B099F-5BF6-4CDA-8EFD-09DFF7FEFB34}" name="Date Joined"/>
    <tableColumn id="6" xr3:uid="{27224B86-079C-435D-932A-A9BF62F80DDA}" name="Salary" totalsRowFunction="average"/>
    <tableColumn id="7" xr3:uid="{61157691-A7E5-4BDA-8F20-84D6F3639934}" name="Rating"/>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02F945D-EC0A-4276-831D-92B2EC8D4C1F}" name="India_staff" displayName="India_staff" ref="A1:G114" totalsRowCount="1">
  <autoFilter ref="A1:G113" xr:uid="{C02F945D-EC0A-4276-831D-92B2EC8D4C1F}"/>
  <tableColumns count="7">
    <tableColumn id="1" xr3:uid="{1701F5BA-B94D-4A65-8628-ADBB336B4D55}" name="Name" totalsRowLabel="Total"/>
    <tableColumn id="2" xr3:uid="{46668744-5B30-44A5-A5E8-4C33814FBD6A}" name="Gender"/>
    <tableColumn id="3" xr3:uid="{0670BBF8-6060-4E76-8DDC-BA07E950513F}" name="Age" totalsRowFunction="average"/>
    <tableColumn id="4" xr3:uid="{8D53327D-75B7-436B-9A0B-CF4640E79D24}" name="Rating"/>
    <tableColumn id="5" xr3:uid="{236132D2-DBCA-4050-A317-F4474DD3E8F4}" name="Date Joined" dataDxfId="152"/>
    <tableColumn id="6" xr3:uid="{CE5DCCAF-6EA1-4A40-9659-2DD7DC294434}" name="Department"/>
    <tableColumn id="7" xr3:uid="{2A827722-5633-41AF-A7A4-B16F7A4FAE60}" name="Salary" totalsRowFunction="averag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38A8A1E-6602-406B-A8BA-9E46877FB6F5}" name="staff" displayName="staff" ref="A1:K184" tableType="queryTable" totalsRowShown="0">
  <autoFilter ref="A1:K184" xr:uid="{538A8A1E-6602-406B-A8BA-9E46877FB6F5}"/>
  <tableColumns count="11">
    <tableColumn id="1" xr3:uid="{B25CCFF6-77BE-4836-B846-29B61F028098}" uniqueName="1" name="Name" queryTableFieldId="1"/>
    <tableColumn id="2" xr3:uid="{D2774E81-50FA-4951-8DF4-23E25F9B1328}" uniqueName="2" name="Gender" queryTableFieldId="2"/>
    <tableColumn id="3" xr3:uid="{6A29087C-8B3A-4FFA-B3B7-FF0A54996AE6}" uniqueName="3" name="Department" queryTableFieldId="3"/>
    <tableColumn id="4" xr3:uid="{3461B489-C0DD-479F-84F7-D5BC7303404D}" uniqueName="4" name="Age" queryTableFieldId="4"/>
    <tableColumn id="5" xr3:uid="{AFD9BEE8-ADF8-493C-A339-36CE0105F7CE}" uniqueName="5" name="Date Joined" queryTableFieldId="5" dataDxfId="138"/>
    <tableColumn id="6" xr3:uid="{161009F3-C50C-4C00-A318-A24AE0FA2922}" uniqueName="6" name="Salary" queryTableFieldId="6" dataDxfId="137"/>
    <tableColumn id="7" xr3:uid="{8D0B137C-9A51-4F81-897B-95A771CD5938}" uniqueName="7" name="Rating" queryTableFieldId="7"/>
    <tableColumn id="8" xr3:uid="{2CF42E34-29EF-4571-B642-CA116DDB2ADE}" uniqueName="8" name="Country" queryTableFieldId="8" dataDxfId="136"/>
    <tableColumn id="9" xr3:uid="{56E70391-4649-444A-BE07-C2673A84D1BD}" uniqueName="9" name="Tenure" queryTableFieldId="9" dataDxfId="135">
      <calculatedColumnFormula>(TODAY()-staff[[#This Row],[Date Joined]])/365</calculatedColumnFormula>
    </tableColumn>
    <tableColumn id="11" xr3:uid="{814A1419-012F-4DEE-94F5-23F15F50B19D}" uniqueName="11" name="Bonus" queryTableFieldId="11" dataDxfId="134">
      <calculatedColumnFormula>IF(staff[[#This Row],[Tenure]]&gt;2,3%,2%)*staff[[#This Row],[Salary]]</calculatedColumnFormula>
    </tableColumn>
    <tableColumn id="12" xr3:uid="{439B5E86-EFC3-472A-8C09-E680549A47F8}" uniqueName="12" name="Rating number" queryTableFieldId="13" dataDxfId="133">
      <calculatedColumnFormula>_xlfn.XLOOKUP(staff[[#This Row],[Rating]],$Q$2:$Q$6,$R$2:$R$6)</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94321-FD25-4816-AFA1-0F053BAAF9ED}">
  <sheetPr>
    <tabColor theme="7" tint="0.59999389629810485"/>
  </sheetPr>
  <dimension ref="A1:G102"/>
  <sheetViews>
    <sheetView tabSelected="1" workbookViewId="0">
      <selection activeCell="C27" sqref="C27"/>
    </sheetView>
  </sheetViews>
  <sheetFormatPr defaultRowHeight="15" x14ac:dyDescent="0.25"/>
  <cols>
    <col min="1" max="1" width="21.42578125" bestFit="1" customWidth="1"/>
    <col min="2" max="2" width="10" bestFit="1" customWidth="1"/>
    <col min="3" max="3" width="14" bestFit="1" customWidth="1"/>
    <col min="4" max="4" width="6.7109375" bestFit="1" customWidth="1"/>
    <col min="5" max="5" width="13.7109375" bestFit="1" customWidth="1"/>
    <col min="6" max="6" width="8.5703125" bestFit="1" customWidth="1"/>
    <col min="7" max="7" width="14.28515625" bestFit="1" customWidth="1"/>
  </cols>
  <sheetData>
    <row r="1" spans="1:7" x14ac:dyDescent="0.25">
      <c r="A1" t="s">
        <v>0</v>
      </c>
      <c r="B1" t="s">
        <v>1</v>
      </c>
      <c r="C1" t="s">
        <v>2</v>
      </c>
      <c r="D1" t="s">
        <v>3</v>
      </c>
      <c r="E1" s="1" t="s">
        <v>4</v>
      </c>
      <c r="F1" t="s">
        <v>5</v>
      </c>
      <c r="G1" t="s">
        <v>6</v>
      </c>
    </row>
    <row r="2" spans="1:7" x14ac:dyDescent="0.25">
      <c r="A2" t="s">
        <v>7</v>
      </c>
      <c r="B2" t="s">
        <v>8</v>
      </c>
      <c r="C2" t="s">
        <v>9</v>
      </c>
      <c r="D2">
        <v>22</v>
      </c>
      <c r="E2" s="1">
        <v>44446</v>
      </c>
      <c r="F2">
        <v>112780</v>
      </c>
      <c r="G2" t="s">
        <v>10</v>
      </c>
    </row>
    <row r="3" spans="1:7" x14ac:dyDescent="0.25">
      <c r="A3" t="s">
        <v>11</v>
      </c>
      <c r="B3" t="s">
        <v>8</v>
      </c>
      <c r="C3" t="s">
        <v>12</v>
      </c>
      <c r="D3">
        <v>46</v>
      </c>
      <c r="E3" s="1">
        <v>44758</v>
      </c>
      <c r="F3">
        <v>70610</v>
      </c>
      <c r="G3" t="s">
        <v>13</v>
      </c>
    </row>
    <row r="4" spans="1:7" x14ac:dyDescent="0.25">
      <c r="A4" t="s">
        <v>14</v>
      </c>
      <c r="B4" t="s">
        <v>15</v>
      </c>
      <c r="C4" t="s">
        <v>9</v>
      </c>
      <c r="D4">
        <v>28</v>
      </c>
      <c r="E4" s="1">
        <v>44357</v>
      </c>
      <c r="F4">
        <v>53240</v>
      </c>
      <c r="G4" t="s">
        <v>13</v>
      </c>
    </row>
    <row r="5" spans="1:7" x14ac:dyDescent="0.25">
      <c r="A5" t="s">
        <v>16</v>
      </c>
      <c r="C5" t="s">
        <v>17</v>
      </c>
      <c r="D5">
        <v>37</v>
      </c>
      <c r="E5" s="1">
        <v>44146</v>
      </c>
      <c r="F5">
        <v>115440</v>
      </c>
      <c r="G5" t="s">
        <v>18</v>
      </c>
    </row>
    <row r="6" spans="1:7" x14ac:dyDescent="0.25">
      <c r="A6" t="s">
        <v>19</v>
      </c>
      <c r="B6" t="s">
        <v>8</v>
      </c>
      <c r="C6" t="s">
        <v>9</v>
      </c>
      <c r="D6">
        <v>32</v>
      </c>
      <c r="E6" s="1">
        <v>44465</v>
      </c>
      <c r="F6">
        <v>53540</v>
      </c>
      <c r="G6" t="s">
        <v>13</v>
      </c>
    </row>
    <row r="7" spans="1:7" x14ac:dyDescent="0.25">
      <c r="A7" t="s">
        <v>20</v>
      </c>
      <c r="B7" t="s">
        <v>15</v>
      </c>
      <c r="C7" t="s">
        <v>12</v>
      </c>
      <c r="D7">
        <v>30</v>
      </c>
      <c r="E7" s="1">
        <v>44861</v>
      </c>
      <c r="F7">
        <v>112570</v>
      </c>
      <c r="G7" t="s">
        <v>13</v>
      </c>
    </row>
    <row r="8" spans="1:7" x14ac:dyDescent="0.25">
      <c r="A8" t="s">
        <v>21</v>
      </c>
      <c r="B8" t="s">
        <v>8</v>
      </c>
      <c r="C8" t="s">
        <v>12</v>
      </c>
      <c r="D8">
        <v>33</v>
      </c>
      <c r="E8" s="1">
        <v>44701</v>
      </c>
      <c r="F8">
        <v>48530</v>
      </c>
      <c r="G8" t="s">
        <v>10</v>
      </c>
    </row>
    <row r="9" spans="1:7" x14ac:dyDescent="0.25">
      <c r="A9" t="s">
        <v>22</v>
      </c>
      <c r="B9" t="s">
        <v>15</v>
      </c>
      <c r="C9" t="s">
        <v>23</v>
      </c>
      <c r="D9">
        <v>24</v>
      </c>
      <c r="E9" s="1">
        <v>44148</v>
      </c>
      <c r="F9">
        <v>62780</v>
      </c>
      <c r="G9" t="s">
        <v>13</v>
      </c>
    </row>
    <row r="10" spans="1:7" x14ac:dyDescent="0.25">
      <c r="A10" t="s">
        <v>24</v>
      </c>
      <c r="B10" t="s">
        <v>8</v>
      </c>
      <c r="C10" t="s">
        <v>23</v>
      </c>
      <c r="D10">
        <v>33</v>
      </c>
      <c r="E10" s="1">
        <v>44509</v>
      </c>
      <c r="F10">
        <v>53870</v>
      </c>
      <c r="G10" t="s">
        <v>13</v>
      </c>
    </row>
    <row r="11" spans="1:7" x14ac:dyDescent="0.25">
      <c r="A11" t="s">
        <v>25</v>
      </c>
      <c r="B11" t="s">
        <v>15</v>
      </c>
      <c r="C11" t="s">
        <v>26</v>
      </c>
      <c r="D11">
        <v>27</v>
      </c>
      <c r="E11" s="1">
        <v>44122</v>
      </c>
      <c r="F11">
        <v>119110</v>
      </c>
      <c r="G11" t="s">
        <v>13</v>
      </c>
    </row>
    <row r="12" spans="1:7" x14ac:dyDescent="0.25">
      <c r="A12" t="s">
        <v>27</v>
      </c>
      <c r="B12" t="s">
        <v>8</v>
      </c>
      <c r="C12" t="s">
        <v>23</v>
      </c>
      <c r="D12">
        <v>29</v>
      </c>
      <c r="E12" s="1">
        <v>44180</v>
      </c>
      <c r="F12">
        <v>112110</v>
      </c>
      <c r="G12" t="s">
        <v>18</v>
      </c>
    </row>
    <row r="13" spans="1:7" x14ac:dyDescent="0.25">
      <c r="A13" t="s">
        <v>28</v>
      </c>
      <c r="B13" t="s">
        <v>8</v>
      </c>
      <c r="C13" t="s">
        <v>9</v>
      </c>
      <c r="D13">
        <v>25</v>
      </c>
      <c r="E13" s="1">
        <v>44383</v>
      </c>
      <c r="F13">
        <v>65700</v>
      </c>
      <c r="G13" t="s">
        <v>13</v>
      </c>
    </row>
    <row r="14" spans="1:7" x14ac:dyDescent="0.25">
      <c r="A14" t="s">
        <v>29</v>
      </c>
      <c r="B14" t="s">
        <v>8</v>
      </c>
      <c r="C14" t="s">
        <v>23</v>
      </c>
      <c r="D14">
        <v>37</v>
      </c>
      <c r="E14" s="1">
        <v>44701</v>
      </c>
      <c r="F14">
        <v>69070</v>
      </c>
      <c r="G14" t="s">
        <v>13</v>
      </c>
    </row>
    <row r="15" spans="1:7" x14ac:dyDescent="0.25">
      <c r="A15" t="s">
        <v>30</v>
      </c>
      <c r="B15" t="s">
        <v>8</v>
      </c>
      <c r="C15" t="s">
        <v>23</v>
      </c>
      <c r="D15">
        <v>20</v>
      </c>
      <c r="E15" s="1">
        <v>44459</v>
      </c>
      <c r="F15">
        <v>107700</v>
      </c>
      <c r="G15" t="s">
        <v>13</v>
      </c>
    </row>
    <row r="16" spans="1:7" x14ac:dyDescent="0.25">
      <c r="A16" t="s">
        <v>31</v>
      </c>
      <c r="B16" t="s">
        <v>15</v>
      </c>
      <c r="C16" t="s">
        <v>23</v>
      </c>
      <c r="D16">
        <v>32</v>
      </c>
      <c r="E16" s="1">
        <v>44354</v>
      </c>
      <c r="F16">
        <v>43840</v>
      </c>
      <c r="G16" t="s">
        <v>10</v>
      </c>
    </row>
    <row r="17" spans="1:7" x14ac:dyDescent="0.25">
      <c r="A17" t="s">
        <v>32</v>
      </c>
      <c r="B17" t="s">
        <v>8</v>
      </c>
      <c r="C17" t="s">
        <v>12</v>
      </c>
      <c r="D17">
        <v>40</v>
      </c>
      <c r="E17" s="1">
        <v>44263</v>
      </c>
      <c r="F17">
        <v>99750</v>
      </c>
      <c r="G17" t="s">
        <v>13</v>
      </c>
    </row>
    <row r="18" spans="1:7" x14ac:dyDescent="0.25">
      <c r="A18" t="s">
        <v>33</v>
      </c>
      <c r="B18" t="s">
        <v>8</v>
      </c>
      <c r="C18" t="s">
        <v>12</v>
      </c>
      <c r="D18">
        <v>21</v>
      </c>
      <c r="E18" s="1">
        <v>44104</v>
      </c>
      <c r="F18">
        <v>37920</v>
      </c>
      <c r="G18" t="s">
        <v>13</v>
      </c>
    </row>
    <row r="19" spans="1:7" x14ac:dyDescent="0.25">
      <c r="A19" t="s">
        <v>34</v>
      </c>
      <c r="B19" t="s">
        <v>8</v>
      </c>
      <c r="C19" t="s">
        <v>12</v>
      </c>
      <c r="D19">
        <v>21</v>
      </c>
      <c r="E19" s="1">
        <v>44762</v>
      </c>
      <c r="F19">
        <v>57090</v>
      </c>
      <c r="G19" t="s">
        <v>13</v>
      </c>
    </row>
    <row r="20" spans="1:7" x14ac:dyDescent="0.25">
      <c r="A20" t="s">
        <v>35</v>
      </c>
      <c r="B20" t="s">
        <v>15</v>
      </c>
      <c r="C20" t="s">
        <v>23</v>
      </c>
      <c r="D20">
        <v>31</v>
      </c>
      <c r="E20" s="1">
        <v>44145</v>
      </c>
      <c r="F20">
        <v>41980</v>
      </c>
      <c r="G20" t="s">
        <v>13</v>
      </c>
    </row>
    <row r="21" spans="1:7" x14ac:dyDescent="0.25">
      <c r="A21" t="s">
        <v>36</v>
      </c>
      <c r="B21" t="s">
        <v>8</v>
      </c>
      <c r="C21" t="s">
        <v>26</v>
      </c>
      <c r="D21">
        <v>21</v>
      </c>
      <c r="E21" s="1">
        <v>44242</v>
      </c>
      <c r="F21">
        <v>75880</v>
      </c>
      <c r="G21" t="s">
        <v>13</v>
      </c>
    </row>
    <row r="22" spans="1:7" x14ac:dyDescent="0.25">
      <c r="A22" t="s">
        <v>37</v>
      </c>
      <c r="B22" t="s">
        <v>15</v>
      </c>
      <c r="C22" t="s">
        <v>17</v>
      </c>
      <c r="D22">
        <v>34</v>
      </c>
      <c r="E22" s="1">
        <v>44653</v>
      </c>
      <c r="F22">
        <v>58940</v>
      </c>
      <c r="G22" t="s">
        <v>13</v>
      </c>
    </row>
    <row r="23" spans="1:7" x14ac:dyDescent="0.25">
      <c r="A23" t="s">
        <v>38</v>
      </c>
      <c r="B23" t="s">
        <v>15</v>
      </c>
      <c r="C23" t="s">
        <v>17</v>
      </c>
      <c r="D23">
        <v>30</v>
      </c>
      <c r="E23" s="1">
        <v>44389</v>
      </c>
      <c r="F23">
        <v>67910</v>
      </c>
      <c r="G23" t="s">
        <v>18</v>
      </c>
    </row>
    <row r="24" spans="1:7" x14ac:dyDescent="0.25">
      <c r="A24" t="s">
        <v>39</v>
      </c>
      <c r="B24" t="s">
        <v>15</v>
      </c>
      <c r="C24" t="s">
        <v>23</v>
      </c>
      <c r="D24">
        <v>31</v>
      </c>
      <c r="E24" s="1">
        <v>44663</v>
      </c>
      <c r="F24">
        <v>58100</v>
      </c>
      <c r="G24" t="s">
        <v>13</v>
      </c>
    </row>
    <row r="25" spans="1:7" x14ac:dyDescent="0.25">
      <c r="A25" t="s">
        <v>40</v>
      </c>
      <c r="B25" t="s">
        <v>8</v>
      </c>
      <c r="C25" t="s">
        <v>17</v>
      </c>
      <c r="D25">
        <v>27</v>
      </c>
      <c r="E25" s="1">
        <v>44567</v>
      </c>
      <c r="F25">
        <v>48980</v>
      </c>
      <c r="G25" t="s">
        <v>13</v>
      </c>
    </row>
    <row r="26" spans="1:7" x14ac:dyDescent="0.25">
      <c r="A26" t="s">
        <v>41</v>
      </c>
      <c r="C26" t="s">
        <v>17</v>
      </c>
      <c r="D26">
        <v>30</v>
      </c>
      <c r="E26" s="1">
        <v>44597</v>
      </c>
      <c r="F26">
        <v>64000</v>
      </c>
      <c r="G26" t="s">
        <v>13</v>
      </c>
    </row>
    <row r="27" spans="1:7" x14ac:dyDescent="0.25">
      <c r="A27" t="s">
        <v>42</v>
      </c>
      <c r="B27" t="s">
        <v>15</v>
      </c>
      <c r="C27" t="s">
        <v>12</v>
      </c>
      <c r="D27">
        <v>42</v>
      </c>
      <c r="E27" s="1">
        <v>44779</v>
      </c>
      <c r="F27">
        <v>75000</v>
      </c>
      <c r="G27" t="s">
        <v>43</v>
      </c>
    </row>
    <row r="28" spans="1:7" x14ac:dyDescent="0.25">
      <c r="A28" t="s">
        <v>44</v>
      </c>
      <c r="B28" t="s">
        <v>15</v>
      </c>
      <c r="C28" t="s">
        <v>23</v>
      </c>
      <c r="D28">
        <v>40</v>
      </c>
      <c r="E28" s="1">
        <v>44337</v>
      </c>
      <c r="F28">
        <v>87620</v>
      </c>
      <c r="G28" t="s">
        <v>13</v>
      </c>
    </row>
    <row r="29" spans="1:7" x14ac:dyDescent="0.25">
      <c r="A29" t="s">
        <v>45</v>
      </c>
      <c r="B29" t="s">
        <v>15</v>
      </c>
      <c r="C29" t="s">
        <v>23</v>
      </c>
      <c r="D29">
        <v>29</v>
      </c>
      <c r="E29" s="1">
        <v>44023</v>
      </c>
      <c r="F29">
        <v>34980</v>
      </c>
      <c r="G29" t="s">
        <v>13</v>
      </c>
    </row>
    <row r="30" spans="1:7" x14ac:dyDescent="0.25">
      <c r="A30" t="s">
        <v>46</v>
      </c>
      <c r="B30" t="s">
        <v>15</v>
      </c>
      <c r="C30" t="s">
        <v>17</v>
      </c>
      <c r="D30">
        <v>28</v>
      </c>
      <c r="E30" s="1">
        <v>44185</v>
      </c>
      <c r="F30">
        <v>75970</v>
      </c>
      <c r="G30" t="s">
        <v>13</v>
      </c>
    </row>
    <row r="31" spans="1:7" x14ac:dyDescent="0.25">
      <c r="A31" t="s">
        <v>47</v>
      </c>
      <c r="B31" t="s">
        <v>15</v>
      </c>
      <c r="C31" t="s">
        <v>17</v>
      </c>
      <c r="D31">
        <v>34</v>
      </c>
      <c r="E31" s="1">
        <v>44612</v>
      </c>
      <c r="F31">
        <v>60130</v>
      </c>
      <c r="G31" t="s">
        <v>13</v>
      </c>
    </row>
    <row r="32" spans="1:7" x14ac:dyDescent="0.25">
      <c r="A32" t="s">
        <v>48</v>
      </c>
      <c r="B32" t="s">
        <v>15</v>
      </c>
      <c r="C32" t="s">
        <v>23</v>
      </c>
      <c r="D32">
        <v>33</v>
      </c>
      <c r="E32" s="1">
        <v>44374</v>
      </c>
      <c r="F32">
        <v>75480</v>
      </c>
      <c r="G32" t="s">
        <v>49</v>
      </c>
    </row>
    <row r="33" spans="1:7" x14ac:dyDescent="0.25">
      <c r="A33" t="s">
        <v>50</v>
      </c>
      <c r="B33" t="s">
        <v>8</v>
      </c>
      <c r="C33" t="s">
        <v>12</v>
      </c>
      <c r="D33">
        <v>33</v>
      </c>
      <c r="E33" s="1">
        <v>44164</v>
      </c>
      <c r="F33">
        <v>115920</v>
      </c>
      <c r="G33" t="s">
        <v>13</v>
      </c>
    </row>
    <row r="34" spans="1:7" x14ac:dyDescent="0.25">
      <c r="A34" t="s">
        <v>51</v>
      </c>
      <c r="B34" t="s">
        <v>15</v>
      </c>
      <c r="C34" t="s">
        <v>9</v>
      </c>
      <c r="D34">
        <v>36</v>
      </c>
      <c r="E34" s="1">
        <v>44494</v>
      </c>
      <c r="F34">
        <v>78540</v>
      </c>
      <c r="G34" t="s">
        <v>13</v>
      </c>
    </row>
    <row r="35" spans="1:7" x14ac:dyDescent="0.25">
      <c r="A35" t="s">
        <v>52</v>
      </c>
      <c r="B35" t="s">
        <v>8</v>
      </c>
      <c r="C35" t="s">
        <v>12</v>
      </c>
      <c r="D35">
        <v>25</v>
      </c>
      <c r="E35" s="1">
        <v>44726</v>
      </c>
      <c r="F35">
        <v>109190</v>
      </c>
      <c r="G35" t="s">
        <v>10</v>
      </c>
    </row>
    <row r="36" spans="1:7" x14ac:dyDescent="0.25">
      <c r="A36" t="s">
        <v>53</v>
      </c>
      <c r="B36" t="s">
        <v>15</v>
      </c>
      <c r="C36" t="s">
        <v>9</v>
      </c>
      <c r="D36">
        <v>34</v>
      </c>
      <c r="E36" s="1">
        <v>44721</v>
      </c>
      <c r="F36">
        <v>49630</v>
      </c>
      <c r="G36" t="s">
        <v>18</v>
      </c>
    </row>
    <row r="37" spans="1:7" x14ac:dyDescent="0.25">
      <c r="A37" t="s">
        <v>54</v>
      </c>
      <c r="B37" t="s">
        <v>15</v>
      </c>
      <c r="C37" t="s">
        <v>12</v>
      </c>
      <c r="D37">
        <v>28</v>
      </c>
      <c r="E37" s="1">
        <v>44630</v>
      </c>
      <c r="F37">
        <v>99970</v>
      </c>
      <c r="G37" t="s">
        <v>13</v>
      </c>
    </row>
    <row r="38" spans="1:7" x14ac:dyDescent="0.25">
      <c r="A38" t="s">
        <v>55</v>
      </c>
      <c r="B38" t="s">
        <v>15</v>
      </c>
      <c r="C38" t="s">
        <v>23</v>
      </c>
      <c r="D38">
        <v>33</v>
      </c>
      <c r="E38" s="1">
        <v>44190</v>
      </c>
      <c r="F38">
        <v>96140</v>
      </c>
      <c r="G38" t="s">
        <v>13</v>
      </c>
    </row>
    <row r="39" spans="1:7" x14ac:dyDescent="0.25">
      <c r="A39" t="s">
        <v>56</v>
      </c>
      <c r="B39" t="s">
        <v>8</v>
      </c>
      <c r="C39" t="s">
        <v>12</v>
      </c>
      <c r="D39">
        <v>31</v>
      </c>
      <c r="E39" s="1">
        <v>44724</v>
      </c>
      <c r="F39">
        <v>103550</v>
      </c>
      <c r="G39" t="s">
        <v>13</v>
      </c>
    </row>
    <row r="40" spans="1:7" x14ac:dyDescent="0.25">
      <c r="A40" t="s">
        <v>57</v>
      </c>
      <c r="B40" t="s">
        <v>8</v>
      </c>
      <c r="C40" t="s">
        <v>23</v>
      </c>
      <c r="D40">
        <v>31</v>
      </c>
      <c r="E40" s="1">
        <v>44511</v>
      </c>
      <c r="F40">
        <v>48950</v>
      </c>
      <c r="G40" t="s">
        <v>13</v>
      </c>
    </row>
    <row r="41" spans="1:7" x14ac:dyDescent="0.25">
      <c r="A41" t="s">
        <v>58</v>
      </c>
      <c r="B41" t="s">
        <v>8</v>
      </c>
      <c r="C41" t="s">
        <v>17</v>
      </c>
      <c r="D41">
        <v>24</v>
      </c>
      <c r="E41" s="1">
        <v>44436</v>
      </c>
      <c r="F41">
        <v>52610</v>
      </c>
      <c r="G41" t="s">
        <v>18</v>
      </c>
    </row>
    <row r="42" spans="1:7" x14ac:dyDescent="0.25">
      <c r="A42" t="s">
        <v>59</v>
      </c>
      <c r="B42" t="s">
        <v>15</v>
      </c>
      <c r="C42" t="s">
        <v>12</v>
      </c>
      <c r="D42">
        <v>36</v>
      </c>
      <c r="E42" s="1">
        <v>44529</v>
      </c>
      <c r="F42">
        <v>78390</v>
      </c>
      <c r="G42" t="s">
        <v>13</v>
      </c>
    </row>
    <row r="43" spans="1:7" x14ac:dyDescent="0.25">
      <c r="A43" t="s">
        <v>60</v>
      </c>
      <c r="B43" t="s">
        <v>15</v>
      </c>
      <c r="C43" t="s">
        <v>17</v>
      </c>
      <c r="D43">
        <v>33</v>
      </c>
      <c r="E43" s="1">
        <v>44809</v>
      </c>
      <c r="F43">
        <v>86570</v>
      </c>
      <c r="G43" t="s">
        <v>13</v>
      </c>
    </row>
    <row r="44" spans="1:7" x14ac:dyDescent="0.25">
      <c r="A44" t="s">
        <v>61</v>
      </c>
      <c r="B44" t="s">
        <v>15</v>
      </c>
      <c r="C44" t="s">
        <v>23</v>
      </c>
      <c r="D44">
        <v>27</v>
      </c>
      <c r="E44" s="1">
        <v>44686</v>
      </c>
      <c r="F44">
        <v>83750</v>
      </c>
      <c r="G44" t="s">
        <v>13</v>
      </c>
    </row>
    <row r="45" spans="1:7" x14ac:dyDescent="0.25">
      <c r="A45" t="s">
        <v>62</v>
      </c>
      <c r="B45" t="s">
        <v>15</v>
      </c>
      <c r="C45" t="s">
        <v>17</v>
      </c>
      <c r="D45">
        <v>34</v>
      </c>
      <c r="E45" s="1">
        <v>44445</v>
      </c>
      <c r="F45">
        <v>92450</v>
      </c>
      <c r="G45" t="s">
        <v>13</v>
      </c>
    </row>
    <row r="46" spans="1:7" x14ac:dyDescent="0.25">
      <c r="A46" t="s">
        <v>63</v>
      </c>
      <c r="B46" t="s">
        <v>8</v>
      </c>
      <c r="C46" t="s">
        <v>23</v>
      </c>
      <c r="D46">
        <v>20</v>
      </c>
      <c r="E46" s="1">
        <v>44183</v>
      </c>
      <c r="F46">
        <v>112650</v>
      </c>
      <c r="G46" t="s">
        <v>13</v>
      </c>
    </row>
    <row r="47" spans="1:7" x14ac:dyDescent="0.25">
      <c r="A47" t="s">
        <v>64</v>
      </c>
      <c r="B47" t="s">
        <v>8</v>
      </c>
      <c r="C47" t="s">
        <v>12</v>
      </c>
      <c r="D47">
        <v>20</v>
      </c>
      <c r="E47" s="1">
        <v>44744</v>
      </c>
      <c r="F47">
        <v>79570</v>
      </c>
      <c r="G47" t="s">
        <v>13</v>
      </c>
    </row>
    <row r="48" spans="1:7" x14ac:dyDescent="0.25">
      <c r="A48" t="s">
        <v>65</v>
      </c>
      <c r="B48" t="s">
        <v>15</v>
      </c>
      <c r="C48" t="s">
        <v>9</v>
      </c>
      <c r="D48">
        <v>20</v>
      </c>
      <c r="E48" s="1">
        <v>44537</v>
      </c>
      <c r="F48">
        <v>68900</v>
      </c>
      <c r="G48" t="s">
        <v>18</v>
      </c>
    </row>
    <row r="49" spans="1:7" x14ac:dyDescent="0.25">
      <c r="A49" t="s">
        <v>66</v>
      </c>
      <c r="B49" t="s">
        <v>15</v>
      </c>
      <c r="C49" t="s">
        <v>23</v>
      </c>
      <c r="D49">
        <v>25</v>
      </c>
      <c r="E49" s="1">
        <v>44694</v>
      </c>
      <c r="F49">
        <v>80700</v>
      </c>
      <c r="G49" t="s">
        <v>10</v>
      </c>
    </row>
    <row r="50" spans="1:7" x14ac:dyDescent="0.25">
      <c r="A50" t="s">
        <v>67</v>
      </c>
      <c r="B50" t="s">
        <v>8</v>
      </c>
      <c r="C50" t="s">
        <v>12</v>
      </c>
      <c r="D50">
        <v>19</v>
      </c>
      <c r="E50" s="1">
        <v>44277</v>
      </c>
      <c r="F50">
        <v>58960</v>
      </c>
      <c r="G50" t="s">
        <v>13</v>
      </c>
    </row>
    <row r="51" spans="1:7" x14ac:dyDescent="0.25">
      <c r="A51" t="s">
        <v>68</v>
      </c>
      <c r="B51" t="s">
        <v>8</v>
      </c>
      <c r="C51" t="s">
        <v>23</v>
      </c>
      <c r="D51">
        <v>36</v>
      </c>
      <c r="E51" s="1">
        <v>44019</v>
      </c>
      <c r="F51">
        <v>118840</v>
      </c>
      <c r="G51" t="s">
        <v>13</v>
      </c>
    </row>
    <row r="52" spans="1:7" x14ac:dyDescent="0.25">
      <c r="A52" t="s">
        <v>69</v>
      </c>
      <c r="B52" t="s">
        <v>8</v>
      </c>
      <c r="C52" t="s">
        <v>17</v>
      </c>
      <c r="D52">
        <v>28</v>
      </c>
      <c r="E52" s="1">
        <v>44041</v>
      </c>
      <c r="F52">
        <v>48170</v>
      </c>
      <c r="G52" t="s">
        <v>10</v>
      </c>
    </row>
    <row r="53" spans="1:7" x14ac:dyDescent="0.25">
      <c r="A53" t="s">
        <v>70</v>
      </c>
      <c r="B53" t="s">
        <v>15</v>
      </c>
      <c r="C53" t="s">
        <v>26</v>
      </c>
      <c r="D53">
        <v>32</v>
      </c>
      <c r="E53" s="1">
        <v>44400</v>
      </c>
      <c r="F53">
        <v>45510</v>
      </c>
      <c r="G53" t="s">
        <v>13</v>
      </c>
    </row>
    <row r="54" spans="1:7" x14ac:dyDescent="0.25">
      <c r="A54" t="s">
        <v>63</v>
      </c>
      <c r="B54" t="s">
        <v>8</v>
      </c>
      <c r="C54" t="s">
        <v>12</v>
      </c>
      <c r="D54">
        <v>34</v>
      </c>
      <c r="E54" s="1">
        <v>44703</v>
      </c>
      <c r="F54">
        <v>112650</v>
      </c>
      <c r="G54" t="s">
        <v>13</v>
      </c>
    </row>
    <row r="55" spans="1:7" x14ac:dyDescent="0.25">
      <c r="A55" t="s">
        <v>71</v>
      </c>
      <c r="B55" t="s">
        <v>15</v>
      </c>
      <c r="C55" t="s">
        <v>12</v>
      </c>
      <c r="D55">
        <v>36</v>
      </c>
      <c r="E55" s="1">
        <v>44085</v>
      </c>
      <c r="F55">
        <v>114890</v>
      </c>
      <c r="G55" t="s">
        <v>13</v>
      </c>
    </row>
    <row r="56" spans="1:7" x14ac:dyDescent="0.25">
      <c r="A56" t="s">
        <v>72</v>
      </c>
      <c r="B56" t="s">
        <v>8</v>
      </c>
      <c r="C56" t="s">
        <v>23</v>
      </c>
      <c r="D56">
        <v>30</v>
      </c>
      <c r="E56" s="1">
        <v>44850</v>
      </c>
      <c r="F56">
        <v>69710</v>
      </c>
      <c r="G56" t="s">
        <v>13</v>
      </c>
    </row>
    <row r="57" spans="1:7" x14ac:dyDescent="0.25">
      <c r="A57" t="s">
        <v>73</v>
      </c>
      <c r="B57" t="s">
        <v>8</v>
      </c>
      <c r="C57" t="s">
        <v>17</v>
      </c>
      <c r="D57">
        <v>36</v>
      </c>
      <c r="E57" s="1">
        <v>44333</v>
      </c>
      <c r="F57">
        <v>71380</v>
      </c>
      <c r="G57" t="s">
        <v>13</v>
      </c>
    </row>
    <row r="58" spans="1:7" x14ac:dyDescent="0.25">
      <c r="A58" t="s">
        <v>74</v>
      </c>
      <c r="B58" t="s">
        <v>15</v>
      </c>
      <c r="C58" t="s">
        <v>9</v>
      </c>
      <c r="D58">
        <v>38</v>
      </c>
      <c r="E58" s="1">
        <v>44377</v>
      </c>
      <c r="F58">
        <v>109160</v>
      </c>
      <c r="G58" t="s">
        <v>43</v>
      </c>
    </row>
    <row r="59" spans="1:7" x14ac:dyDescent="0.25">
      <c r="A59" t="s">
        <v>75</v>
      </c>
      <c r="B59" t="s">
        <v>8</v>
      </c>
      <c r="C59" t="s">
        <v>12</v>
      </c>
      <c r="D59">
        <v>27</v>
      </c>
      <c r="E59" s="1">
        <v>44609</v>
      </c>
      <c r="F59">
        <v>113280</v>
      </c>
      <c r="G59" t="s">
        <v>49</v>
      </c>
    </row>
    <row r="60" spans="1:7" x14ac:dyDescent="0.25">
      <c r="A60" t="s">
        <v>76</v>
      </c>
      <c r="B60" t="s">
        <v>8</v>
      </c>
      <c r="C60" t="s">
        <v>23</v>
      </c>
      <c r="D60">
        <v>30</v>
      </c>
      <c r="E60" s="1">
        <v>44273</v>
      </c>
      <c r="F60">
        <v>69120</v>
      </c>
      <c r="G60" t="s">
        <v>13</v>
      </c>
    </row>
    <row r="61" spans="1:7" x14ac:dyDescent="0.25">
      <c r="A61" t="s">
        <v>77</v>
      </c>
      <c r="B61" t="s">
        <v>15</v>
      </c>
      <c r="C61" t="s">
        <v>26</v>
      </c>
      <c r="D61">
        <v>37</v>
      </c>
      <c r="E61" s="1">
        <v>44451</v>
      </c>
      <c r="F61">
        <v>118100</v>
      </c>
      <c r="G61" t="s">
        <v>13</v>
      </c>
    </row>
    <row r="62" spans="1:7" x14ac:dyDescent="0.25">
      <c r="A62" t="s">
        <v>78</v>
      </c>
      <c r="B62" t="s">
        <v>15</v>
      </c>
      <c r="C62" t="s">
        <v>12</v>
      </c>
      <c r="D62">
        <v>22</v>
      </c>
      <c r="E62" s="1">
        <v>44450</v>
      </c>
      <c r="F62">
        <v>76900</v>
      </c>
      <c r="G62" t="s">
        <v>10</v>
      </c>
    </row>
    <row r="63" spans="1:7" x14ac:dyDescent="0.25">
      <c r="A63" t="s">
        <v>79</v>
      </c>
      <c r="B63" t="s">
        <v>15</v>
      </c>
      <c r="C63" t="s">
        <v>23</v>
      </c>
      <c r="D63">
        <v>43</v>
      </c>
      <c r="E63" s="1">
        <v>45045</v>
      </c>
      <c r="F63">
        <v>114870</v>
      </c>
      <c r="G63" t="s">
        <v>13</v>
      </c>
    </row>
    <row r="64" spans="1:7" x14ac:dyDescent="0.25">
      <c r="A64" t="s">
        <v>80</v>
      </c>
      <c r="C64" t="s">
        <v>23</v>
      </c>
      <c r="D64">
        <v>32</v>
      </c>
      <c r="E64" s="1">
        <v>44774</v>
      </c>
      <c r="F64">
        <v>91310</v>
      </c>
      <c r="G64" t="s">
        <v>13</v>
      </c>
    </row>
    <row r="65" spans="1:7" x14ac:dyDescent="0.25">
      <c r="A65" t="s">
        <v>81</v>
      </c>
      <c r="B65" t="s">
        <v>15</v>
      </c>
      <c r="C65" t="s">
        <v>12</v>
      </c>
      <c r="D65">
        <v>28</v>
      </c>
      <c r="E65" s="1">
        <v>44486</v>
      </c>
      <c r="F65">
        <v>104770</v>
      </c>
      <c r="G65" t="s">
        <v>13</v>
      </c>
    </row>
    <row r="66" spans="1:7" x14ac:dyDescent="0.25">
      <c r="A66" t="s">
        <v>82</v>
      </c>
      <c r="B66" t="s">
        <v>8</v>
      </c>
      <c r="C66" t="s">
        <v>9</v>
      </c>
      <c r="D66">
        <v>27</v>
      </c>
      <c r="E66" s="1">
        <v>44134</v>
      </c>
      <c r="F66">
        <v>54970</v>
      </c>
      <c r="G66" t="s">
        <v>13</v>
      </c>
    </row>
    <row r="67" spans="1:7" x14ac:dyDescent="0.25">
      <c r="A67" t="s">
        <v>83</v>
      </c>
      <c r="C67" t="s">
        <v>23</v>
      </c>
      <c r="D67">
        <v>26</v>
      </c>
      <c r="E67" s="1">
        <v>44271</v>
      </c>
      <c r="F67">
        <v>90700</v>
      </c>
      <c r="G67" t="s">
        <v>10</v>
      </c>
    </row>
    <row r="68" spans="1:7" x14ac:dyDescent="0.25">
      <c r="A68" t="s">
        <v>84</v>
      </c>
      <c r="B68" t="s">
        <v>15</v>
      </c>
      <c r="C68" t="s">
        <v>9</v>
      </c>
      <c r="D68">
        <v>38</v>
      </c>
      <c r="E68" s="1">
        <v>44329</v>
      </c>
      <c r="F68">
        <v>56870</v>
      </c>
      <c r="G68" t="s">
        <v>10</v>
      </c>
    </row>
    <row r="69" spans="1:7" x14ac:dyDescent="0.25">
      <c r="A69" t="s">
        <v>85</v>
      </c>
      <c r="B69" t="s">
        <v>15</v>
      </c>
      <c r="C69" t="s">
        <v>9</v>
      </c>
      <c r="D69">
        <v>25</v>
      </c>
      <c r="E69" s="1">
        <v>44205</v>
      </c>
      <c r="F69">
        <v>92700</v>
      </c>
      <c r="G69" t="s">
        <v>13</v>
      </c>
    </row>
    <row r="70" spans="1:7" x14ac:dyDescent="0.25">
      <c r="A70" t="s">
        <v>86</v>
      </c>
      <c r="B70" t="s">
        <v>15</v>
      </c>
      <c r="C70" t="s">
        <v>17</v>
      </c>
      <c r="D70">
        <v>21</v>
      </c>
      <c r="E70" s="1">
        <v>44317</v>
      </c>
      <c r="F70">
        <v>65920</v>
      </c>
      <c r="G70" t="s">
        <v>13</v>
      </c>
    </row>
    <row r="71" spans="1:7" x14ac:dyDescent="0.25">
      <c r="A71" t="s">
        <v>87</v>
      </c>
      <c r="B71" t="s">
        <v>8</v>
      </c>
      <c r="C71" t="s">
        <v>12</v>
      </c>
      <c r="D71">
        <v>26</v>
      </c>
      <c r="E71" s="1">
        <v>44225</v>
      </c>
      <c r="F71">
        <v>47360</v>
      </c>
      <c r="G71" t="s">
        <v>13</v>
      </c>
    </row>
    <row r="72" spans="1:7" x14ac:dyDescent="0.25">
      <c r="A72" t="s">
        <v>88</v>
      </c>
      <c r="B72" t="s">
        <v>8</v>
      </c>
      <c r="C72" t="s">
        <v>12</v>
      </c>
      <c r="D72">
        <v>30</v>
      </c>
      <c r="E72" s="1">
        <v>44666</v>
      </c>
      <c r="F72">
        <v>60570</v>
      </c>
      <c r="G72" t="s">
        <v>13</v>
      </c>
    </row>
    <row r="73" spans="1:7" x14ac:dyDescent="0.25">
      <c r="A73" t="s">
        <v>89</v>
      </c>
      <c r="B73" t="s">
        <v>15</v>
      </c>
      <c r="C73" t="s">
        <v>12</v>
      </c>
      <c r="D73">
        <v>28</v>
      </c>
      <c r="E73" s="1">
        <v>44649</v>
      </c>
      <c r="F73">
        <v>104120</v>
      </c>
      <c r="G73" t="s">
        <v>13</v>
      </c>
    </row>
    <row r="74" spans="1:7" x14ac:dyDescent="0.25">
      <c r="A74" t="s">
        <v>90</v>
      </c>
      <c r="B74" t="s">
        <v>8</v>
      </c>
      <c r="C74" t="s">
        <v>23</v>
      </c>
      <c r="D74">
        <v>37</v>
      </c>
      <c r="E74" s="1">
        <v>44338</v>
      </c>
      <c r="F74">
        <v>88050</v>
      </c>
      <c r="G74" t="s">
        <v>18</v>
      </c>
    </row>
    <row r="75" spans="1:7" x14ac:dyDescent="0.25">
      <c r="A75" t="s">
        <v>91</v>
      </c>
      <c r="B75" t="s">
        <v>8</v>
      </c>
      <c r="C75" t="s">
        <v>23</v>
      </c>
      <c r="D75">
        <v>24</v>
      </c>
      <c r="E75" s="1">
        <v>44686</v>
      </c>
      <c r="F75">
        <v>100420</v>
      </c>
      <c r="G75" t="s">
        <v>13</v>
      </c>
    </row>
    <row r="76" spans="1:7" x14ac:dyDescent="0.25">
      <c r="A76" t="s">
        <v>92</v>
      </c>
      <c r="B76" t="s">
        <v>15</v>
      </c>
      <c r="C76" t="s">
        <v>12</v>
      </c>
      <c r="D76">
        <v>30</v>
      </c>
      <c r="E76" s="1">
        <v>44850</v>
      </c>
      <c r="F76">
        <v>114180</v>
      </c>
      <c r="G76" t="s">
        <v>13</v>
      </c>
    </row>
    <row r="77" spans="1:7" x14ac:dyDescent="0.25">
      <c r="A77" t="s">
        <v>93</v>
      </c>
      <c r="B77" t="s">
        <v>15</v>
      </c>
      <c r="C77" t="s">
        <v>23</v>
      </c>
      <c r="D77">
        <v>21</v>
      </c>
      <c r="E77" s="1">
        <v>44678</v>
      </c>
      <c r="F77">
        <v>33920</v>
      </c>
      <c r="G77" t="s">
        <v>13</v>
      </c>
    </row>
    <row r="78" spans="1:7" x14ac:dyDescent="0.25">
      <c r="A78" t="s">
        <v>94</v>
      </c>
      <c r="B78" t="s">
        <v>8</v>
      </c>
      <c r="C78" t="s">
        <v>12</v>
      </c>
      <c r="D78">
        <v>23</v>
      </c>
      <c r="E78" s="1">
        <v>44440</v>
      </c>
      <c r="F78">
        <v>106460</v>
      </c>
      <c r="G78" t="s">
        <v>13</v>
      </c>
    </row>
    <row r="79" spans="1:7" x14ac:dyDescent="0.25">
      <c r="A79" t="s">
        <v>95</v>
      </c>
      <c r="B79" t="s">
        <v>8</v>
      </c>
      <c r="C79" t="s">
        <v>12</v>
      </c>
      <c r="D79">
        <v>35</v>
      </c>
      <c r="E79" s="1">
        <v>44727</v>
      </c>
      <c r="F79">
        <v>40400</v>
      </c>
      <c r="G79" t="s">
        <v>13</v>
      </c>
    </row>
    <row r="80" spans="1:7" x14ac:dyDescent="0.25">
      <c r="A80" t="s">
        <v>96</v>
      </c>
      <c r="B80" t="s">
        <v>8</v>
      </c>
      <c r="C80" t="s">
        <v>17</v>
      </c>
      <c r="D80">
        <v>27</v>
      </c>
      <c r="E80" s="1">
        <v>44236</v>
      </c>
      <c r="F80">
        <v>91650</v>
      </c>
      <c r="G80" t="s">
        <v>10</v>
      </c>
    </row>
    <row r="81" spans="1:7" x14ac:dyDescent="0.25">
      <c r="A81" t="s">
        <v>97</v>
      </c>
      <c r="B81" t="s">
        <v>8</v>
      </c>
      <c r="C81" t="s">
        <v>9</v>
      </c>
      <c r="D81">
        <v>43</v>
      </c>
      <c r="E81" s="1">
        <v>44620</v>
      </c>
      <c r="F81">
        <v>36040</v>
      </c>
      <c r="G81" t="s">
        <v>13</v>
      </c>
    </row>
    <row r="82" spans="1:7" x14ac:dyDescent="0.25">
      <c r="A82" t="s">
        <v>98</v>
      </c>
      <c r="B82" t="s">
        <v>15</v>
      </c>
      <c r="C82" t="s">
        <v>23</v>
      </c>
      <c r="D82">
        <v>40</v>
      </c>
      <c r="E82" s="1">
        <v>44381</v>
      </c>
      <c r="F82">
        <v>104410</v>
      </c>
      <c r="G82" t="s">
        <v>13</v>
      </c>
    </row>
    <row r="83" spans="1:7" x14ac:dyDescent="0.25">
      <c r="A83" t="s">
        <v>99</v>
      </c>
      <c r="B83" t="s">
        <v>8</v>
      </c>
      <c r="C83" t="s">
        <v>17</v>
      </c>
      <c r="D83">
        <v>30</v>
      </c>
      <c r="E83" s="1">
        <v>44606</v>
      </c>
      <c r="F83">
        <v>96800</v>
      </c>
      <c r="G83" t="s">
        <v>13</v>
      </c>
    </row>
    <row r="84" spans="1:7" x14ac:dyDescent="0.25">
      <c r="A84" t="s">
        <v>100</v>
      </c>
      <c r="B84" t="s">
        <v>15</v>
      </c>
      <c r="C84" t="s">
        <v>17</v>
      </c>
      <c r="D84">
        <v>34</v>
      </c>
      <c r="E84" s="1">
        <v>44459</v>
      </c>
      <c r="F84">
        <v>85000</v>
      </c>
      <c r="G84" t="s">
        <v>13</v>
      </c>
    </row>
    <row r="85" spans="1:7" x14ac:dyDescent="0.25">
      <c r="A85" t="s">
        <v>101</v>
      </c>
      <c r="B85" t="s">
        <v>8</v>
      </c>
      <c r="C85" t="s">
        <v>9</v>
      </c>
      <c r="D85">
        <v>28</v>
      </c>
      <c r="E85" s="1">
        <v>44820</v>
      </c>
      <c r="F85">
        <v>43510</v>
      </c>
      <c r="G85" t="s">
        <v>49</v>
      </c>
    </row>
    <row r="86" spans="1:7" x14ac:dyDescent="0.25">
      <c r="A86" t="s">
        <v>102</v>
      </c>
      <c r="B86" t="s">
        <v>8</v>
      </c>
      <c r="C86" t="s">
        <v>17</v>
      </c>
      <c r="D86">
        <v>33</v>
      </c>
      <c r="E86" s="1">
        <v>44243</v>
      </c>
      <c r="F86">
        <v>59430</v>
      </c>
      <c r="G86" t="s">
        <v>13</v>
      </c>
    </row>
    <row r="87" spans="1:7" x14ac:dyDescent="0.25">
      <c r="A87" t="s">
        <v>103</v>
      </c>
      <c r="B87" t="s">
        <v>15</v>
      </c>
      <c r="C87" t="s">
        <v>17</v>
      </c>
      <c r="D87">
        <v>33</v>
      </c>
      <c r="E87" s="1">
        <v>44067</v>
      </c>
      <c r="F87">
        <v>65360</v>
      </c>
      <c r="G87" t="s">
        <v>13</v>
      </c>
    </row>
    <row r="88" spans="1:7" x14ac:dyDescent="0.25">
      <c r="A88" t="s">
        <v>104</v>
      </c>
      <c r="B88" t="s">
        <v>15</v>
      </c>
      <c r="C88" t="s">
        <v>12</v>
      </c>
      <c r="D88">
        <v>32</v>
      </c>
      <c r="E88" s="1">
        <v>44611</v>
      </c>
      <c r="F88">
        <v>41570</v>
      </c>
      <c r="G88" t="s">
        <v>13</v>
      </c>
    </row>
    <row r="89" spans="1:7" x14ac:dyDescent="0.25">
      <c r="A89" t="s">
        <v>105</v>
      </c>
      <c r="B89" t="s">
        <v>15</v>
      </c>
      <c r="C89" t="s">
        <v>23</v>
      </c>
      <c r="D89">
        <v>33</v>
      </c>
      <c r="E89" s="1">
        <v>44312</v>
      </c>
      <c r="F89">
        <v>75280</v>
      </c>
      <c r="G89" t="s">
        <v>13</v>
      </c>
    </row>
    <row r="90" spans="1:7" x14ac:dyDescent="0.25">
      <c r="A90" t="s">
        <v>106</v>
      </c>
      <c r="B90" t="s">
        <v>8</v>
      </c>
      <c r="C90" t="s">
        <v>9</v>
      </c>
      <c r="D90">
        <v>33</v>
      </c>
      <c r="E90" s="1">
        <v>44385</v>
      </c>
      <c r="F90">
        <v>74550</v>
      </c>
      <c r="G90" t="s">
        <v>13</v>
      </c>
    </row>
    <row r="91" spans="1:7" x14ac:dyDescent="0.25">
      <c r="A91" t="s">
        <v>107</v>
      </c>
      <c r="B91" t="s">
        <v>8</v>
      </c>
      <c r="C91" t="s">
        <v>12</v>
      </c>
      <c r="D91">
        <v>30</v>
      </c>
      <c r="E91" s="1">
        <v>44701</v>
      </c>
      <c r="F91">
        <v>67950</v>
      </c>
      <c r="G91" t="s">
        <v>13</v>
      </c>
    </row>
    <row r="92" spans="1:7" x14ac:dyDescent="0.25">
      <c r="A92" t="s">
        <v>108</v>
      </c>
      <c r="B92" t="s">
        <v>8</v>
      </c>
      <c r="C92" t="s">
        <v>17</v>
      </c>
      <c r="D92">
        <v>42</v>
      </c>
      <c r="E92" s="1">
        <v>44731</v>
      </c>
      <c r="F92">
        <v>70270</v>
      </c>
      <c r="G92" t="s">
        <v>18</v>
      </c>
    </row>
    <row r="93" spans="1:7" x14ac:dyDescent="0.25">
      <c r="A93" t="s">
        <v>109</v>
      </c>
      <c r="B93" t="s">
        <v>8</v>
      </c>
      <c r="C93" t="s">
        <v>12</v>
      </c>
      <c r="D93">
        <v>26</v>
      </c>
      <c r="E93" s="1">
        <v>44411</v>
      </c>
      <c r="F93">
        <v>53540</v>
      </c>
      <c r="G93" t="s">
        <v>13</v>
      </c>
    </row>
    <row r="94" spans="1:7" x14ac:dyDescent="0.25">
      <c r="A94" t="s">
        <v>7</v>
      </c>
      <c r="B94" t="s">
        <v>8</v>
      </c>
      <c r="C94" t="s">
        <v>9</v>
      </c>
      <c r="D94">
        <v>22</v>
      </c>
      <c r="E94">
        <v>44446</v>
      </c>
      <c r="F94">
        <v>112780</v>
      </c>
      <c r="G94" t="s">
        <v>10</v>
      </c>
    </row>
    <row r="95" spans="1:7" x14ac:dyDescent="0.25">
      <c r="A95" t="s">
        <v>11</v>
      </c>
      <c r="B95" t="s">
        <v>8</v>
      </c>
      <c r="C95" t="s">
        <v>12</v>
      </c>
      <c r="D95">
        <v>46</v>
      </c>
      <c r="E95">
        <v>44758</v>
      </c>
      <c r="F95">
        <v>70610</v>
      </c>
      <c r="G95" t="s">
        <v>13</v>
      </c>
    </row>
    <row r="96" spans="1:7" x14ac:dyDescent="0.25">
      <c r="A96" t="s">
        <v>14</v>
      </c>
      <c r="B96" t="s">
        <v>15</v>
      </c>
      <c r="C96" t="s">
        <v>9</v>
      </c>
      <c r="D96">
        <v>28</v>
      </c>
      <c r="E96">
        <v>44357</v>
      </c>
      <c r="F96">
        <v>53240</v>
      </c>
      <c r="G96" t="s">
        <v>13</v>
      </c>
    </row>
    <row r="97" spans="1:7" x14ac:dyDescent="0.25">
      <c r="A97" t="s">
        <v>16</v>
      </c>
      <c r="C97" t="s">
        <v>17</v>
      </c>
      <c r="D97">
        <v>37</v>
      </c>
      <c r="E97">
        <v>44146</v>
      </c>
      <c r="F97">
        <v>115440</v>
      </c>
      <c r="G97" t="s">
        <v>18</v>
      </c>
    </row>
    <row r="98" spans="1:7" x14ac:dyDescent="0.25">
      <c r="A98" t="s">
        <v>19</v>
      </c>
      <c r="B98" t="s">
        <v>8</v>
      </c>
      <c r="C98" t="s">
        <v>9</v>
      </c>
      <c r="D98">
        <v>32</v>
      </c>
      <c r="E98">
        <v>44465</v>
      </c>
      <c r="F98">
        <v>53540</v>
      </c>
      <c r="G98" t="s">
        <v>13</v>
      </c>
    </row>
    <row r="99" spans="1:7" x14ac:dyDescent="0.25">
      <c r="A99" t="s">
        <v>20</v>
      </c>
      <c r="B99" t="s">
        <v>15</v>
      </c>
      <c r="C99" t="s">
        <v>12</v>
      </c>
      <c r="D99">
        <v>30</v>
      </c>
      <c r="E99">
        <v>44861</v>
      </c>
      <c r="F99">
        <v>112570</v>
      </c>
      <c r="G99" t="s">
        <v>13</v>
      </c>
    </row>
    <row r="100" spans="1:7" x14ac:dyDescent="0.25">
      <c r="A100" t="s">
        <v>21</v>
      </c>
      <c r="B100" t="s">
        <v>8</v>
      </c>
      <c r="C100" t="s">
        <v>12</v>
      </c>
      <c r="D100">
        <v>33</v>
      </c>
      <c r="E100">
        <v>44701</v>
      </c>
      <c r="F100">
        <v>48530</v>
      </c>
      <c r="G100" t="s">
        <v>10</v>
      </c>
    </row>
    <row r="101" spans="1:7" x14ac:dyDescent="0.25">
      <c r="A101" t="s">
        <v>22</v>
      </c>
      <c r="B101" t="s">
        <v>15</v>
      </c>
      <c r="C101" t="s">
        <v>23</v>
      </c>
      <c r="D101">
        <v>24</v>
      </c>
      <c r="E101">
        <v>44148</v>
      </c>
      <c r="F101">
        <v>62780</v>
      </c>
      <c r="G101" t="s">
        <v>13</v>
      </c>
    </row>
    <row r="102" spans="1:7" x14ac:dyDescent="0.25">
      <c r="A102" t="s">
        <v>110</v>
      </c>
      <c r="D102">
        <f>SUBTOTAL(101,UK_staff[Age])</f>
        <v>30.52</v>
      </c>
      <c r="F102">
        <f>SUBTOTAL(101,UK_staff[Salary])</f>
        <v>77472.100000000006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B89F8-C75B-4C31-AD5C-88B03E39556D}">
  <sheetPr>
    <tabColor theme="9" tint="0.39997558519241921"/>
  </sheetPr>
  <dimension ref="A1:G114"/>
  <sheetViews>
    <sheetView workbookViewId="0">
      <selection activeCell="A28" sqref="A28"/>
    </sheetView>
  </sheetViews>
  <sheetFormatPr defaultRowHeight="15" x14ac:dyDescent="0.25"/>
  <cols>
    <col min="1" max="1" width="30" bestFit="1" customWidth="1"/>
    <col min="2" max="2" width="10" bestFit="1" customWidth="1"/>
    <col min="3" max="3" width="7" bestFit="1" customWidth="1"/>
    <col min="4" max="4" width="14.28515625" bestFit="1" customWidth="1"/>
    <col min="5" max="5" width="13.7109375" bestFit="1" customWidth="1"/>
    <col min="6" max="6" width="14" bestFit="1" customWidth="1"/>
    <col min="7" max="7" width="12" bestFit="1" customWidth="1"/>
  </cols>
  <sheetData>
    <row r="1" spans="1:7" x14ac:dyDescent="0.25">
      <c r="A1" t="s">
        <v>0</v>
      </c>
      <c r="B1" t="s">
        <v>1</v>
      </c>
      <c r="C1" t="s">
        <v>3</v>
      </c>
      <c r="D1" t="s">
        <v>6</v>
      </c>
      <c r="E1" t="s">
        <v>4</v>
      </c>
      <c r="F1" t="s">
        <v>2</v>
      </c>
      <c r="G1" t="s">
        <v>5</v>
      </c>
    </row>
    <row r="2" spans="1:7" x14ac:dyDescent="0.25">
      <c r="A2" t="s">
        <v>111</v>
      </c>
      <c r="B2" t="s">
        <v>8</v>
      </c>
      <c r="C2">
        <v>20</v>
      </c>
      <c r="D2" t="s">
        <v>13</v>
      </c>
      <c r="E2" s="1">
        <v>44122</v>
      </c>
      <c r="F2" t="s">
        <v>23</v>
      </c>
      <c r="G2">
        <v>112650</v>
      </c>
    </row>
    <row r="3" spans="1:7" x14ac:dyDescent="0.25">
      <c r="A3" t="s">
        <v>112</v>
      </c>
      <c r="B3" t="s">
        <v>15</v>
      </c>
      <c r="C3">
        <v>32</v>
      </c>
      <c r="D3" t="s">
        <v>10</v>
      </c>
      <c r="E3" s="1">
        <v>44293</v>
      </c>
      <c r="F3" t="s">
        <v>23</v>
      </c>
      <c r="G3">
        <v>43840</v>
      </c>
    </row>
    <row r="4" spans="1:7" x14ac:dyDescent="0.25">
      <c r="A4" t="s">
        <v>113</v>
      </c>
      <c r="B4" t="s">
        <v>8</v>
      </c>
      <c r="C4">
        <v>31</v>
      </c>
      <c r="D4" t="s">
        <v>13</v>
      </c>
      <c r="E4" s="1">
        <v>44663</v>
      </c>
      <c r="F4" t="s">
        <v>12</v>
      </c>
      <c r="G4">
        <v>103550</v>
      </c>
    </row>
    <row r="5" spans="1:7" x14ac:dyDescent="0.25">
      <c r="A5" t="s">
        <v>114</v>
      </c>
      <c r="B5" t="s">
        <v>15</v>
      </c>
      <c r="C5">
        <v>32</v>
      </c>
      <c r="D5" t="s">
        <v>13</v>
      </c>
      <c r="E5" s="1">
        <v>44339</v>
      </c>
      <c r="F5" t="s">
        <v>26</v>
      </c>
      <c r="G5">
        <v>45510</v>
      </c>
    </row>
    <row r="6" spans="1:7" x14ac:dyDescent="0.25">
      <c r="A6" t="s">
        <v>115</v>
      </c>
      <c r="C6">
        <v>37</v>
      </c>
      <c r="D6" t="s">
        <v>18</v>
      </c>
      <c r="E6" s="1">
        <v>44085</v>
      </c>
      <c r="F6" t="s">
        <v>17</v>
      </c>
      <c r="G6">
        <v>115440</v>
      </c>
    </row>
    <row r="7" spans="1:7" x14ac:dyDescent="0.25">
      <c r="A7" t="s">
        <v>116</v>
      </c>
      <c r="B7" t="s">
        <v>15</v>
      </c>
      <c r="C7">
        <v>38</v>
      </c>
      <c r="D7" t="s">
        <v>10</v>
      </c>
      <c r="E7" s="1">
        <v>44268</v>
      </c>
      <c r="F7" t="s">
        <v>9</v>
      </c>
      <c r="G7">
        <v>56870</v>
      </c>
    </row>
    <row r="8" spans="1:7" x14ac:dyDescent="0.25">
      <c r="A8" t="s">
        <v>117</v>
      </c>
      <c r="B8" t="s">
        <v>15</v>
      </c>
      <c r="C8">
        <v>25</v>
      </c>
      <c r="D8" t="s">
        <v>13</v>
      </c>
      <c r="E8" s="1">
        <v>44144</v>
      </c>
      <c r="F8" t="s">
        <v>9</v>
      </c>
      <c r="G8">
        <v>92700</v>
      </c>
    </row>
    <row r="9" spans="1:7" x14ac:dyDescent="0.25">
      <c r="A9" t="s">
        <v>118</v>
      </c>
      <c r="C9">
        <v>32</v>
      </c>
      <c r="D9" t="s">
        <v>13</v>
      </c>
      <c r="E9" s="1">
        <v>44713</v>
      </c>
      <c r="F9" t="s">
        <v>23</v>
      </c>
      <c r="G9">
        <v>91310</v>
      </c>
    </row>
    <row r="10" spans="1:7" x14ac:dyDescent="0.25">
      <c r="A10" t="s">
        <v>119</v>
      </c>
      <c r="B10" t="s">
        <v>8</v>
      </c>
      <c r="C10">
        <v>33</v>
      </c>
      <c r="D10" t="s">
        <v>13</v>
      </c>
      <c r="E10" s="1">
        <v>44324</v>
      </c>
      <c r="F10" t="s">
        <v>9</v>
      </c>
      <c r="G10">
        <v>74550</v>
      </c>
    </row>
    <row r="11" spans="1:7" x14ac:dyDescent="0.25">
      <c r="A11" t="s">
        <v>120</v>
      </c>
      <c r="B11" t="s">
        <v>8</v>
      </c>
      <c r="C11">
        <v>25</v>
      </c>
      <c r="D11" t="s">
        <v>10</v>
      </c>
      <c r="E11" s="1">
        <v>44665</v>
      </c>
      <c r="F11" t="s">
        <v>12</v>
      </c>
      <c r="G11">
        <v>109190</v>
      </c>
    </row>
    <row r="12" spans="1:7" x14ac:dyDescent="0.25">
      <c r="A12" t="s">
        <v>121</v>
      </c>
      <c r="B12" t="s">
        <v>15</v>
      </c>
      <c r="C12">
        <v>40</v>
      </c>
      <c r="D12" t="s">
        <v>13</v>
      </c>
      <c r="E12" s="1">
        <v>44320</v>
      </c>
      <c r="F12" t="s">
        <v>23</v>
      </c>
      <c r="G12">
        <v>104410</v>
      </c>
    </row>
    <row r="13" spans="1:7" x14ac:dyDescent="0.25">
      <c r="A13" t="s">
        <v>122</v>
      </c>
      <c r="B13" t="s">
        <v>8</v>
      </c>
      <c r="C13">
        <v>30</v>
      </c>
      <c r="D13" t="s">
        <v>13</v>
      </c>
      <c r="E13" s="1">
        <v>44544</v>
      </c>
      <c r="F13" t="s">
        <v>17</v>
      </c>
      <c r="G13">
        <v>96800</v>
      </c>
    </row>
    <row r="14" spans="1:7" x14ac:dyDescent="0.25">
      <c r="A14" t="s">
        <v>123</v>
      </c>
      <c r="B14" t="s">
        <v>8</v>
      </c>
      <c r="C14">
        <v>28</v>
      </c>
      <c r="D14" t="s">
        <v>10</v>
      </c>
      <c r="E14" s="1">
        <v>43980</v>
      </c>
      <c r="F14" t="s">
        <v>17</v>
      </c>
      <c r="G14">
        <v>48170</v>
      </c>
    </row>
    <row r="15" spans="1:7" x14ac:dyDescent="0.25">
      <c r="A15" t="s">
        <v>124</v>
      </c>
      <c r="B15" t="s">
        <v>8</v>
      </c>
      <c r="C15">
        <v>21</v>
      </c>
      <c r="D15" t="s">
        <v>13</v>
      </c>
      <c r="E15" s="1">
        <v>44042</v>
      </c>
      <c r="F15" t="s">
        <v>12</v>
      </c>
      <c r="G15">
        <v>37920</v>
      </c>
    </row>
    <row r="16" spans="1:7" x14ac:dyDescent="0.25">
      <c r="A16" t="s">
        <v>125</v>
      </c>
      <c r="B16" t="s">
        <v>8</v>
      </c>
      <c r="C16">
        <v>34</v>
      </c>
      <c r="D16" t="s">
        <v>13</v>
      </c>
      <c r="E16" s="1">
        <v>44642</v>
      </c>
      <c r="F16" t="s">
        <v>12</v>
      </c>
      <c r="G16">
        <v>112650</v>
      </c>
    </row>
    <row r="17" spans="1:7" x14ac:dyDescent="0.25">
      <c r="A17" t="s">
        <v>126</v>
      </c>
      <c r="B17" t="s">
        <v>15</v>
      </c>
      <c r="C17">
        <v>34</v>
      </c>
      <c r="D17" t="s">
        <v>18</v>
      </c>
      <c r="E17" s="1">
        <v>44660</v>
      </c>
      <c r="F17" t="s">
        <v>9</v>
      </c>
      <c r="G17">
        <v>49630</v>
      </c>
    </row>
    <row r="18" spans="1:7" x14ac:dyDescent="0.25">
      <c r="A18" t="s">
        <v>127</v>
      </c>
      <c r="B18" t="s">
        <v>8</v>
      </c>
      <c r="C18">
        <v>36</v>
      </c>
      <c r="D18" t="s">
        <v>13</v>
      </c>
      <c r="E18" s="1">
        <v>43958</v>
      </c>
      <c r="F18" t="s">
        <v>23</v>
      </c>
      <c r="G18">
        <v>118840</v>
      </c>
    </row>
    <row r="19" spans="1:7" x14ac:dyDescent="0.25">
      <c r="A19" t="s">
        <v>128</v>
      </c>
      <c r="B19" t="s">
        <v>8</v>
      </c>
      <c r="C19">
        <v>30</v>
      </c>
      <c r="D19" t="s">
        <v>13</v>
      </c>
      <c r="E19" s="1">
        <v>44789</v>
      </c>
      <c r="F19" t="s">
        <v>23</v>
      </c>
      <c r="G19">
        <v>69710</v>
      </c>
    </row>
    <row r="20" spans="1:7" x14ac:dyDescent="0.25">
      <c r="A20" t="s">
        <v>129</v>
      </c>
      <c r="B20" t="s">
        <v>8</v>
      </c>
      <c r="C20">
        <v>20</v>
      </c>
      <c r="D20" t="s">
        <v>13</v>
      </c>
      <c r="E20" s="1">
        <v>44683</v>
      </c>
      <c r="F20" t="s">
        <v>12</v>
      </c>
      <c r="G20">
        <v>79570</v>
      </c>
    </row>
    <row r="21" spans="1:7" x14ac:dyDescent="0.25">
      <c r="A21" t="s">
        <v>130</v>
      </c>
      <c r="B21" t="s">
        <v>15</v>
      </c>
      <c r="C21">
        <v>22</v>
      </c>
      <c r="D21" t="s">
        <v>10</v>
      </c>
      <c r="E21" s="1">
        <v>44388</v>
      </c>
      <c r="F21" t="s">
        <v>12</v>
      </c>
      <c r="G21">
        <v>76900</v>
      </c>
    </row>
    <row r="22" spans="1:7" x14ac:dyDescent="0.25">
      <c r="A22" t="s">
        <v>131</v>
      </c>
      <c r="B22" t="s">
        <v>8</v>
      </c>
      <c r="C22">
        <v>27</v>
      </c>
      <c r="D22" t="s">
        <v>13</v>
      </c>
      <c r="E22" s="1">
        <v>44073</v>
      </c>
      <c r="F22" t="s">
        <v>9</v>
      </c>
      <c r="G22">
        <v>54970</v>
      </c>
    </row>
    <row r="23" spans="1:7" x14ac:dyDescent="0.25">
      <c r="A23" t="s">
        <v>132</v>
      </c>
      <c r="B23" t="s">
        <v>8</v>
      </c>
      <c r="C23">
        <v>37</v>
      </c>
      <c r="D23" t="s">
        <v>18</v>
      </c>
      <c r="E23" s="1">
        <v>44277</v>
      </c>
      <c r="F23" t="s">
        <v>23</v>
      </c>
      <c r="G23">
        <v>88050</v>
      </c>
    </row>
    <row r="24" spans="1:7" x14ac:dyDescent="0.25">
      <c r="A24" t="s">
        <v>133</v>
      </c>
      <c r="B24" t="s">
        <v>8</v>
      </c>
      <c r="C24">
        <v>43</v>
      </c>
      <c r="D24" t="s">
        <v>13</v>
      </c>
      <c r="E24" s="1">
        <v>44558</v>
      </c>
      <c r="F24" t="s">
        <v>9</v>
      </c>
      <c r="G24">
        <v>36040</v>
      </c>
    </row>
    <row r="25" spans="1:7" x14ac:dyDescent="0.25">
      <c r="A25" t="s">
        <v>134</v>
      </c>
      <c r="B25" t="s">
        <v>15</v>
      </c>
      <c r="C25">
        <v>42</v>
      </c>
      <c r="D25" t="s">
        <v>43</v>
      </c>
      <c r="E25" s="1">
        <v>44718</v>
      </c>
      <c r="F25" t="s">
        <v>12</v>
      </c>
      <c r="G25">
        <v>75000</v>
      </c>
    </row>
    <row r="26" spans="1:7" x14ac:dyDescent="0.25">
      <c r="A26" t="s">
        <v>135</v>
      </c>
      <c r="B26" t="s">
        <v>8</v>
      </c>
      <c r="C26">
        <v>35</v>
      </c>
      <c r="D26" t="s">
        <v>13</v>
      </c>
      <c r="E26" s="1">
        <v>44666</v>
      </c>
      <c r="F26" t="s">
        <v>12</v>
      </c>
      <c r="G26">
        <v>40400</v>
      </c>
    </row>
    <row r="27" spans="1:7" x14ac:dyDescent="0.25">
      <c r="A27" t="s">
        <v>136</v>
      </c>
      <c r="B27" t="s">
        <v>8</v>
      </c>
      <c r="C27">
        <v>24</v>
      </c>
      <c r="D27" t="s">
        <v>13</v>
      </c>
      <c r="E27" s="1">
        <v>44625</v>
      </c>
      <c r="F27" t="s">
        <v>23</v>
      </c>
      <c r="G27">
        <v>100420</v>
      </c>
    </row>
    <row r="28" spans="1:7" x14ac:dyDescent="0.25">
      <c r="A28" t="s">
        <v>137</v>
      </c>
      <c r="B28" t="s">
        <v>15</v>
      </c>
      <c r="C28">
        <v>31</v>
      </c>
      <c r="D28" t="s">
        <v>13</v>
      </c>
      <c r="E28" s="1">
        <v>44604</v>
      </c>
      <c r="F28" t="s">
        <v>23</v>
      </c>
      <c r="G28">
        <v>58100</v>
      </c>
    </row>
    <row r="29" spans="1:7" x14ac:dyDescent="0.25">
      <c r="A29" t="s">
        <v>138</v>
      </c>
      <c r="B29" t="s">
        <v>15</v>
      </c>
      <c r="C29">
        <v>44</v>
      </c>
      <c r="D29" t="s">
        <v>13</v>
      </c>
      <c r="E29" s="1">
        <v>44985</v>
      </c>
      <c r="F29" t="s">
        <v>23</v>
      </c>
      <c r="G29">
        <v>114870</v>
      </c>
    </row>
    <row r="30" spans="1:7" x14ac:dyDescent="0.25">
      <c r="A30" t="s">
        <v>139</v>
      </c>
      <c r="B30" t="s">
        <v>15</v>
      </c>
      <c r="C30">
        <v>32</v>
      </c>
      <c r="D30" t="s">
        <v>13</v>
      </c>
      <c r="E30" s="1">
        <v>44549</v>
      </c>
      <c r="F30" t="s">
        <v>12</v>
      </c>
      <c r="G30">
        <v>41570</v>
      </c>
    </row>
    <row r="31" spans="1:7" x14ac:dyDescent="0.25">
      <c r="A31" t="s">
        <v>140</v>
      </c>
      <c r="B31" t="s">
        <v>15</v>
      </c>
      <c r="C31">
        <v>30</v>
      </c>
      <c r="D31" t="s">
        <v>13</v>
      </c>
      <c r="E31" s="1">
        <v>44800</v>
      </c>
      <c r="F31" t="s">
        <v>12</v>
      </c>
      <c r="G31">
        <v>112570</v>
      </c>
    </row>
    <row r="32" spans="1:7" x14ac:dyDescent="0.25">
      <c r="A32" t="s">
        <v>141</v>
      </c>
      <c r="B32" t="s">
        <v>8</v>
      </c>
      <c r="C32">
        <v>26</v>
      </c>
      <c r="D32" t="s">
        <v>13</v>
      </c>
      <c r="E32" s="1">
        <v>44164</v>
      </c>
      <c r="F32" t="s">
        <v>12</v>
      </c>
      <c r="G32">
        <v>47360</v>
      </c>
    </row>
    <row r="33" spans="1:7" x14ac:dyDescent="0.25">
      <c r="A33" t="s">
        <v>142</v>
      </c>
      <c r="B33" t="s">
        <v>15</v>
      </c>
      <c r="C33">
        <v>21</v>
      </c>
      <c r="D33" t="s">
        <v>13</v>
      </c>
      <c r="E33" s="1">
        <v>44256</v>
      </c>
      <c r="F33" t="s">
        <v>17</v>
      </c>
      <c r="G33">
        <v>65920</v>
      </c>
    </row>
    <row r="34" spans="1:7" x14ac:dyDescent="0.25">
      <c r="A34" t="s">
        <v>143</v>
      </c>
      <c r="B34" t="s">
        <v>15</v>
      </c>
      <c r="C34">
        <v>28</v>
      </c>
      <c r="D34" t="s">
        <v>13</v>
      </c>
      <c r="E34" s="1">
        <v>44571</v>
      </c>
      <c r="F34" t="s">
        <v>12</v>
      </c>
      <c r="G34">
        <v>99970</v>
      </c>
    </row>
    <row r="35" spans="1:7" x14ac:dyDescent="0.25">
      <c r="A35" t="s">
        <v>144</v>
      </c>
      <c r="B35" t="s">
        <v>15</v>
      </c>
      <c r="C35">
        <v>25</v>
      </c>
      <c r="D35" t="s">
        <v>10</v>
      </c>
      <c r="E35" s="1">
        <v>44633</v>
      </c>
      <c r="F35" t="s">
        <v>23</v>
      </c>
      <c r="G35">
        <v>80700</v>
      </c>
    </row>
    <row r="36" spans="1:7" x14ac:dyDescent="0.25">
      <c r="A36" t="s">
        <v>145</v>
      </c>
      <c r="B36" t="s">
        <v>8</v>
      </c>
      <c r="C36">
        <v>24</v>
      </c>
      <c r="D36" t="s">
        <v>18</v>
      </c>
      <c r="E36" s="1">
        <v>44375</v>
      </c>
      <c r="F36" t="s">
        <v>17</v>
      </c>
      <c r="G36">
        <v>52610</v>
      </c>
    </row>
    <row r="37" spans="1:7" x14ac:dyDescent="0.25">
      <c r="A37" t="s">
        <v>146</v>
      </c>
      <c r="B37" t="s">
        <v>8</v>
      </c>
      <c r="C37">
        <v>29</v>
      </c>
      <c r="D37" t="s">
        <v>18</v>
      </c>
      <c r="E37" s="1">
        <v>44119</v>
      </c>
      <c r="F37" t="s">
        <v>23</v>
      </c>
      <c r="G37">
        <v>112110</v>
      </c>
    </row>
    <row r="38" spans="1:7" x14ac:dyDescent="0.25">
      <c r="A38" t="s">
        <v>147</v>
      </c>
      <c r="B38" t="s">
        <v>15</v>
      </c>
      <c r="C38">
        <v>27</v>
      </c>
      <c r="D38" t="s">
        <v>13</v>
      </c>
      <c r="E38" s="1">
        <v>44061</v>
      </c>
      <c r="F38" t="s">
        <v>26</v>
      </c>
      <c r="G38">
        <v>119110</v>
      </c>
    </row>
    <row r="39" spans="1:7" x14ac:dyDescent="0.25">
      <c r="A39" t="s">
        <v>148</v>
      </c>
      <c r="B39" t="s">
        <v>8</v>
      </c>
      <c r="C39">
        <v>22</v>
      </c>
      <c r="D39" t="s">
        <v>10</v>
      </c>
      <c r="E39" s="1">
        <v>44384</v>
      </c>
      <c r="F39" t="s">
        <v>9</v>
      </c>
      <c r="G39">
        <v>112780</v>
      </c>
    </row>
    <row r="40" spans="1:7" x14ac:dyDescent="0.25">
      <c r="A40" t="s">
        <v>149</v>
      </c>
      <c r="B40" t="s">
        <v>15</v>
      </c>
      <c r="C40">
        <v>36</v>
      </c>
      <c r="D40" t="s">
        <v>13</v>
      </c>
      <c r="E40" s="1">
        <v>44023</v>
      </c>
      <c r="F40" t="s">
        <v>12</v>
      </c>
      <c r="G40">
        <v>114890</v>
      </c>
    </row>
    <row r="41" spans="1:7" x14ac:dyDescent="0.25">
      <c r="A41" t="s">
        <v>150</v>
      </c>
      <c r="B41" t="s">
        <v>8</v>
      </c>
      <c r="C41">
        <v>27</v>
      </c>
      <c r="D41" t="s">
        <v>13</v>
      </c>
      <c r="E41" s="1">
        <v>44506</v>
      </c>
      <c r="F41" t="s">
        <v>17</v>
      </c>
      <c r="G41">
        <v>48980</v>
      </c>
    </row>
    <row r="42" spans="1:7" x14ac:dyDescent="0.25">
      <c r="A42" t="s">
        <v>151</v>
      </c>
      <c r="B42" t="s">
        <v>8</v>
      </c>
      <c r="C42">
        <v>21</v>
      </c>
      <c r="D42" t="s">
        <v>13</v>
      </c>
      <c r="E42" s="1">
        <v>44180</v>
      </c>
      <c r="F42" t="s">
        <v>26</v>
      </c>
      <c r="G42">
        <v>75880</v>
      </c>
    </row>
    <row r="43" spans="1:7" x14ac:dyDescent="0.25">
      <c r="A43" t="s">
        <v>152</v>
      </c>
      <c r="B43" t="s">
        <v>15</v>
      </c>
      <c r="C43">
        <v>28</v>
      </c>
      <c r="D43" t="s">
        <v>13</v>
      </c>
      <c r="E43" s="1">
        <v>44296</v>
      </c>
      <c r="F43" t="s">
        <v>9</v>
      </c>
      <c r="G43">
        <v>53240</v>
      </c>
    </row>
    <row r="44" spans="1:7" x14ac:dyDescent="0.25">
      <c r="A44" t="s">
        <v>153</v>
      </c>
      <c r="B44" t="s">
        <v>15</v>
      </c>
      <c r="C44">
        <v>34</v>
      </c>
      <c r="D44" t="s">
        <v>13</v>
      </c>
      <c r="E44" s="1">
        <v>44397</v>
      </c>
      <c r="F44" t="s">
        <v>17</v>
      </c>
      <c r="G44">
        <v>85000</v>
      </c>
    </row>
    <row r="45" spans="1:7" x14ac:dyDescent="0.25">
      <c r="A45" t="s">
        <v>154</v>
      </c>
      <c r="B45" t="s">
        <v>15</v>
      </c>
      <c r="C45">
        <v>21</v>
      </c>
      <c r="D45" t="s">
        <v>13</v>
      </c>
      <c r="E45" s="1">
        <v>44619</v>
      </c>
      <c r="F45" t="s">
        <v>23</v>
      </c>
      <c r="G45">
        <v>33920</v>
      </c>
    </row>
    <row r="46" spans="1:7" x14ac:dyDescent="0.25">
      <c r="A46" t="s">
        <v>155</v>
      </c>
      <c r="B46" t="s">
        <v>15</v>
      </c>
      <c r="C46">
        <v>33</v>
      </c>
      <c r="D46" t="s">
        <v>13</v>
      </c>
      <c r="E46" s="1">
        <v>44253</v>
      </c>
      <c r="F46" t="s">
        <v>23</v>
      </c>
      <c r="G46">
        <v>75280</v>
      </c>
    </row>
    <row r="47" spans="1:7" x14ac:dyDescent="0.25">
      <c r="A47" t="s">
        <v>156</v>
      </c>
      <c r="B47" t="s">
        <v>15</v>
      </c>
      <c r="C47">
        <v>34</v>
      </c>
      <c r="D47" t="s">
        <v>13</v>
      </c>
      <c r="E47" s="1">
        <v>44594</v>
      </c>
      <c r="F47" t="s">
        <v>17</v>
      </c>
      <c r="G47">
        <v>58940</v>
      </c>
    </row>
    <row r="48" spans="1:7" x14ac:dyDescent="0.25">
      <c r="A48" t="s">
        <v>157</v>
      </c>
      <c r="B48" t="s">
        <v>15</v>
      </c>
      <c r="C48">
        <v>28</v>
      </c>
      <c r="D48" t="s">
        <v>13</v>
      </c>
      <c r="E48" s="1">
        <v>44425</v>
      </c>
      <c r="F48" t="s">
        <v>12</v>
      </c>
      <c r="G48">
        <v>104770</v>
      </c>
    </row>
    <row r="49" spans="1:7" x14ac:dyDescent="0.25">
      <c r="A49" t="s">
        <v>158</v>
      </c>
      <c r="B49" t="s">
        <v>8</v>
      </c>
      <c r="C49">
        <v>21</v>
      </c>
      <c r="D49" t="s">
        <v>13</v>
      </c>
      <c r="E49" s="1">
        <v>44701</v>
      </c>
      <c r="F49" t="s">
        <v>12</v>
      </c>
      <c r="G49">
        <v>57090</v>
      </c>
    </row>
    <row r="50" spans="1:7" x14ac:dyDescent="0.25">
      <c r="A50" t="s">
        <v>159</v>
      </c>
      <c r="B50" t="s">
        <v>8</v>
      </c>
      <c r="C50">
        <v>27</v>
      </c>
      <c r="D50" t="s">
        <v>10</v>
      </c>
      <c r="E50" s="1">
        <v>44174</v>
      </c>
      <c r="F50" t="s">
        <v>17</v>
      </c>
      <c r="G50">
        <v>91650</v>
      </c>
    </row>
    <row r="51" spans="1:7" x14ac:dyDescent="0.25">
      <c r="A51" t="s">
        <v>160</v>
      </c>
      <c r="B51" t="s">
        <v>8</v>
      </c>
      <c r="C51">
        <v>42</v>
      </c>
      <c r="D51" t="s">
        <v>18</v>
      </c>
      <c r="E51" s="1">
        <v>44670</v>
      </c>
      <c r="F51" t="s">
        <v>17</v>
      </c>
      <c r="G51">
        <v>70270</v>
      </c>
    </row>
    <row r="52" spans="1:7" x14ac:dyDescent="0.25">
      <c r="A52" t="s">
        <v>161</v>
      </c>
      <c r="B52" t="s">
        <v>15</v>
      </c>
      <c r="C52">
        <v>28</v>
      </c>
      <c r="D52" t="s">
        <v>13</v>
      </c>
      <c r="E52" s="1">
        <v>44124</v>
      </c>
      <c r="F52" t="s">
        <v>17</v>
      </c>
      <c r="G52">
        <v>75970</v>
      </c>
    </row>
    <row r="53" spans="1:7" x14ac:dyDescent="0.25">
      <c r="A53" t="s">
        <v>162</v>
      </c>
      <c r="C53">
        <v>27</v>
      </c>
      <c r="D53" t="s">
        <v>10</v>
      </c>
      <c r="E53" s="1">
        <v>44212</v>
      </c>
      <c r="F53" t="s">
        <v>23</v>
      </c>
      <c r="G53">
        <v>90700</v>
      </c>
    </row>
    <row r="54" spans="1:7" x14ac:dyDescent="0.25">
      <c r="A54" t="s">
        <v>163</v>
      </c>
      <c r="B54" t="s">
        <v>8</v>
      </c>
      <c r="C54">
        <v>30</v>
      </c>
      <c r="D54" t="s">
        <v>13</v>
      </c>
      <c r="E54" s="1">
        <v>44607</v>
      </c>
      <c r="F54" t="s">
        <v>12</v>
      </c>
      <c r="G54">
        <v>60570</v>
      </c>
    </row>
    <row r="55" spans="1:7" x14ac:dyDescent="0.25">
      <c r="A55" t="s">
        <v>164</v>
      </c>
      <c r="B55" t="s">
        <v>8</v>
      </c>
      <c r="C55">
        <v>33</v>
      </c>
      <c r="D55" t="s">
        <v>13</v>
      </c>
      <c r="E55" s="1">
        <v>44103</v>
      </c>
      <c r="F55" t="s">
        <v>12</v>
      </c>
      <c r="G55">
        <v>115920</v>
      </c>
    </row>
    <row r="56" spans="1:7" x14ac:dyDescent="0.25">
      <c r="A56" t="s">
        <v>165</v>
      </c>
      <c r="B56" t="s">
        <v>15</v>
      </c>
      <c r="C56">
        <v>33</v>
      </c>
      <c r="D56" t="s">
        <v>13</v>
      </c>
      <c r="E56" s="1">
        <v>44006</v>
      </c>
      <c r="F56" t="s">
        <v>17</v>
      </c>
      <c r="G56">
        <v>65360</v>
      </c>
    </row>
    <row r="57" spans="1:7" x14ac:dyDescent="0.25">
      <c r="A57" t="s">
        <v>166</v>
      </c>
      <c r="C57">
        <v>30</v>
      </c>
      <c r="D57" t="s">
        <v>13</v>
      </c>
      <c r="E57" s="1">
        <v>44535</v>
      </c>
      <c r="F57" t="s">
        <v>17</v>
      </c>
      <c r="G57">
        <v>64000</v>
      </c>
    </row>
    <row r="58" spans="1:7" x14ac:dyDescent="0.25">
      <c r="A58" t="s">
        <v>167</v>
      </c>
      <c r="B58" t="s">
        <v>15</v>
      </c>
      <c r="C58">
        <v>34</v>
      </c>
      <c r="D58" t="s">
        <v>13</v>
      </c>
      <c r="E58" s="1">
        <v>44383</v>
      </c>
      <c r="F58" t="s">
        <v>17</v>
      </c>
      <c r="G58">
        <v>92450</v>
      </c>
    </row>
    <row r="59" spans="1:7" x14ac:dyDescent="0.25">
      <c r="A59" t="s">
        <v>168</v>
      </c>
      <c r="B59" t="s">
        <v>8</v>
      </c>
      <c r="C59">
        <v>31</v>
      </c>
      <c r="D59" t="s">
        <v>13</v>
      </c>
      <c r="E59" s="1">
        <v>44450</v>
      </c>
      <c r="F59" t="s">
        <v>23</v>
      </c>
      <c r="G59">
        <v>48950</v>
      </c>
    </row>
    <row r="60" spans="1:7" x14ac:dyDescent="0.25">
      <c r="A60" t="s">
        <v>169</v>
      </c>
      <c r="B60" t="s">
        <v>15</v>
      </c>
      <c r="C60">
        <v>27</v>
      </c>
      <c r="D60" t="s">
        <v>13</v>
      </c>
      <c r="E60" s="1">
        <v>44625</v>
      </c>
      <c r="F60" t="s">
        <v>23</v>
      </c>
      <c r="G60">
        <v>83750</v>
      </c>
    </row>
    <row r="61" spans="1:7" x14ac:dyDescent="0.25">
      <c r="A61" t="s">
        <v>170</v>
      </c>
      <c r="B61" t="s">
        <v>15</v>
      </c>
      <c r="C61">
        <v>40</v>
      </c>
      <c r="D61" t="s">
        <v>13</v>
      </c>
      <c r="E61" s="1">
        <v>44276</v>
      </c>
      <c r="F61" t="s">
        <v>23</v>
      </c>
      <c r="G61">
        <v>87620</v>
      </c>
    </row>
    <row r="62" spans="1:7" x14ac:dyDescent="0.25">
      <c r="A62" t="s">
        <v>171</v>
      </c>
      <c r="B62" t="s">
        <v>15</v>
      </c>
      <c r="C62">
        <v>20</v>
      </c>
      <c r="D62" t="s">
        <v>18</v>
      </c>
      <c r="E62" s="1">
        <v>44476</v>
      </c>
      <c r="F62" t="s">
        <v>9</v>
      </c>
      <c r="G62">
        <v>68900</v>
      </c>
    </row>
    <row r="63" spans="1:7" x14ac:dyDescent="0.25">
      <c r="A63" t="s">
        <v>172</v>
      </c>
      <c r="B63" t="s">
        <v>8</v>
      </c>
      <c r="C63">
        <v>32</v>
      </c>
      <c r="D63" t="s">
        <v>13</v>
      </c>
      <c r="E63" s="1">
        <v>44403</v>
      </c>
      <c r="F63" t="s">
        <v>9</v>
      </c>
      <c r="G63">
        <v>53540</v>
      </c>
    </row>
    <row r="64" spans="1:7" x14ac:dyDescent="0.25">
      <c r="A64" t="s">
        <v>173</v>
      </c>
      <c r="B64" t="s">
        <v>8</v>
      </c>
      <c r="C64">
        <v>28</v>
      </c>
      <c r="D64" t="s">
        <v>49</v>
      </c>
      <c r="E64" s="1">
        <v>44758</v>
      </c>
      <c r="F64" t="s">
        <v>9</v>
      </c>
      <c r="G64">
        <v>43510</v>
      </c>
    </row>
    <row r="65" spans="1:7" x14ac:dyDescent="0.25">
      <c r="A65" t="s">
        <v>174</v>
      </c>
      <c r="B65" t="s">
        <v>15</v>
      </c>
      <c r="C65">
        <v>38</v>
      </c>
      <c r="D65" t="s">
        <v>43</v>
      </c>
      <c r="E65" s="1">
        <v>44316</v>
      </c>
      <c r="F65" t="s">
        <v>9</v>
      </c>
      <c r="G65">
        <v>109160</v>
      </c>
    </row>
    <row r="66" spans="1:7" x14ac:dyDescent="0.25">
      <c r="A66" t="s">
        <v>175</v>
      </c>
      <c r="B66" t="s">
        <v>8</v>
      </c>
      <c r="C66">
        <v>40</v>
      </c>
      <c r="D66" t="s">
        <v>13</v>
      </c>
      <c r="E66" s="1">
        <v>44204</v>
      </c>
      <c r="F66" t="s">
        <v>12</v>
      </c>
      <c r="G66">
        <v>99750</v>
      </c>
    </row>
    <row r="67" spans="1:7" x14ac:dyDescent="0.25">
      <c r="A67" t="s">
        <v>176</v>
      </c>
      <c r="B67" t="s">
        <v>15</v>
      </c>
      <c r="C67">
        <v>31</v>
      </c>
      <c r="D67" t="s">
        <v>13</v>
      </c>
      <c r="E67" s="1">
        <v>44084</v>
      </c>
      <c r="F67" t="s">
        <v>23</v>
      </c>
      <c r="G67">
        <v>41980</v>
      </c>
    </row>
    <row r="68" spans="1:7" x14ac:dyDescent="0.25">
      <c r="A68" t="s">
        <v>177</v>
      </c>
      <c r="B68" t="s">
        <v>8</v>
      </c>
      <c r="C68">
        <v>36</v>
      </c>
      <c r="D68" t="s">
        <v>13</v>
      </c>
      <c r="E68" s="1">
        <v>44272</v>
      </c>
      <c r="F68" t="s">
        <v>17</v>
      </c>
      <c r="G68">
        <v>71380</v>
      </c>
    </row>
    <row r="69" spans="1:7" x14ac:dyDescent="0.25">
      <c r="A69" t="s">
        <v>178</v>
      </c>
      <c r="B69" t="s">
        <v>8</v>
      </c>
      <c r="C69">
        <v>27</v>
      </c>
      <c r="D69" t="s">
        <v>49</v>
      </c>
      <c r="E69" s="1">
        <v>44547</v>
      </c>
      <c r="F69" t="s">
        <v>12</v>
      </c>
      <c r="G69">
        <v>113280</v>
      </c>
    </row>
    <row r="70" spans="1:7" x14ac:dyDescent="0.25">
      <c r="A70" t="s">
        <v>179</v>
      </c>
      <c r="B70" t="s">
        <v>15</v>
      </c>
      <c r="C70">
        <v>33</v>
      </c>
      <c r="D70" t="s">
        <v>13</v>
      </c>
      <c r="E70" s="1">
        <v>44747</v>
      </c>
      <c r="F70" t="s">
        <v>17</v>
      </c>
      <c r="G70">
        <v>86570</v>
      </c>
    </row>
    <row r="71" spans="1:7" x14ac:dyDescent="0.25">
      <c r="A71" t="s">
        <v>180</v>
      </c>
      <c r="B71" t="s">
        <v>8</v>
      </c>
      <c r="C71">
        <v>26</v>
      </c>
      <c r="D71" t="s">
        <v>13</v>
      </c>
      <c r="E71" s="1">
        <v>44350</v>
      </c>
      <c r="F71" t="s">
        <v>12</v>
      </c>
      <c r="G71">
        <v>53540</v>
      </c>
    </row>
    <row r="72" spans="1:7" x14ac:dyDescent="0.25">
      <c r="A72" t="s">
        <v>181</v>
      </c>
      <c r="B72" t="s">
        <v>8</v>
      </c>
      <c r="C72">
        <v>37</v>
      </c>
      <c r="D72" t="s">
        <v>13</v>
      </c>
      <c r="E72" s="1">
        <v>44640</v>
      </c>
      <c r="F72" t="s">
        <v>23</v>
      </c>
      <c r="G72">
        <v>69070</v>
      </c>
    </row>
    <row r="73" spans="1:7" x14ac:dyDescent="0.25">
      <c r="A73" t="s">
        <v>182</v>
      </c>
      <c r="B73" t="s">
        <v>15</v>
      </c>
      <c r="C73">
        <v>30</v>
      </c>
      <c r="D73" t="s">
        <v>18</v>
      </c>
      <c r="E73" s="1">
        <v>44328</v>
      </c>
      <c r="F73" t="s">
        <v>17</v>
      </c>
      <c r="G73">
        <v>67910</v>
      </c>
    </row>
    <row r="74" spans="1:7" x14ac:dyDescent="0.25">
      <c r="A74" t="s">
        <v>183</v>
      </c>
      <c r="B74" t="s">
        <v>8</v>
      </c>
      <c r="C74">
        <v>30</v>
      </c>
      <c r="D74" t="s">
        <v>13</v>
      </c>
      <c r="E74" s="1">
        <v>44214</v>
      </c>
      <c r="F74" t="s">
        <v>23</v>
      </c>
      <c r="G74">
        <v>69120</v>
      </c>
    </row>
    <row r="75" spans="1:7" x14ac:dyDescent="0.25">
      <c r="A75" t="s">
        <v>184</v>
      </c>
      <c r="B75" t="s">
        <v>15</v>
      </c>
      <c r="C75">
        <v>34</v>
      </c>
      <c r="D75" t="s">
        <v>13</v>
      </c>
      <c r="E75" s="1">
        <v>44550</v>
      </c>
      <c r="F75" t="s">
        <v>17</v>
      </c>
      <c r="G75">
        <v>60130</v>
      </c>
    </row>
    <row r="76" spans="1:7" x14ac:dyDescent="0.25">
      <c r="A76" t="s">
        <v>185</v>
      </c>
      <c r="B76" t="s">
        <v>8</v>
      </c>
      <c r="C76">
        <v>23</v>
      </c>
      <c r="D76" t="s">
        <v>13</v>
      </c>
      <c r="E76" s="1">
        <v>44378</v>
      </c>
      <c r="F76" t="s">
        <v>12</v>
      </c>
      <c r="G76">
        <v>106460</v>
      </c>
    </row>
    <row r="77" spans="1:7" x14ac:dyDescent="0.25">
      <c r="A77" t="s">
        <v>186</v>
      </c>
      <c r="B77" t="s">
        <v>15</v>
      </c>
      <c r="C77">
        <v>37</v>
      </c>
      <c r="D77" t="s">
        <v>13</v>
      </c>
      <c r="E77" s="1">
        <v>44389</v>
      </c>
      <c r="F77" t="s">
        <v>26</v>
      </c>
      <c r="G77">
        <v>118100</v>
      </c>
    </row>
    <row r="78" spans="1:7" x14ac:dyDescent="0.25">
      <c r="A78" t="s">
        <v>187</v>
      </c>
      <c r="B78" t="s">
        <v>15</v>
      </c>
      <c r="C78">
        <v>36</v>
      </c>
      <c r="D78" t="s">
        <v>13</v>
      </c>
      <c r="E78" s="1">
        <v>44468</v>
      </c>
      <c r="F78" t="s">
        <v>12</v>
      </c>
      <c r="G78">
        <v>78390</v>
      </c>
    </row>
    <row r="79" spans="1:7" x14ac:dyDescent="0.25">
      <c r="A79" t="s">
        <v>188</v>
      </c>
      <c r="B79" t="s">
        <v>15</v>
      </c>
      <c r="C79">
        <v>30</v>
      </c>
      <c r="D79" t="s">
        <v>13</v>
      </c>
      <c r="E79" s="1">
        <v>44789</v>
      </c>
      <c r="F79" t="s">
        <v>12</v>
      </c>
      <c r="G79">
        <v>114180</v>
      </c>
    </row>
    <row r="80" spans="1:7" x14ac:dyDescent="0.25">
      <c r="A80" t="s">
        <v>189</v>
      </c>
      <c r="B80" t="s">
        <v>15</v>
      </c>
      <c r="C80">
        <v>28</v>
      </c>
      <c r="D80" t="s">
        <v>13</v>
      </c>
      <c r="E80" s="1">
        <v>44590</v>
      </c>
      <c r="F80" t="s">
        <v>12</v>
      </c>
      <c r="G80">
        <v>104120</v>
      </c>
    </row>
    <row r="81" spans="1:7" x14ac:dyDescent="0.25">
      <c r="A81" t="s">
        <v>190</v>
      </c>
      <c r="B81" t="s">
        <v>8</v>
      </c>
      <c r="C81">
        <v>30</v>
      </c>
      <c r="D81" t="s">
        <v>13</v>
      </c>
      <c r="E81" s="1">
        <v>44640</v>
      </c>
      <c r="F81" t="s">
        <v>12</v>
      </c>
      <c r="G81">
        <v>67950</v>
      </c>
    </row>
    <row r="82" spans="1:7" x14ac:dyDescent="0.25">
      <c r="A82" t="s">
        <v>191</v>
      </c>
      <c r="B82" t="s">
        <v>15</v>
      </c>
      <c r="C82">
        <v>29</v>
      </c>
      <c r="D82" t="s">
        <v>13</v>
      </c>
      <c r="E82" s="1">
        <v>43962</v>
      </c>
      <c r="F82" t="s">
        <v>23</v>
      </c>
      <c r="G82">
        <v>34980</v>
      </c>
    </row>
    <row r="83" spans="1:7" x14ac:dyDescent="0.25">
      <c r="A83" t="s">
        <v>192</v>
      </c>
      <c r="B83" t="s">
        <v>15</v>
      </c>
      <c r="C83">
        <v>24</v>
      </c>
      <c r="D83" t="s">
        <v>13</v>
      </c>
      <c r="E83" s="1">
        <v>44087</v>
      </c>
      <c r="F83" t="s">
        <v>23</v>
      </c>
      <c r="G83">
        <v>62780</v>
      </c>
    </row>
    <row r="84" spans="1:7" x14ac:dyDescent="0.25">
      <c r="A84" t="s">
        <v>193</v>
      </c>
      <c r="B84" t="s">
        <v>8</v>
      </c>
      <c r="C84">
        <v>20</v>
      </c>
      <c r="D84" t="s">
        <v>13</v>
      </c>
      <c r="E84" s="1">
        <v>44397</v>
      </c>
      <c r="F84" t="s">
        <v>23</v>
      </c>
      <c r="G84">
        <v>107700</v>
      </c>
    </row>
    <row r="85" spans="1:7" x14ac:dyDescent="0.25">
      <c r="A85" t="s">
        <v>194</v>
      </c>
      <c r="B85" t="s">
        <v>8</v>
      </c>
      <c r="C85">
        <v>25</v>
      </c>
      <c r="D85" t="s">
        <v>13</v>
      </c>
      <c r="E85" s="1">
        <v>44322</v>
      </c>
      <c r="F85" t="s">
        <v>9</v>
      </c>
      <c r="G85">
        <v>65700</v>
      </c>
    </row>
    <row r="86" spans="1:7" x14ac:dyDescent="0.25">
      <c r="A86" t="s">
        <v>195</v>
      </c>
      <c r="B86" t="s">
        <v>15</v>
      </c>
      <c r="C86">
        <v>33</v>
      </c>
      <c r="D86" t="s">
        <v>49</v>
      </c>
      <c r="E86" s="1">
        <v>44313</v>
      </c>
      <c r="F86" t="s">
        <v>23</v>
      </c>
      <c r="G86">
        <v>75480</v>
      </c>
    </row>
    <row r="87" spans="1:7" x14ac:dyDescent="0.25">
      <c r="A87" t="s">
        <v>196</v>
      </c>
      <c r="B87" t="s">
        <v>8</v>
      </c>
      <c r="C87">
        <v>33</v>
      </c>
      <c r="D87" t="s">
        <v>13</v>
      </c>
      <c r="E87" s="1">
        <v>44448</v>
      </c>
      <c r="F87" t="s">
        <v>23</v>
      </c>
      <c r="G87">
        <v>53870</v>
      </c>
    </row>
    <row r="88" spans="1:7" x14ac:dyDescent="0.25">
      <c r="A88" t="s">
        <v>197</v>
      </c>
      <c r="B88" t="s">
        <v>15</v>
      </c>
      <c r="C88">
        <v>36</v>
      </c>
      <c r="D88" t="s">
        <v>13</v>
      </c>
      <c r="E88" s="1">
        <v>44433</v>
      </c>
      <c r="F88" t="s">
        <v>9</v>
      </c>
      <c r="G88">
        <v>78540</v>
      </c>
    </row>
    <row r="89" spans="1:7" x14ac:dyDescent="0.25">
      <c r="A89" t="s">
        <v>198</v>
      </c>
      <c r="B89" t="s">
        <v>8</v>
      </c>
      <c r="C89">
        <v>19</v>
      </c>
      <c r="D89" t="s">
        <v>13</v>
      </c>
      <c r="E89" s="1">
        <v>44218</v>
      </c>
      <c r="F89" t="s">
        <v>12</v>
      </c>
      <c r="G89">
        <v>58960</v>
      </c>
    </row>
    <row r="90" spans="1:7" x14ac:dyDescent="0.25">
      <c r="A90" t="s">
        <v>199</v>
      </c>
      <c r="B90" t="s">
        <v>8</v>
      </c>
      <c r="C90">
        <v>46</v>
      </c>
      <c r="D90" t="s">
        <v>13</v>
      </c>
      <c r="E90" s="1">
        <v>44697</v>
      </c>
      <c r="F90" t="s">
        <v>12</v>
      </c>
      <c r="G90">
        <v>70610</v>
      </c>
    </row>
    <row r="91" spans="1:7" x14ac:dyDescent="0.25">
      <c r="A91" t="s">
        <v>200</v>
      </c>
      <c r="B91" t="s">
        <v>8</v>
      </c>
      <c r="C91">
        <v>33</v>
      </c>
      <c r="D91" t="s">
        <v>13</v>
      </c>
      <c r="E91" s="1">
        <v>44181</v>
      </c>
      <c r="F91" t="s">
        <v>17</v>
      </c>
      <c r="G91">
        <v>59430</v>
      </c>
    </row>
    <row r="92" spans="1:7" x14ac:dyDescent="0.25">
      <c r="A92" t="s">
        <v>201</v>
      </c>
      <c r="B92" t="s">
        <v>8</v>
      </c>
      <c r="C92">
        <v>33</v>
      </c>
      <c r="D92" t="s">
        <v>10</v>
      </c>
      <c r="E92" s="1">
        <v>44640</v>
      </c>
      <c r="F92" t="s">
        <v>12</v>
      </c>
      <c r="G92">
        <v>48530</v>
      </c>
    </row>
    <row r="93" spans="1:7" x14ac:dyDescent="0.25">
      <c r="A93" t="s">
        <v>202</v>
      </c>
      <c r="B93" t="s">
        <v>15</v>
      </c>
      <c r="C93">
        <v>33</v>
      </c>
      <c r="D93" t="s">
        <v>13</v>
      </c>
      <c r="E93" s="1">
        <v>44129</v>
      </c>
      <c r="F93" t="s">
        <v>23</v>
      </c>
      <c r="G93">
        <v>96140</v>
      </c>
    </row>
    <row r="94" spans="1:7" x14ac:dyDescent="0.25">
      <c r="A94" t="s">
        <v>111</v>
      </c>
      <c r="B94" t="s">
        <v>8</v>
      </c>
      <c r="C94">
        <v>20</v>
      </c>
      <c r="D94" t="s">
        <v>13</v>
      </c>
      <c r="E94" s="1">
        <v>44122</v>
      </c>
      <c r="F94" t="s">
        <v>23</v>
      </c>
      <c r="G94">
        <v>112650</v>
      </c>
    </row>
    <row r="95" spans="1:7" x14ac:dyDescent="0.25">
      <c r="A95" t="s">
        <v>112</v>
      </c>
      <c r="B95" t="s">
        <v>15</v>
      </c>
      <c r="C95">
        <v>32</v>
      </c>
      <c r="D95" t="s">
        <v>10</v>
      </c>
      <c r="E95" s="1">
        <v>44293</v>
      </c>
      <c r="F95" t="s">
        <v>23</v>
      </c>
      <c r="G95">
        <v>43840</v>
      </c>
    </row>
    <row r="96" spans="1:7" x14ac:dyDescent="0.25">
      <c r="A96" t="s">
        <v>113</v>
      </c>
      <c r="B96" t="s">
        <v>8</v>
      </c>
      <c r="C96">
        <v>31</v>
      </c>
      <c r="D96" t="s">
        <v>13</v>
      </c>
      <c r="E96" s="1">
        <v>44663</v>
      </c>
      <c r="F96" t="s">
        <v>12</v>
      </c>
      <c r="G96">
        <v>103550</v>
      </c>
    </row>
    <row r="97" spans="1:7" x14ac:dyDescent="0.25">
      <c r="A97" t="s">
        <v>114</v>
      </c>
      <c r="B97" t="s">
        <v>15</v>
      </c>
      <c r="C97">
        <v>32</v>
      </c>
      <c r="D97" t="s">
        <v>13</v>
      </c>
      <c r="E97" s="1">
        <v>44339</v>
      </c>
      <c r="F97" t="s">
        <v>26</v>
      </c>
      <c r="G97">
        <v>45510</v>
      </c>
    </row>
    <row r="98" spans="1:7" x14ac:dyDescent="0.25">
      <c r="A98" t="s">
        <v>115</v>
      </c>
      <c r="C98">
        <v>37</v>
      </c>
      <c r="D98" t="s">
        <v>18</v>
      </c>
      <c r="E98" s="1">
        <v>44085</v>
      </c>
      <c r="F98" t="s">
        <v>17</v>
      </c>
      <c r="G98">
        <v>115440</v>
      </c>
    </row>
    <row r="99" spans="1:7" x14ac:dyDescent="0.25">
      <c r="A99" t="s">
        <v>116</v>
      </c>
      <c r="B99" t="s">
        <v>15</v>
      </c>
      <c r="C99">
        <v>38</v>
      </c>
      <c r="D99" t="s">
        <v>10</v>
      </c>
      <c r="E99" s="1">
        <v>44268</v>
      </c>
      <c r="F99" t="s">
        <v>9</v>
      </c>
      <c r="G99">
        <v>56870</v>
      </c>
    </row>
    <row r="100" spans="1:7" x14ac:dyDescent="0.25">
      <c r="A100" t="s">
        <v>117</v>
      </c>
      <c r="B100" t="s">
        <v>15</v>
      </c>
      <c r="C100">
        <v>25</v>
      </c>
      <c r="D100" t="s">
        <v>13</v>
      </c>
      <c r="E100" s="1">
        <v>44144</v>
      </c>
      <c r="F100" t="s">
        <v>9</v>
      </c>
      <c r="G100">
        <v>92700</v>
      </c>
    </row>
    <row r="101" spans="1:7" x14ac:dyDescent="0.25">
      <c r="A101" t="s">
        <v>118</v>
      </c>
      <c r="C101">
        <v>32</v>
      </c>
      <c r="D101" t="s">
        <v>13</v>
      </c>
      <c r="E101" s="1">
        <v>44713</v>
      </c>
      <c r="F101" t="s">
        <v>23</v>
      </c>
      <c r="G101">
        <v>91310</v>
      </c>
    </row>
    <row r="102" spans="1:7" x14ac:dyDescent="0.25">
      <c r="A102" t="s">
        <v>119</v>
      </c>
      <c r="B102" t="s">
        <v>8</v>
      </c>
      <c r="C102">
        <v>33</v>
      </c>
      <c r="D102" t="s">
        <v>13</v>
      </c>
      <c r="E102" s="1">
        <v>44324</v>
      </c>
      <c r="F102" t="s">
        <v>9</v>
      </c>
      <c r="G102">
        <v>74550</v>
      </c>
    </row>
    <row r="103" spans="1:7" x14ac:dyDescent="0.25">
      <c r="A103" t="s">
        <v>120</v>
      </c>
      <c r="B103" t="s">
        <v>8</v>
      </c>
      <c r="C103">
        <v>25</v>
      </c>
      <c r="D103" t="s">
        <v>10</v>
      </c>
      <c r="E103" s="1">
        <v>44665</v>
      </c>
      <c r="F103" t="s">
        <v>12</v>
      </c>
      <c r="G103">
        <v>109190</v>
      </c>
    </row>
    <row r="104" spans="1:7" x14ac:dyDescent="0.25">
      <c r="A104" t="s">
        <v>121</v>
      </c>
      <c r="B104" t="s">
        <v>15</v>
      </c>
      <c r="C104">
        <v>40</v>
      </c>
      <c r="D104" t="s">
        <v>13</v>
      </c>
      <c r="E104" s="1">
        <v>44320</v>
      </c>
      <c r="F104" t="s">
        <v>23</v>
      </c>
      <c r="G104">
        <v>104410</v>
      </c>
    </row>
    <row r="105" spans="1:7" x14ac:dyDescent="0.25">
      <c r="A105" t="s">
        <v>122</v>
      </c>
      <c r="B105" t="s">
        <v>8</v>
      </c>
      <c r="C105">
        <v>30</v>
      </c>
      <c r="D105" t="s">
        <v>13</v>
      </c>
      <c r="E105" s="1">
        <v>44544</v>
      </c>
      <c r="F105" t="s">
        <v>17</v>
      </c>
      <c r="G105">
        <v>96800</v>
      </c>
    </row>
    <row r="106" spans="1:7" x14ac:dyDescent="0.25">
      <c r="A106" t="s">
        <v>123</v>
      </c>
      <c r="B106" t="s">
        <v>8</v>
      </c>
      <c r="C106">
        <v>28</v>
      </c>
      <c r="D106" t="s">
        <v>10</v>
      </c>
      <c r="E106" s="1">
        <v>43980</v>
      </c>
      <c r="F106" t="s">
        <v>17</v>
      </c>
      <c r="G106">
        <v>48170</v>
      </c>
    </row>
    <row r="107" spans="1:7" x14ac:dyDescent="0.25">
      <c r="A107" t="s">
        <v>124</v>
      </c>
      <c r="B107" t="s">
        <v>8</v>
      </c>
      <c r="C107">
        <v>21</v>
      </c>
      <c r="D107" t="s">
        <v>13</v>
      </c>
      <c r="E107" s="1">
        <v>44042</v>
      </c>
      <c r="F107" t="s">
        <v>12</v>
      </c>
      <c r="G107">
        <v>37920</v>
      </c>
    </row>
    <row r="108" spans="1:7" x14ac:dyDescent="0.25">
      <c r="A108" t="s">
        <v>125</v>
      </c>
      <c r="B108" t="s">
        <v>8</v>
      </c>
      <c r="C108">
        <v>34</v>
      </c>
      <c r="D108" t="s">
        <v>13</v>
      </c>
      <c r="E108" s="1">
        <v>44642</v>
      </c>
      <c r="F108" t="s">
        <v>12</v>
      </c>
      <c r="G108">
        <v>112650</v>
      </c>
    </row>
    <row r="109" spans="1:7" x14ac:dyDescent="0.25">
      <c r="A109" t="s">
        <v>126</v>
      </c>
      <c r="B109" t="s">
        <v>15</v>
      </c>
      <c r="C109">
        <v>34</v>
      </c>
      <c r="D109" t="s">
        <v>18</v>
      </c>
      <c r="E109" s="1">
        <v>44660</v>
      </c>
      <c r="F109" t="s">
        <v>9</v>
      </c>
      <c r="G109">
        <v>49630</v>
      </c>
    </row>
    <row r="110" spans="1:7" x14ac:dyDescent="0.25">
      <c r="A110" t="s">
        <v>127</v>
      </c>
      <c r="B110" t="s">
        <v>8</v>
      </c>
      <c r="C110">
        <v>36</v>
      </c>
      <c r="D110" t="s">
        <v>13</v>
      </c>
      <c r="E110" s="1">
        <v>43958</v>
      </c>
      <c r="F110" t="s">
        <v>23</v>
      </c>
      <c r="G110">
        <v>118840</v>
      </c>
    </row>
    <row r="111" spans="1:7" x14ac:dyDescent="0.25">
      <c r="A111" t="s">
        <v>128</v>
      </c>
      <c r="B111" t="s">
        <v>8</v>
      </c>
      <c r="C111">
        <v>30</v>
      </c>
      <c r="D111" t="s">
        <v>13</v>
      </c>
      <c r="E111" s="1">
        <v>44789</v>
      </c>
      <c r="F111" t="s">
        <v>23</v>
      </c>
      <c r="G111">
        <v>69710</v>
      </c>
    </row>
    <row r="112" spans="1:7" x14ac:dyDescent="0.25">
      <c r="A112" t="s">
        <v>129</v>
      </c>
      <c r="B112" t="s">
        <v>8</v>
      </c>
      <c r="C112">
        <v>20</v>
      </c>
      <c r="D112" t="s">
        <v>13</v>
      </c>
      <c r="E112" s="1">
        <v>44683</v>
      </c>
      <c r="F112" t="s">
        <v>12</v>
      </c>
      <c r="G112">
        <v>79570</v>
      </c>
    </row>
    <row r="113" spans="1:7" x14ac:dyDescent="0.25">
      <c r="A113" t="s">
        <v>130</v>
      </c>
      <c r="B113" t="s">
        <v>15</v>
      </c>
      <c r="C113">
        <v>22</v>
      </c>
      <c r="D113" t="s">
        <v>10</v>
      </c>
      <c r="E113" s="1">
        <v>44388</v>
      </c>
      <c r="F113" t="s">
        <v>12</v>
      </c>
      <c r="G113">
        <v>76900</v>
      </c>
    </row>
    <row r="114" spans="1:7" x14ac:dyDescent="0.25">
      <c r="A114" t="s">
        <v>110</v>
      </c>
      <c r="C114">
        <f>SUBTOTAL(101,India_staff[Age])</f>
        <v>30.375</v>
      </c>
      <c r="G114">
        <f>SUBTOTAL(101,India_staff[Salary])</f>
        <v>78195.803571428565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43500-F7D3-4D05-BF86-107E2A9CA7D8}">
  <sheetPr>
    <tabColor rgb="FF0070C0"/>
  </sheetPr>
  <dimension ref="A1:R184"/>
  <sheetViews>
    <sheetView topLeftCell="A70" workbookViewId="0">
      <selection activeCell="N17" sqref="N17"/>
    </sheetView>
  </sheetViews>
  <sheetFormatPr defaultRowHeight="15" x14ac:dyDescent="0.25"/>
  <cols>
    <col min="1" max="1" width="30" bestFit="1" customWidth="1"/>
    <col min="2" max="2" width="10" bestFit="1" customWidth="1"/>
    <col min="3" max="3" width="14" bestFit="1" customWidth="1"/>
    <col min="4" max="4" width="6.7109375" bestFit="1" customWidth="1"/>
    <col min="5" max="5" width="13.7109375" bestFit="1" customWidth="1"/>
    <col min="6" max="6" width="11.85546875" bestFit="1" customWidth="1"/>
    <col min="7" max="7" width="14.28515625" bestFit="1" customWidth="1"/>
    <col min="8" max="8" width="10.28515625" bestFit="1" customWidth="1"/>
    <col min="9" max="9" width="9.5703125" style="4" bestFit="1" customWidth="1"/>
    <col min="10" max="10" width="10.28515625" style="4" bestFit="1" customWidth="1"/>
    <col min="11" max="11" width="16.42578125" style="4" bestFit="1" customWidth="1"/>
    <col min="12" max="12" width="11.42578125" style="4" customWidth="1"/>
    <col min="13" max="13" width="12.5703125" bestFit="1" customWidth="1"/>
    <col min="14" max="14" width="36.5703125" bestFit="1" customWidth="1"/>
    <col min="15" max="15" width="12.5703125" bestFit="1" customWidth="1"/>
    <col min="17" max="17" width="14.140625" bestFit="1" customWidth="1"/>
  </cols>
  <sheetData>
    <row r="1" spans="1:18" ht="23.25" x14ac:dyDescent="0.35">
      <c r="A1" t="s">
        <v>0</v>
      </c>
      <c r="B1" t="s">
        <v>1</v>
      </c>
      <c r="C1" t="s">
        <v>2</v>
      </c>
      <c r="D1" t="s">
        <v>3</v>
      </c>
      <c r="E1" t="s">
        <v>4</v>
      </c>
      <c r="F1" t="s">
        <v>5</v>
      </c>
      <c r="G1" t="s">
        <v>6</v>
      </c>
      <c r="H1" t="s">
        <v>203</v>
      </c>
      <c r="I1" s="4" t="s">
        <v>204</v>
      </c>
      <c r="J1" s="4" t="s">
        <v>205</v>
      </c>
      <c r="K1" s="4" t="s">
        <v>206</v>
      </c>
      <c r="N1" s="6" t="s">
        <v>207</v>
      </c>
    </row>
    <row r="2" spans="1:18" x14ac:dyDescent="0.25">
      <c r="A2" t="s">
        <v>7</v>
      </c>
      <c r="B2" t="s">
        <v>8</v>
      </c>
      <c r="C2" t="s">
        <v>9</v>
      </c>
      <c r="D2">
        <v>22</v>
      </c>
      <c r="E2" s="2">
        <v>44446</v>
      </c>
      <c r="F2" s="3">
        <v>112780</v>
      </c>
      <c r="G2" t="s">
        <v>10</v>
      </c>
      <c r="H2" s="25" t="s">
        <v>240</v>
      </c>
      <c r="I2" s="4">
        <f ca="1">(TODAY()-staff[[#This Row],[Date Joined]])/365</f>
        <v>2.3917808219178083</v>
      </c>
      <c r="J2" s="20">
        <f ca="1">IF(staff[[#This Row],[Tenure]]&gt;2,3%,2%)*staff[[#This Row],[Salary]]</f>
        <v>3383.4</v>
      </c>
      <c r="K2" s="25">
        <f>_xlfn.XLOOKUP(staff[[#This Row],[Rating]],$Q$2:$Q$6,$R$2:$R$6)</f>
        <v>4</v>
      </c>
      <c r="L2"/>
      <c r="N2" t="s">
        <v>208</v>
      </c>
      <c r="O2">
        <f>COUNTA(staff[Name])</f>
        <v>183</v>
      </c>
      <c r="Q2" s="21" t="s">
        <v>43</v>
      </c>
      <c r="R2" s="21">
        <v>5</v>
      </c>
    </row>
    <row r="3" spans="1:18" x14ac:dyDescent="0.25">
      <c r="A3" t="s">
        <v>11</v>
      </c>
      <c r="B3" t="s">
        <v>8</v>
      </c>
      <c r="C3" t="s">
        <v>12</v>
      </c>
      <c r="D3">
        <v>46</v>
      </c>
      <c r="E3" s="2">
        <v>44758</v>
      </c>
      <c r="F3" s="3">
        <v>70610</v>
      </c>
      <c r="G3" t="s">
        <v>13</v>
      </c>
      <c r="H3" s="25" t="s">
        <v>240</v>
      </c>
      <c r="I3" s="4">
        <f ca="1">(TODAY()-staff[[#This Row],[Date Joined]])/365</f>
        <v>1.536986301369863</v>
      </c>
      <c r="J3" s="20">
        <f ca="1">IF(staff[[#This Row],[Tenure]]&gt;2,3%,2%)*staff[[#This Row],[Salary]]</f>
        <v>1412.2</v>
      </c>
      <c r="K3" s="25">
        <f>_xlfn.XLOOKUP(staff[[#This Row],[Rating]],$Q$2:$Q$6,$R$2:$R$6)</f>
        <v>3</v>
      </c>
      <c r="L3"/>
      <c r="N3" t="s">
        <v>209</v>
      </c>
      <c r="O3" s="3">
        <f>AVERAGE(staff[Salary])</f>
        <v>77173.715846994543</v>
      </c>
      <c r="Q3" s="21" t="s">
        <v>10</v>
      </c>
      <c r="R3" s="21">
        <v>4</v>
      </c>
    </row>
    <row r="4" spans="1:18" x14ac:dyDescent="0.25">
      <c r="A4" t="s">
        <v>14</v>
      </c>
      <c r="B4" t="s">
        <v>15</v>
      </c>
      <c r="C4" t="s">
        <v>9</v>
      </c>
      <c r="D4">
        <v>28</v>
      </c>
      <c r="E4" s="2">
        <v>44357</v>
      </c>
      <c r="F4" s="3">
        <v>53240</v>
      </c>
      <c r="G4" t="s">
        <v>13</v>
      </c>
      <c r="H4" s="25" t="s">
        <v>240</v>
      </c>
      <c r="I4" s="4">
        <f ca="1">(TODAY()-staff[[#This Row],[Date Joined]])/365</f>
        <v>2.6356164383561644</v>
      </c>
      <c r="J4" s="20">
        <f ca="1">IF(staff[[#This Row],[Tenure]]&gt;2,3%,2%)*staff[[#This Row],[Salary]]</f>
        <v>1597.2</v>
      </c>
      <c r="K4" s="25">
        <f>_xlfn.XLOOKUP(staff[[#This Row],[Rating]],$Q$2:$Q$6,$R$2:$R$6)</f>
        <v>3</v>
      </c>
      <c r="L4"/>
      <c r="N4" t="s">
        <v>210</v>
      </c>
      <c r="O4">
        <f>AVERAGE(staff[Age])</f>
        <v>30.42622950819672</v>
      </c>
      <c r="Q4" s="21" t="s">
        <v>13</v>
      </c>
      <c r="R4" s="21">
        <v>3</v>
      </c>
    </row>
    <row r="5" spans="1:18" x14ac:dyDescent="0.25">
      <c r="A5" t="s">
        <v>16</v>
      </c>
      <c r="B5" t="s">
        <v>211</v>
      </c>
      <c r="C5" t="s">
        <v>17</v>
      </c>
      <c r="D5">
        <v>37</v>
      </c>
      <c r="E5" s="2">
        <v>44146</v>
      </c>
      <c r="F5" s="3">
        <v>115440</v>
      </c>
      <c r="G5" t="s">
        <v>18</v>
      </c>
      <c r="H5" s="25" t="s">
        <v>240</v>
      </c>
      <c r="I5" s="4">
        <f ca="1">(TODAY()-staff[[#This Row],[Date Joined]])/365</f>
        <v>3.2136986301369861</v>
      </c>
      <c r="J5" s="20">
        <f ca="1">IF(staff[[#This Row],[Tenure]]&gt;2,3%,2%)*staff[[#This Row],[Salary]]</f>
        <v>3463.2</v>
      </c>
      <c r="K5" s="25">
        <f>_xlfn.XLOOKUP(staff[[#This Row],[Rating]],$Q$2:$Q$6,$R$2:$R$6)</f>
        <v>2</v>
      </c>
      <c r="L5"/>
      <c r="N5" t="s">
        <v>212</v>
      </c>
      <c r="O5" s="4">
        <f ca="1">AVERAGE(I:I)</f>
        <v>2.4273074331911055</v>
      </c>
      <c r="Q5" s="21" t="s">
        <v>18</v>
      </c>
      <c r="R5" s="21">
        <v>2</v>
      </c>
    </row>
    <row r="6" spans="1:18" x14ac:dyDescent="0.25">
      <c r="A6" t="s">
        <v>19</v>
      </c>
      <c r="B6" t="s">
        <v>8</v>
      </c>
      <c r="C6" t="s">
        <v>9</v>
      </c>
      <c r="D6">
        <v>32</v>
      </c>
      <c r="E6" s="2">
        <v>44465</v>
      </c>
      <c r="F6" s="3">
        <v>53540</v>
      </c>
      <c r="G6" t="s">
        <v>13</v>
      </c>
      <c r="H6" s="25" t="s">
        <v>240</v>
      </c>
      <c r="I6" s="4">
        <f ca="1">(TODAY()-staff[[#This Row],[Date Joined]])/365</f>
        <v>2.3397260273972602</v>
      </c>
      <c r="J6" s="20">
        <f ca="1">IF(staff[[#This Row],[Tenure]]&gt;2,3%,2%)*staff[[#This Row],[Salary]]</f>
        <v>1606.2</v>
      </c>
      <c r="K6" s="25">
        <f>_xlfn.XLOOKUP(staff[[#This Row],[Rating]],$Q$2:$Q$6,$R$2:$R$6)</f>
        <v>3</v>
      </c>
      <c r="L6"/>
      <c r="N6" t="s">
        <v>213</v>
      </c>
      <c r="O6" s="5">
        <f>O7/O2</f>
        <v>0.46994535519125685</v>
      </c>
      <c r="Q6" s="21" t="s">
        <v>49</v>
      </c>
      <c r="R6" s="21">
        <v>1</v>
      </c>
    </row>
    <row r="7" spans="1:18" x14ac:dyDescent="0.25">
      <c r="A7" t="s">
        <v>20</v>
      </c>
      <c r="B7" t="s">
        <v>15</v>
      </c>
      <c r="C7" t="s">
        <v>12</v>
      </c>
      <c r="D7">
        <v>30</v>
      </c>
      <c r="E7" s="2">
        <v>44861</v>
      </c>
      <c r="F7" s="3">
        <v>112570</v>
      </c>
      <c r="G7" t="s">
        <v>13</v>
      </c>
      <c r="H7" s="25" t="s">
        <v>240</v>
      </c>
      <c r="I7" s="4">
        <f ca="1">(TODAY()-staff[[#This Row],[Date Joined]])/365</f>
        <v>1.2547945205479452</v>
      </c>
      <c r="J7" s="20">
        <f ca="1">IF(staff[[#This Row],[Tenure]]&gt;2,3%,2%)*staff[[#This Row],[Salary]]</f>
        <v>2251.4</v>
      </c>
      <c r="K7" s="25">
        <f>_xlfn.XLOOKUP(staff[[#This Row],[Rating]],$Q$2:$Q$6,$R$2:$R$6)</f>
        <v>3</v>
      </c>
      <c r="L7"/>
      <c r="N7" t="s">
        <v>214</v>
      </c>
      <c r="O7">
        <f>COUNTIFS(B:B,"Female")</f>
        <v>86</v>
      </c>
    </row>
    <row r="8" spans="1:18" x14ac:dyDescent="0.25">
      <c r="A8" t="s">
        <v>21</v>
      </c>
      <c r="B8" t="s">
        <v>8</v>
      </c>
      <c r="C8" t="s">
        <v>12</v>
      </c>
      <c r="D8">
        <v>33</v>
      </c>
      <c r="E8" s="2">
        <v>44701</v>
      </c>
      <c r="F8" s="3">
        <v>48530</v>
      </c>
      <c r="G8" t="s">
        <v>10</v>
      </c>
      <c r="H8" s="25" t="s">
        <v>240</v>
      </c>
      <c r="I8" s="4">
        <f ca="1">(TODAY()-staff[[#This Row],[Date Joined]])/365</f>
        <v>1.6931506849315068</v>
      </c>
      <c r="J8" s="20">
        <f ca="1">IF(staff[[#This Row],[Tenure]]&gt;2,3%,2%)*staff[[#This Row],[Salary]]</f>
        <v>970.6</v>
      </c>
      <c r="K8" s="25">
        <f>_xlfn.XLOOKUP(staff[[#This Row],[Rating]],$Q$2:$Q$6,$R$2:$R$6)</f>
        <v>4</v>
      </c>
      <c r="L8"/>
    </row>
    <row r="9" spans="1:18" x14ac:dyDescent="0.25">
      <c r="A9" t="s">
        <v>22</v>
      </c>
      <c r="B9" t="s">
        <v>15</v>
      </c>
      <c r="C9" t="s">
        <v>23</v>
      </c>
      <c r="D9">
        <v>24</v>
      </c>
      <c r="E9" s="2">
        <v>44148</v>
      </c>
      <c r="F9" s="3">
        <v>62780</v>
      </c>
      <c r="G9" t="s">
        <v>13</v>
      </c>
      <c r="H9" s="25" t="s">
        <v>240</v>
      </c>
      <c r="I9" s="4">
        <f ca="1">(TODAY()-staff[[#This Row],[Date Joined]])/365</f>
        <v>3.2082191780821918</v>
      </c>
      <c r="J9" s="20">
        <f ca="1">IF(staff[[#This Row],[Tenure]]&gt;2,3%,2%)*staff[[#This Row],[Salary]]</f>
        <v>1883.3999999999999</v>
      </c>
      <c r="K9" s="25">
        <f>_xlfn.XLOOKUP(staff[[#This Row],[Rating]],$Q$2:$Q$6,$R$2:$R$6)</f>
        <v>3</v>
      </c>
      <c r="L9"/>
    </row>
    <row r="10" spans="1:18" x14ac:dyDescent="0.25">
      <c r="A10" t="s">
        <v>24</v>
      </c>
      <c r="B10" t="s">
        <v>8</v>
      </c>
      <c r="C10" t="s">
        <v>23</v>
      </c>
      <c r="D10">
        <v>33</v>
      </c>
      <c r="E10" s="2">
        <v>44509</v>
      </c>
      <c r="F10" s="3">
        <v>53870</v>
      </c>
      <c r="G10" t="s">
        <v>13</v>
      </c>
      <c r="H10" s="25" t="s">
        <v>240</v>
      </c>
      <c r="I10" s="4">
        <f ca="1">(TODAY()-staff[[#This Row],[Date Joined]])/365</f>
        <v>2.2191780821917808</v>
      </c>
      <c r="J10" s="20">
        <f ca="1">IF(staff[[#This Row],[Tenure]]&gt;2,3%,2%)*staff[[#This Row],[Salary]]</f>
        <v>1616.1</v>
      </c>
      <c r="K10" s="25">
        <f>_xlfn.XLOOKUP(staff[[#This Row],[Rating]],$Q$2:$Q$6,$R$2:$R$6)</f>
        <v>3</v>
      </c>
      <c r="L10"/>
      <c r="N10" t="s">
        <v>215</v>
      </c>
      <c r="O10" s="5">
        <f>O11/O2</f>
        <v>0.34426229508196721</v>
      </c>
    </row>
    <row r="11" spans="1:18" x14ac:dyDescent="0.25">
      <c r="A11" t="s">
        <v>25</v>
      </c>
      <c r="B11" t="s">
        <v>15</v>
      </c>
      <c r="C11" t="s">
        <v>26</v>
      </c>
      <c r="D11">
        <v>27</v>
      </c>
      <c r="E11" s="2">
        <v>44122</v>
      </c>
      <c r="F11" s="3">
        <v>119110</v>
      </c>
      <c r="G11" t="s">
        <v>13</v>
      </c>
      <c r="H11" s="25" t="s">
        <v>240</v>
      </c>
      <c r="I11" s="4">
        <f ca="1">(TODAY()-staff[[#This Row],[Date Joined]])/365</f>
        <v>3.2794520547945205</v>
      </c>
      <c r="J11" s="20">
        <f ca="1">IF(staff[[#This Row],[Tenure]]&gt;2,3%,2%)*staff[[#This Row],[Salary]]</f>
        <v>3573.2999999999997</v>
      </c>
      <c r="K11" s="25">
        <f>_xlfn.XLOOKUP(staff[[#This Row],[Rating]],$Q$2:$Q$6,$R$2:$R$6)</f>
        <v>3</v>
      </c>
      <c r="L11"/>
      <c r="N11" t="s">
        <v>216</v>
      </c>
      <c r="O11">
        <f>COUNTIFS(F:F, "&gt;90000")</f>
        <v>63</v>
      </c>
    </row>
    <row r="12" spans="1:18" x14ac:dyDescent="0.25">
      <c r="A12" t="s">
        <v>27</v>
      </c>
      <c r="B12" t="s">
        <v>8</v>
      </c>
      <c r="C12" t="s">
        <v>23</v>
      </c>
      <c r="D12">
        <v>29</v>
      </c>
      <c r="E12" s="2">
        <v>44180</v>
      </c>
      <c r="F12" s="3">
        <v>112110</v>
      </c>
      <c r="G12" t="s">
        <v>18</v>
      </c>
      <c r="H12" s="25" t="s">
        <v>240</v>
      </c>
      <c r="I12" s="4">
        <f ca="1">(TODAY()-staff[[#This Row],[Date Joined]])/365</f>
        <v>3.1205479452054794</v>
      </c>
      <c r="J12" s="20">
        <f ca="1">IF(staff[[#This Row],[Tenure]]&gt;2,3%,2%)*staff[[#This Row],[Salary]]</f>
        <v>3363.2999999999997</v>
      </c>
      <c r="K12" s="25">
        <f>_xlfn.XLOOKUP(staff[[#This Row],[Rating]],$Q$2:$Q$6,$R$2:$R$6)</f>
        <v>2</v>
      </c>
      <c r="L12"/>
    </row>
    <row r="13" spans="1:18" x14ac:dyDescent="0.25">
      <c r="A13" t="s">
        <v>28</v>
      </c>
      <c r="B13" t="s">
        <v>8</v>
      </c>
      <c r="C13" t="s">
        <v>9</v>
      </c>
      <c r="D13">
        <v>25</v>
      </c>
      <c r="E13" s="2">
        <v>44383</v>
      </c>
      <c r="F13" s="3">
        <v>65700</v>
      </c>
      <c r="G13" t="s">
        <v>13</v>
      </c>
      <c r="H13" s="25" t="s">
        <v>240</v>
      </c>
      <c r="I13" s="4">
        <f ca="1">(TODAY()-staff[[#This Row],[Date Joined]])/365</f>
        <v>2.5643835616438357</v>
      </c>
      <c r="J13" s="20">
        <f ca="1">IF(staff[[#This Row],[Tenure]]&gt;2,3%,2%)*staff[[#This Row],[Salary]]</f>
        <v>1971</v>
      </c>
      <c r="K13" s="25">
        <f>_xlfn.XLOOKUP(staff[[#This Row],[Rating]],$Q$2:$Q$6,$R$2:$R$6)</f>
        <v>3</v>
      </c>
      <c r="L13"/>
    </row>
    <row r="14" spans="1:18" x14ac:dyDescent="0.25">
      <c r="A14" t="s">
        <v>29</v>
      </c>
      <c r="B14" t="s">
        <v>8</v>
      </c>
      <c r="C14" t="s">
        <v>23</v>
      </c>
      <c r="D14">
        <v>37</v>
      </c>
      <c r="E14" s="2">
        <v>44701</v>
      </c>
      <c r="F14" s="3">
        <v>69070</v>
      </c>
      <c r="G14" t="s">
        <v>13</v>
      </c>
      <c r="H14" s="25" t="s">
        <v>240</v>
      </c>
      <c r="I14" s="4">
        <f ca="1">(TODAY()-staff[[#This Row],[Date Joined]])/365</f>
        <v>1.6931506849315068</v>
      </c>
      <c r="J14" s="20">
        <f ca="1">IF(staff[[#This Row],[Tenure]]&gt;2,3%,2%)*staff[[#This Row],[Salary]]</f>
        <v>1381.4</v>
      </c>
      <c r="K14" s="25">
        <f>_xlfn.XLOOKUP(staff[[#This Row],[Rating]],$Q$2:$Q$6,$R$2:$R$6)</f>
        <v>3</v>
      </c>
      <c r="L14"/>
    </row>
    <row r="15" spans="1:18" ht="26.25" x14ac:dyDescent="0.4">
      <c r="A15" t="s">
        <v>30</v>
      </c>
      <c r="B15" t="s">
        <v>8</v>
      </c>
      <c r="C15" t="s">
        <v>23</v>
      </c>
      <c r="D15">
        <v>20</v>
      </c>
      <c r="E15" s="2">
        <v>44459</v>
      </c>
      <c r="F15" s="3">
        <v>107700</v>
      </c>
      <c r="G15" t="s">
        <v>13</v>
      </c>
      <c r="H15" s="25" t="s">
        <v>240</v>
      </c>
      <c r="I15" s="4">
        <f ca="1">(TODAY()-staff[[#This Row],[Date Joined]])/365</f>
        <v>2.3561643835616439</v>
      </c>
      <c r="J15" s="20">
        <f ca="1">IF(staff[[#This Row],[Tenure]]&gt;2,3%,2%)*staff[[#This Row],[Salary]]</f>
        <v>3231</v>
      </c>
      <c r="K15" s="25">
        <f>_xlfn.XLOOKUP(staff[[#This Row],[Rating]],$Q$2:$Q$6,$R$2:$R$6)</f>
        <v>3</v>
      </c>
      <c r="L15"/>
      <c r="N15" s="7" t="s">
        <v>217</v>
      </c>
    </row>
    <row r="16" spans="1:18" x14ac:dyDescent="0.25">
      <c r="A16" t="s">
        <v>31</v>
      </c>
      <c r="B16" t="s">
        <v>15</v>
      </c>
      <c r="C16" t="s">
        <v>23</v>
      </c>
      <c r="D16">
        <v>32</v>
      </c>
      <c r="E16" s="2">
        <v>44354</v>
      </c>
      <c r="F16" s="3">
        <v>43840</v>
      </c>
      <c r="G16" t="s">
        <v>10</v>
      </c>
      <c r="H16" s="25" t="s">
        <v>240</v>
      </c>
      <c r="I16" s="4">
        <f ca="1">(TODAY()-staff[[#This Row],[Date Joined]])/365</f>
        <v>2.6438356164383561</v>
      </c>
      <c r="J16" s="20">
        <f ca="1">IF(staff[[#This Row],[Tenure]]&gt;2,3%,2%)*staff[[#This Row],[Salary]]</f>
        <v>1315.2</v>
      </c>
      <c r="K16" s="25">
        <f>_xlfn.XLOOKUP(staff[[#This Row],[Rating]],$Q$2:$Q$6,$R$2:$R$6)</f>
        <v>4</v>
      </c>
      <c r="L16"/>
    </row>
    <row r="17" spans="1:15" x14ac:dyDescent="0.25">
      <c r="A17" t="s">
        <v>32</v>
      </c>
      <c r="B17" t="s">
        <v>8</v>
      </c>
      <c r="C17" t="s">
        <v>12</v>
      </c>
      <c r="D17">
        <v>40</v>
      </c>
      <c r="E17" s="2">
        <v>44263</v>
      </c>
      <c r="F17" s="3">
        <v>99750</v>
      </c>
      <c r="G17" t="s">
        <v>13</v>
      </c>
      <c r="H17" s="25" t="s">
        <v>240</v>
      </c>
      <c r="I17" s="4">
        <f ca="1">(TODAY()-staff[[#This Row],[Date Joined]])/365</f>
        <v>2.893150684931507</v>
      </c>
      <c r="J17" s="20">
        <f ca="1">IF(staff[[#This Row],[Tenure]]&gt;2,3%,2%)*staff[[#This Row],[Salary]]</f>
        <v>2992.5</v>
      </c>
      <c r="K17" s="25">
        <f>_xlfn.XLOOKUP(staff[[#This Row],[Rating]],$Q$2:$Q$6,$R$2:$R$6)</f>
        <v>3</v>
      </c>
      <c r="L17"/>
      <c r="M17" t="s">
        <v>218</v>
      </c>
      <c r="N17" s="38" t="s">
        <v>37</v>
      </c>
    </row>
    <row r="18" spans="1:15" x14ac:dyDescent="0.25">
      <c r="A18" t="s">
        <v>33</v>
      </c>
      <c r="B18" t="s">
        <v>8</v>
      </c>
      <c r="C18" t="s">
        <v>12</v>
      </c>
      <c r="D18">
        <v>21</v>
      </c>
      <c r="E18" s="2">
        <v>44104</v>
      </c>
      <c r="F18" s="3">
        <v>37920</v>
      </c>
      <c r="G18" t="s">
        <v>13</v>
      </c>
      <c r="H18" s="25" t="s">
        <v>240</v>
      </c>
      <c r="I18" s="4">
        <f ca="1">(TODAY()-staff[[#This Row],[Date Joined]])/365</f>
        <v>3.3287671232876712</v>
      </c>
      <c r="J18" s="20">
        <f ca="1">IF(staff[[#This Row],[Tenure]]&gt;2,3%,2%)*staff[[#This Row],[Salary]]</f>
        <v>1137.5999999999999</v>
      </c>
      <c r="K18" s="25">
        <f>_xlfn.XLOOKUP(staff[[#This Row],[Rating]],$Q$2:$Q$6,$R$2:$R$6)</f>
        <v>3</v>
      </c>
      <c r="L18"/>
    </row>
    <row r="19" spans="1:15" x14ac:dyDescent="0.25">
      <c r="A19" t="s">
        <v>34</v>
      </c>
      <c r="B19" t="s">
        <v>8</v>
      </c>
      <c r="C19" t="s">
        <v>12</v>
      </c>
      <c r="D19">
        <v>21</v>
      </c>
      <c r="E19" s="2">
        <v>44762</v>
      </c>
      <c r="F19" s="3">
        <v>57090</v>
      </c>
      <c r="G19" t="s">
        <v>13</v>
      </c>
      <c r="H19" s="25" t="s">
        <v>240</v>
      </c>
      <c r="I19" s="4">
        <f ca="1">(TODAY()-staff[[#This Row],[Date Joined]])/365</f>
        <v>1.526027397260274</v>
      </c>
      <c r="J19" s="20">
        <f ca="1">IF(staff[[#This Row],[Tenure]]&gt;2,3%,2%)*staff[[#This Row],[Salary]]</f>
        <v>1141.8</v>
      </c>
      <c r="K19" s="25">
        <f>_xlfn.XLOOKUP(staff[[#This Row],[Rating]],$Q$2:$Q$6,$R$2:$R$6)</f>
        <v>3</v>
      </c>
      <c r="L19"/>
    </row>
    <row r="20" spans="1:15" x14ac:dyDescent="0.25">
      <c r="A20" t="s">
        <v>35</v>
      </c>
      <c r="B20" t="s">
        <v>15</v>
      </c>
      <c r="C20" t="s">
        <v>23</v>
      </c>
      <c r="D20">
        <v>31</v>
      </c>
      <c r="E20" s="2">
        <v>44145</v>
      </c>
      <c r="F20" s="3">
        <v>41980</v>
      </c>
      <c r="G20" t="s">
        <v>13</v>
      </c>
      <c r="H20" s="25" t="s">
        <v>240</v>
      </c>
      <c r="I20" s="4">
        <f ca="1">(TODAY()-staff[[#This Row],[Date Joined]])/365</f>
        <v>3.2164383561643834</v>
      </c>
      <c r="J20" s="20">
        <f ca="1">IF(staff[[#This Row],[Tenure]]&gt;2,3%,2%)*staff[[#This Row],[Salary]]</f>
        <v>1259.3999999999999</v>
      </c>
      <c r="K20" s="25">
        <f>_xlfn.XLOOKUP(staff[[#This Row],[Rating]],$Q$2:$Q$6,$R$2:$R$6)</f>
        <v>3</v>
      </c>
      <c r="L20"/>
      <c r="N20" s="8" t="s">
        <v>1</v>
      </c>
      <c r="O20" s="9" t="str">
        <f>VLOOKUP(N17,staff[],2,FALSE)</f>
        <v>Female</v>
      </c>
    </row>
    <row r="21" spans="1:15" x14ac:dyDescent="0.25">
      <c r="A21" t="s">
        <v>36</v>
      </c>
      <c r="B21" t="s">
        <v>8</v>
      </c>
      <c r="C21" t="s">
        <v>26</v>
      </c>
      <c r="D21">
        <v>21</v>
      </c>
      <c r="E21" s="2">
        <v>44242</v>
      </c>
      <c r="F21" s="3">
        <v>75880</v>
      </c>
      <c r="G21" t="s">
        <v>13</v>
      </c>
      <c r="H21" s="25" t="s">
        <v>240</v>
      </c>
      <c r="I21" s="4">
        <f ca="1">(TODAY()-staff[[#This Row],[Date Joined]])/365</f>
        <v>2.9506849315068493</v>
      </c>
      <c r="J21" s="20">
        <f ca="1">IF(staff[[#This Row],[Tenure]]&gt;2,3%,2%)*staff[[#This Row],[Salary]]</f>
        <v>2276.4</v>
      </c>
      <c r="K21" s="25">
        <f>_xlfn.XLOOKUP(staff[[#This Row],[Rating]],$Q$2:$Q$6,$R$2:$R$6)</f>
        <v>3</v>
      </c>
      <c r="L21"/>
      <c r="N21" s="8" t="s">
        <v>3</v>
      </c>
      <c r="O21" s="9">
        <f>VLOOKUP(N17,staff[],4,FALSE)</f>
        <v>34</v>
      </c>
    </row>
    <row r="22" spans="1:15" x14ac:dyDescent="0.25">
      <c r="A22" t="s">
        <v>37</v>
      </c>
      <c r="B22" t="s">
        <v>15</v>
      </c>
      <c r="C22" t="s">
        <v>17</v>
      </c>
      <c r="D22">
        <v>34</v>
      </c>
      <c r="E22" s="2">
        <v>44653</v>
      </c>
      <c r="F22" s="3">
        <v>58940</v>
      </c>
      <c r="G22" t="s">
        <v>13</v>
      </c>
      <c r="H22" s="25" t="s">
        <v>240</v>
      </c>
      <c r="I22" s="4">
        <f ca="1">(TODAY()-staff[[#This Row],[Date Joined]])/365</f>
        <v>1.8246575342465754</v>
      </c>
      <c r="J22" s="20">
        <f ca="1">IF(staff[[#This Row],[Tenure]]&gt;2,3%,2%)*staff[[#This Row],[Salary]]</f>
        <v>1178.8</v>
      </c>
      <c r="K22" s="25">
        <f>_xlfn.XLOOKUP(staff[[#This Row],[Rating]],$Q$2:$Q$6,$R$2:$R$6)</f>
        <v>3</v>
      </c>
      <c r="L22"/>
      <c r="N22" s="8" t="s">
        <v>6</v>
      </c>
      <c r="O22" s="9" t="str">
        <f>VLOOKUP(N17,staff[],7,FALSE)</f>
        <v>Average</v>
      </c>
    </row>
    <row r="23" spans="1:15" x14ac:dyDescent="0.25">
      <c r="A23" t="s">
        <v>38</v>
      </c>
      <c r="B23" t="s">
        <v>15</v>
      </c>
      <c r="C23" t="s">
        <v>17</v>
      </c>
      <c r="D23">
        <v>30</v>
      </c>
      <c r="E23" s="2">
        <v>44389</v>
      </c>
      <c r="F23" s="3">
        <v>67910</v>
      </c>
      <c r="G23" t="s">
        <v>18</v>
      </c>
      <c r="H23" s="25" t="s">
        <v>240</v>
      </c>
      <c r="I23" s="4">
        <f ca="1">(TODAY()-staff[[#This Row],[Date Joined]])/365</f>
        <v>2.547945205479452</v>
      </c>
      <c r="J23" s="20">
        <f ca="1">IF(staff[[#This Row],[Tenure]]&gt;2,3%,2%)*staff[[#This Row],[Salary]]</f>
        <v>2037.3</v>
      </c>
      <c r="K23" s="25">
        <f>_xlfn.XLOOKUP(staff[[#This Row],[Rating]],$Q$2:$Q$6,$R$2:$R$6)</f>
        <v>2</v>
      </c>
      <c r="L23"/>
      <c r="N23" s="8" t="s">
        <v>219</v>
      </c>
      <c r="O23" s="10">
        <f>VLOOKUP(N17,staff[],5,FALSE)</f>
        <v>44653</v>
      </c>
    </row>
    <row r="24" spans="1:15" x14ac:dyDescent="0.25">
      <c r="A24" t="s">
        <v>39</v>
      </c>
      <c r="B24" t="s">
        <v>15</v>
      </c>
      <c r="C24" t="s">
        <v>23</v>
      </c>
      <c r="D24">
        <v>31</v>
      </c>
      <c r="E24" s="2">
        <v>44663</v>
      </c>
      <c r="F24" s="3">
        <v>58100</v>
      </c>
      <c r="G24" t="s">
        <v>13</v>
      </c>
      <c r="H24" s="25" t="s">
        <v>240</v>
      </c>
      <c r="I24" s="4">
        <f ca="1">(TODAY()-staff[[#This Row],[Date Joined]])/365</f>
        <v>1.7972602739726027</v>
      </c>
      <c r="J24" s="20">
        <f ca="1">IF(staff[[#This Row],[Tenure]]&gt;2,3%,2%)*staff[[#This Row],[Salary]]</f>
        <v>1162</v>
      </c>
      <c r="K24" s="25">
        <f>_xlfn.XLOOKUP(staff[[#This Row],[Rating]],$Q$2:$Q$6,$R$2:$R$6)</f>
        <v>3</v>
      </c>
      <c r="L24"/>
      <c r="N24" s="8" t="s">
        <v>2</v>
      </c>
      <c r="O24" s="9" t="str">
        <f>VLOOKUP(N17,staff[],3,FALSE)</f>
        <v>Finance</v>
      </c>
    </row>
    <row r="25" spans="1:15" x14ac:dyDescent="0.25">
      <c r="A25" t="s">
        <v>40</v>
      </c>
      <c r="B25" t="s">
        <v>8</v>
      </c>
      <c r="C25" t="s">
        <v>17</v>
      </c>
      <c r="D25">
        <v>27</v>
      </c>
      <c r="E25" s="2">
        <v>44567</v>
      </c>
      <c r="F25" s="3">
        <v>48980</v>
      </c>
      <c r="G25" t="s">
        <v>13</v>
      </c>
      <c r="H25" s="25" t="s">
        <v>240</v>
      </c>
      <c r="I25" s="4">
        <f ca="1">(TODAY()-staff[[#This Row],[Date Joined]])/365</f>
        <v>2.0602739726027397</v>
      </c>
      <c r="J25" s="20">
        <f ca="1">IF(staff[[#This Row],[Tenure]]&gt;2,3%,2%)*staff[[#This Row],[Salary]]</f>
        <v>1469.3999999999999</v>
      </c>
      <c r="K25" s="25">
        <f>_xlfn.XLOOKUP(staff[[#This Row],[Rating]],$Q$2:$Q$6,$R$2:$R$6)</f>
        <v>3</v>
      </c>
      <c r="L25"/>
      <c r="N25" s="8" t="s">
        <v>5</v>
      </c>
      <c r="O25" s="9">
        <f>VLOOKUP(N17,staff[],6,FALSE)</f>
        <v>58940</v>
      </c>
    </row>
    <row r="26" spans="1:15" x14ac:dyDescent="0.25">
      <c r="A26" t="s">
        <v>41</v>
      </c>
      <c r="B26" t="s">
        <v>211</v>
      </c>
      <c r="C26" t="s">
        <v>17</v>
      </c>
      <c r="D26">
        <v>30</v>
      </c>
      <c r="E26" s="2">
        <v>44597</v>
      </c>
      <c r="F26" s="3">
        <v>64000</v>
      </c>
      <c r="G26" t="s">
        <v>13</v>
      </c>
      <c r="H26" s="25" t="s">
        <v>240</v>
      </c>
      <c r="I26" s="4">
        <f ca="1">(TODAY()-staff[[#This Row],[Date Joined]])/365</f>
        <v>1.978082191780822</v>
      </c>
      <c r="J26" s="20">
        <f ca="1">IF(staff[[#This Row],[Tenure]]&gt;2,3%,2%)*staff[[#This Row],[Salary]]</f>
        <v>1280</v>
      </c>
      <c r="K26" s="25">
        <f>_xlfn.XLOOKUP(staff[[#This Row],[Rating]],$Q$2:$Q$6,$R$2:$R$6)</f>
        <v>3</v>
      </c>
      <c r="L26"/>
      <c r="N26" s="8" t="s">
        <v>203</v>
      </c>
      <c r="O26" s="9" t="str">
        <f>VLOOKUP(N17,staff[],8,FALSE)</f>
        <v>UK</v>
      </c>
    </row>
    <row r="27" spans="1:15" x14ac:dyDescent="0.25">
      <c r="A27" t="s">
        <v>42</v>
      </c>
      <c r="B27" t="s">
        <v>15</v>
      </c>
      <c r="C27" t="s">
        <v>12</v>
      </c>
      <c r="D27">
        <v>42</v>
      </c>
      <c r="E27" s="2">
        <v>44779</v>
      </c>
      <c r="F27" s="3">
        <v>75000</v>
      </c>
      <c r="G27" t="s">
        <v>43</v>
      </c>
      <c r="H27" s="25" t="s">
        <v>240</v>
      </c>
      <c r="I27" s="4">
        <f ca="1">(TODAY()-staff[[#This Row],[Date Joined]])/365</f>
        <v>1.4794520547945205</v>
      </c>
      <c r="J27" s="20">
        <f ca="1">IF(staff[[#This Row],[Tenure]]&gt;2,3%,2%)*staff[[#This Row],[Salary]]</f>
        <v>1500</v>
      </c>
      <c r="K27" s="25">
        <f>_xlfn.XLOOKUP(staff[[#This Row],[Rating]],$Q$2:$Q$6,$R$2:$R$6)</f>
        <v>5</v>
      </c>
      <c r="L27"/>
      <c r="N27" s="8" t="s">
        <v>204</v>
      </c>
      <c r="O27" s="11">
        <f ca="1">VLOOKUP(N17,staff[],9,FALSE)</f>
        <v>1.8246575342465754</v>
      </c>
    </row>
    <row r="28" spans="1:15" x14ac:dyDescent="0.25">
      <c r="A28" t="s">
        <v>44</v>
      </c>
      <c r="B28" t="s">
        <v>15</v>
      </c>
      <c r="C28" t="s">
        <v>23</v>
      </c>
      <c r="D28">
        <v>40</v>
      </c>
      <c r="E28" s="2">
        <v>44337</v>
      </c>
      <c r="F28" s="3">
        <v>87620</v>
      </c>
      <c r="G28" t="s">
        <v>13</v>
      </c>
      <c r="H28" s="25" t="s">
        <v>240</v>
      </c>
      <c r="I28" s="4">
        <f ca="1">(TODAY()-staff[[#This Row],[Date Joined]])/365</f>
        <v>2.6904109589041094</v>
      </c>
      <c r="J28" s="20">
        <f ca="1">IF(staff[[#This Row],[Tenure]]&gt;2,3%,2%)*staff[[#This Row],[Salary]]</f>
        <v>2628.6</v>
      </c>
      <c r="K28" s="25">
        <f>_xlfn.XLOOKUP(staff[[#This Row],[Rating]],$Q$2:$Q$6,$R$2:$R$6)</f>
        <v>3</v>
      </c>
      <c r="L28"/>
    </row>
    <row r="29" spans="1:15" x14ac:dyDescent="0.25">
      <c r="A29" t="s">
        <v>45</v>
      </c>
      <c r="B29" t="s">
        <v>15</v>
      </c>
      <c r="C29" t="s">
        <v>23</v>
      </c>
      <c r="D29">
        <v>29</v>
      </c>
      <c r="E29" s="2">
        <v>44023</v>
      </c>
      <c r="F29" s="3">
        <v>34980</v>
      </c>
      <c r="G29" t="s">
        <v>13</v>
      </c>
      <c r="H29" s="25" t="s">
        <v>240</v>
      </c>
      <c r="I29" s="4">
        <f ca="1">(TODAY()-staff[[#This Row],[Date Joined]])/365</f>
        <v>3.5506849315068494</v>
      </c>
      <c r="J29" s="20">
        <f ca="1">IF(staff[[#This Row],[Tenure]]&gt;2,3%,2%)*staff[[#This Row],[Salary]]</f>
        <v>1049.3999999999999</v>
      </c>
      <c r="K29" s="25">
        <f>_xlfn.XLOOKUP(staff[[#This Row],[Rating]],$Q$2:$Q$6,$R$2:$R$6)</f>
        <v>3</v>
      </c>
      <c r="L29"/>
    </row>
    <row r="30" spans="1:15" x14ac:dyDescent="0.25">
      <c r="A30" t="s">
        <v>46</v>
      </c>
      <c r="B30" t="s">
        <v>15</v>
      </c>
      <c r="C30" t="s">
        <v>17</v>
      </c>
      <c r="D30">
        <v>28</v>
      </c>
      <c r="E30" s="2">
        <v>44185</v>
      </c>
      <c r="F30" s="3">
        <v>75970</v>
      </c>
      <c r="G30" t="s">
        <v>13</v>
      </c>
      <c r="H30" s="25" t="s">
        <v>240</v>
      </c>
      <c r="I30" s="4">
        <f ca="1">(TODAY()-staff[[#This Row],[Date Joined]])/365</f>
        <v>3.106849315068493</v>
      </c>
      <c r="J30" s="20">
        <f ca="1">IF(staff[[#This Row],[Tenure]]&gt;2,3%,2%)*staff[[#This Row],[Salary]]</f>
        <v>2279.1</v>
      </c>
      <c r="K30" s="25">
        <f>_xlfn.XLOOKUP(staff[[#This Row],[Rating]],$Q$2:$Q$6,$R$2:$R$6)</f>
        <v>3</v>
      </c>
      <c r="L30"/>
    </row>
    <row r="31" spans="1:15" x14ac:dyDescent="0.25">
      <c r="A31" t="s">
        <v>47</v>
      </c>
      <c r="B31" t="s">
        <v>15</v>
      </c>
      <c r="C31" t="s">
        <v>17</v>
      </c>
      <c r="D31">
        <v>34</v>
      </c>
      <c r="E31" s="2">
        <v>44612</v>
      </c>
      <c r="F31" s="3">
        <v>60130</v>
      </c>
      <c r="G31" t="s">
        <v>13</v>
      </c>
      <c r="H31" s="25" t="s">
        <v>240</v>
      </c>
      <c r="I31" s="4">
        <f ca="1">(TODAY()-staff[[#This Row],[Date Joined]])/365</f>
        <v>1.9369863013698629</v>
      </c>
      <c r="J31" s="20">
        <f ca="1">IF(staff[[#This Row],[Tenure]]&gt;2,3%,2%)*staff[[#This Row],[Salary]]</f>
        <v>1202.6000000000001</v>
      </c>
      <c r="K31" s="25">
        <f>_xlfn.XLOOKUP(staff[[#This Row],[Rating]],$Q$2:$Q$6,$R$2:$R$6)</f>
        <v>3</v>
      </c>
      <c r="L31"/>
    </row>
    <row r="32" spans="1:15" x14ac:dyDescent="0.25">
      <c r="A32" t="s">
        <v>48</v>
      </c>
      <c r="B32" t="s">
        <v>15</v>
      </c>
      <c r="C32" t="s">
        <v>23</v>
      </c>
      <c r="D32">
        <v>33</v>
      </c>
      <c r="E32" s="2">
        <v>44374</v>
      </c>
      <c r="F32" s="3">
        <v>75480</v>
      </c>
      <c r="G32" t="s">
        <v>49</v>
      </c>
      <c r="H32" s="25" t="s">
        <v>240</v>
      </c>
      <c r="I32" s="4">
        <f ca="1">(TODAY()-staff[[#This Row],[Date Joined]])/365</f>
        <v>2.5890410958904111</v>
      </c>
      <c r="J32" s="20">
        <f ca="1">IF(staff[[#This Row],[Tenure]]&gt;2,3%,2%)*staff[[#This Row],[Salary]]</f>
        <v>2264.4</v>
      </c>
      <c r="K32" s="25">
        <f>_xlfn.XLOOKUP(staff[[#This Row],[Rating]],$Q$2:$Q$6,$R$2:$R$6)</f>
        <v>1</v>
      </c>
      <c r="L32"/>
    </row>
    <row r="33" spans="1:12" x14ac:dyDescent="0.25">
      <c r="A33" t="s">
        <v>50</v>
      </c>
      <c r="B33" t="s">
        <v>8</v>
      </c>
      <c r="C33" t="s">
        <v>12</v>
      </c>
      <c r="D33">
        <v>33</v>
      </c>
      <c r="E33" s="2">
        <v>44164</v>
      </c>
      <c r="F33" s="3">
        <v>115920</v>
      </c>
      <c r="G33" t="s">
        <v>13</v>
      </c>
      <c r="H33" s="25" t="s">
        <v>240</v>
      </c>
      <c r="I33" s="4">
        <f ca="1">(TODAY()-staff[[#This Row],[Date Joined]])/365</f>
        <v>3.1643835616438358</v>
      </c>
      <c r="J33" s="20">
        <f ca="1">IF(staff[[#This Row],[Tenure]]&gt;2,3%,2%)*staff[[#This Row],[Salary]]</f>
        <v>3477.6</v>
      </c>
      <c r="K33" s="25">
        <f>_xlfn.XLOOKUP(staff[[#This Row],[Rating]],$Q$2:$Q$6,$R$2:$R$6)</f>
        <v>3</v>
      </c>
      <c r="L33"/>
    </row>
    <row r="34" spans="1:12" x14ac:dyDescent="0.25">
      <c r="A34" t="s">
        <v>51</v>
      </c>
      <c r="B34" t="s">
        <v>15</v>
      </c>
      <c r="C34" t="s">
        <v>9</v>
      </c>
      <c r="D34">
        <v>36</v>
      </c>
      <c r="E34" s="2">
        <v>44494</v>
      </c>
      <c r="F34" s="3">
        <v>78540</v>
      </c>
      <c r="G34" t="s">
        <v>13</v>
      </c>
      <c r="H34" s="25" t="s">
        <v>240</v>
      </c>
      <c r="I34" s="4">
        <f ca="1">(TODAY()-staff[[#This Row],[Date Joined]])/365</f>
        <v>2.2602739726027399</v>
      </c>
      <c r="J34" s="20">
        <f ca="1">IF(staff[[#This Row],[Tenure]]&gt;2,3%,2%)*staff[[#This Row],[Salary]]</f>
        <v>2356.1999999999998</v>
      </c>
      <c r="K34" s="25">
        <f>_xlfn.XLOOKUP(staff[[#This Row],[Rating]],$Q$2:$Q$6,$R$2:$R$6)</f>
        <v>3</v>
      </c>
      <c r="L34"/>
    </row>
    <row r="35" spans="1:12" x14ac:dyDescent="0.25">
      <c r="A35" t="s">
        <v>52</v>
      </c>
      <c r="B35" t="s">
        <v>8</v>
      </c>
      <c r="C35" t="s">
        <v>12</v>
      </c>
      <c r="D35">
        <v>25</v>
      </c>
      <c r="E35" s="2">
        <v>44726</v>
      </c>
      <c r="F35" s="3">
        <v>109190</v>
      </c>
      <c r="G35" t="s">
        <v>10</v>
      </c>
      <c r="H35" s="25" t="s">
        <v>240</v>
      </c>
      <c r="I35" s="4">
        <f ca="1">(TODAY()-staff[[#This Row],[Date Joined]])/365</f>
        <v>1.6246575342465754</v>
      </c>
      <c r="J35" s="20">
        <f ca="1">IF(staff[[#This Row],[Tenure]]&gt;2,3%,2%)*staff[[#This Row],[Salary]]</f>
        <v>2183.8000000000002</v>
      </c>
      <c r="K35" s="25">
        <f>_xlfn.XLOOKUP(staff[[#This Row],[Rating]],$Q$2:$Q$6,$R$2:$R$6)</f>
        <v>4</v>
      </c>
      <c r="L35"/>
    </row>
    <row r="36" spans="1:12" x14ac:dyDescent="0.25">
      <c r="A36" t="s">
        <v>53</v>
      </c>
      <c r="B36" t="s">
        <v>15</v>
      </c>
      <c r="C36" t="s">
        <v>9</v>
      </c>
      <c r="D36">
        <v>34</v>
      </c>
      <c r="E36" s="2">
        <v>44721</v>
      </c>
      <c r="F36" s="3">
        <v>49630</v>
      </c>
      <c r="G36" t="s">
        <v>18</v>
      </c>
      <c r="H36" s="25" t="s">
        <v>240</v>
      </c>
      <c r="I36" s="4">
        <f ca="1">(TODAY()-staff[[#This Row],[Date Joined]])/365</f>
        <v>1.6383561643835616</v>
      </c>
      <c r="J36" s="20">
        <f ca="1">IF(staff[[#This Row],[Tenure]]&gt;2,3%,2%)*staff[[#This Row],[Salary]]</f>
        <v>992.6</v>
      </c>
      <c r="K36" s="25">
        <f>_xlfn.XLOOKUP(staff[[#This Row],[Rating]],$Q$2:$Q$6,$R$2:$R$6)</f>
        <v>2</v>
      </c>
      <c r="L36"/>
    </row>
    <row r="37" spans="1:12" x14ac:dyDescent="0.25">
      <c r="A37" t="s">
        <v>54</v>
      </c>
      <c r="B37" t="s">
        <v>15</v>
      </c>
      <c r="C37" t="s">
        <v>12</v>
      </c>
      <c r="D37">
        <v>28</v>
      </c>
      <c r="E37" s="2">
        <v>44630</v>
      </c>
      <c r="F37" s="3">
        <v>99970</v>
      </c>
      <c r="G37" t="s">
        <v>13</v>
      </c>
      <c r="H37" s="25" t="s">
        <v>240</v>
      </c>
      <c r="I37" s="4">
        <f ca="1">(TODAY()-staff[[#This Row],[Date Joined]])/365</f>
        <v>1.8876712328767122</v>
      </c>
      <c r="J37" s="20">
        <f ca="1">IF(staff[[#This Row],[Tenure]]&gt;2,3%,2%)*staff[[#This Row],[Salary]]</f>
        <v>1999.4</v>
      </c>
      <c r="K37" s="25">
        <f>_xlfn.XLOOKUP(staff[[#This Row],[Rating]],$Q$2:$Q$6,$R$2:$R$6)</f>
        <v>3</v>
      </c>
      <c r="L37"/>
    </row>
    <row r="38" spans="1:12" x14ac:dyDescent="0.25">
      <c r="A38" t="s">
        <v>55</v>
      </c>
      <c r="B38" t="s">
        <v>15</v>
      </c>
      <c r="C38" t="s">
        <v>23</v>
      </c>
      <c r="D38">
        <v>33</v>
      </c>
      <c r="E38" s="2">
        <v>44190</v>
      </c>
      <c r="F38" s="3">
        <v>96140</v>
      </c>
      <c r="G38" t="s">
        <v>13</v>
      </c>
      <c r="H38" s="25" t="s">
        <v>240</v>
      </c>
      <c r="I38" s="4">
        <f ca="1">(TODAY()-staff[[#This Row],[Date Joined]])/365</f>
        <v>3.0931506849315067</v>
      </c>
      <c r="J38" s="20">
        <f ca="1">IF(staff[[#This Row],[Tenure]]&gt;2,3%,2%)*staff[[#This Row],[Salary]]</f>
        <v>2884.2</v>
      </c>
      <c r="K38" s="25">
        <f>_xlfn.XLOOKUP(staff[[#This Row],[Rating]],$Q$2:$Q$6,$R$2:$R$6)</f>
        <v>3</v>
      </c>
      <c r="L38"/>
    </row>
    <row r="39" spans="1:12" x14ac:dyDescent="0.25">
      <c r="A39" t="s">
        <v>56</v>
      </c>
      <c r="B39" t="s">
        <v>8</v>
      </c>
      <c r="C39" t="s">
        <v>12</v>
      </c>
      <c r="D39">
        <v>31</v>
      </c>
      <c r="E39" s="2">
        <v>44724</v>
      </c>
      <c r="F39" s="3">
        <v>103550</v>
      </c>
      <c r="G39" t="s">
        <v>13</v>
      </c>
      <c r="H39" s="25" t="s">
        <v>240</v>
      </c>
      <c r="I39" s="4">
        <f ca="1">(TODAY()-staff[[#This Row],[Date Joined]])/365</f>
        <v>1.6301369863013699</v>
      </c>
      <c r="J39" s="20">
        <f ca="1">IF(staff[[#This Row],[Tenure]]&gt;2,3%,2%)*staff[[#This Row],[Salary]]</f>
        <v>2071</v>
      </c>
      <c r="K39" s="25">
        <f>_xlfn.XLOOKUP(staff[[#This Row],[Rating]],$Q$2:$Q$6,$R$2:$R$6)</f>
        <v>3</v>
      </c>
      <c r="L39"/>
    </row>
    <row r="40" spans="1:12" x14ac:dyDescent="0.25">
      <c r="A40" t="s">
        <v>57</v>
      </c>
      <c r="B40" t="s">
        <v>8</v>
      </c>
      <c r="C40" t="s">
        <v>23</v>
      </c>
      <c r="D40">
        <v>31</v>
      </c>
      <c r="E40" s="2">
        <v>44511</v>
      </c>
      <c r="F40" s="3">
        <v>48950</v>
      </c>
      <c r="G40" t="s">
        <v>13</v>
      </c>
      <c r="H40" s="25" t="s">
        <v>240</v>
      </c>
      <c r="I40" s="4">
        <f ca="1">(TODAY()-staff[[#This Row],[Date Joined]])/365</f>
        <v>2.2136986301369861</v>
      </c>
      <c r="J40" s="20">
        <f ca="1">IF(staff[[#This Row],[Tenure]]&gt;2,3%,2%)*staff[[#This Row],[Salary]]</f>
        <v>1468.5</v>
      </c>
      <c r="K40" s="25">
        <f>_xlfn.XLOOKUP(staff[[#This Row],[Rating]],$Q$2:$Q$6,$R$2:$R$6)</f>
        <v>3</v>
      </c>
      <c r="L40"/>
    </row>
    <row r="41" spans="1:12" x14ac:dyDescent="0.25">
      <c r="A41" t="s">
        <v>58</v>
      </c>
      <c r="B41" t="s">
        <v>8</v>
      </c>
      <c r="C41" t="s">
        <v>17</v>
      </c>
      <c r="D41">
        <v>24</v>
      </c>
      <c r="E41" s="2">
        <v>44436</v>
      </c>
      <c r="F41" s="3">
        <v>52610</v>
      </c>
      <c r="G41" t="s">
        <v>18</v>
      </c>
      <c r="H41" s="25" t="s">
        <v>240</v>
      </c>
      <c r="I41" s="4">
        <f ca="1">(TODAY()-staff[[#This Row],[Date Joined]])/365</f>
        <v>2.419178082191781</v>
      </c>
      <c r="J41" s="20">
        <f ca="1">IF(staff[[#This Row],[Tenure]]&gt;2,3%,2%)*staff[[#This Row],[Salary]]</f>
        <v>1578.3</v>
      </c>
      <c r="K41" s="25">
        <f>_xlfn.XLOOKUP(staff[[#This Row],[Rating]],$Q$2:$Q$6,$R$2:$R$6)</f>
        <v>2</v>
      </c>
      <c r="L41"/>
    </row>
    <row r="42" spans="1:12" x14ac:dyDescent="0.25">
      <c r="A42" t="s">
        <v>59</v>
      </c>
      <c r="B42" t="s">
        <v>15</v>
      </c>
      <c r="C42" t="s">
        <v>12</v>
      </c>
      <c r="D42">
        <v>36</v>
      </c>
      <c r="E42" s="2">
        <v>44529</v>
      </c>
      <c r="F42" s="3">
        <v>78390</v>
      </c>
      <c r="G42" t="s">
        <v>13</v>
      </c>
      <c r="H42" s="25" t="s">
        <v>240</v>
      </c>
      <c r="I42" s="4">
        <f ca="1">(TODAY()-staff[[#This Row],[Date Joined]])/365</f>
        <v>2.1643835616438358</v>
      </c>
      <c r="J42" s="20">
        <f ca="1">IF(staff[[#This Row],[Tenure]]&gt;2,3%,2%)*staff[[#This Row],[Salary]]</f>
        <v>2351.6999999999998</v>
      </c>
      <c r="K42" s="25">
        <f>_xlfn.XLOOKUP(staff[[#This Row],[Rating]],$Q$2:$Q$6,$R$2:$R$6)</f>
        <v>3</v>
      </c>
      <c r="L42"/>
    </row>
    <row r="43" spans="1:12" x14ac:dyDescent="0.25">
      <c r="A43" t="s">
        <v>60</v>
      </c>
      <c r="B43" t="s">
        <v>15</v>
      </c>
      <c r="C43" t="s">
        <v>17</v>
      </c>
      <c r="D43">
        <v>33</v>
      </c>
      <c r="E43" s="2">
        <v>44809</v>
      </c>
      <c r="F43" s="3">
        <v>86570</v>
      </c>
      <c r="G43" t="s">
        <v>13</v>
      </c>
      <c r="H43" s="25" t="s">
        <v>240</v>
      </c>
      <c r="I43" s="4">
        <f ca="1">(TODAY()-staff[[#This Row],[Date Joined]])/365</f>
        <v>1.3972602739726028</v>
      </c>
      <c r="J43" s="20">
        <f ca="1">IF(staff[[#This Row],[Tenure]]&gt;2,3%,2%)*staff[[#This Row],[Salary]]</f>
        <v>1731.4</v>
      </c>
      <c r="K43" s="25">
        <f>_xlfn.XLOOKUP(staff[[#This Row],[Rating]],$Q$2:$Q$6,$R$2:$R$6)</f>
        <v>3</v>
      </c>
      <c r="L43"/>
    </row>
    <row r="44" spans="1:12" x14ac:dyDescent="0.25">
      <c r="A44" t="s">
        <v>61</v>
      </c>
      <c r="B44" t="s">
        <v>15</v>
      </c>
      <c r="C44" t="s">
        <v>23</v>
      </c>
      <c r="D44">
        <v>27</v>
      </c>
      <c r="E44" s="2">
        <v>44686</v>
      </c>
      <c r="F44" s="3">
        <v>83750</v>
      </c>
      <c r="G44" t="s">
        <v>13</v>
      </c>
      <c r="H44" s="25" t="s">
        <v>240</v>
      </c>
      <c r="I44" s="4">
        <f ca="1">(TODAY()-staff[[#This Row],[Date Joined]])/365</f>
        <v>1.7342465753424658</v>
      </c>
      <c r="J44" s="20">
        <f ca="1">IF(staff[[#This Row],[Tenure]]&gt;2,3%,2%)*staff[[#This Row],[Salary]]</f>
        <v>1675</v>
      </c>
      <c r="K44" s="25">
        <f>_xlfn.XLOOKUP(staff[[#This Row],[Rating]],$Q$2:$Q$6,$R$2:$R$6)</f>
        <v>3</v>
      </c>
      <c r="L44"/>
    </row>
    <row r="45" spans="1:12" x14ac:dyDescent="0.25">
      <c r="A45" t="s">
        <v>62</v>
      </c>
      <c r="B45" t="s">
        <v>15</v>
      </c>
      <c r="C45" t="s">
        <v>17</v>
      </c>
      <c r="D45">
        <v>34</v>
      </c>
      <c r="E45" s="2">
        <v>44445</v>
      </c>
      <c r="F45" s="3">
        <v>92450</v>
      </c>
      <c r="G45" t="s">
        <v>13</v>
      </c>
      <c r="H45" s="25" t="s">
        <v>240</v>
      </c>
      <c r="I45" s="4">
        <f ca="1">(TODAY()-staff[[#This Row],[Date Joined]])/365</f>
        <v>2.3945205479452056</v>
      </c>
      <c r="J45" s="20">
        <f ca="1">IF(staff[[#This Row],[Tenure]]&gt;2,3%,2%)*staff[[#This Row],[Salary]]</f>
        <v>2773.5</v>
      </c>
      <c r="K45" s="25">
        <f>_xlfn.XLOOKUP(staff[[#This Row],[Rating]],$Q$2:$Q$6,$R$2:$R$6)</f>
        <v>3</v>
      </c>
      <c r="L45"/>
    </row>
    <row r="46" spans="1:12" x14ac:dyDescent="0.25">
      <c r="A46" t="s">
        <v>63</v>
      </c>
      <c r="B46" t="s">
        <v>8</v>
      </c>
      <c r="C46" t="s">
        <v>23</v>
      </c>
      <c r="D46">
        <v>20</v>
      </c>
      <c r="E46" s="2">
        <v>44183</v>
      </c>
      <c r="F46" s="3">
        <v>112650</v>
      </c>
      <c r="G46" t="s">
        <v>13</v>
      </c>
      <c r="H46" s="25" t="s">
        <v>240</v>
      </c>
      <c r="I46" s="4">
        <f ca="1">(TODAY()-staff[[#This Row],[Date Joined]])/365</f>
        <v>3.1123287671232878</v>
      </c>
      <c r="J46" s="20">
        <f ca="1">IF(staff[[#This Row],[Tenure]]&gt;2,3%,2%)*staff[[#This Row],[Salary]]</f>
        <v>3379.5</v>
      </c>
      <c r="K46" s="25">
        <f>_xlfn.XLOOKUP(staff[[#This Row],[Rating]],$Q$2:$Q$6,$R$2:$R$6)</f>
        <v>3</v>
      </c>
      <c r="L46"/>
    </row>
    <row r="47" spans="1:12" x14ac:dyDescent="0.25">
      <c r="A47" t="s">
        <v>64</v>
      </c>
      <c r="B47" t="s">
        <v>8</v>
      </c>
      <c r="C47" t="s">
        <v>12</v>
      </c>
      <c r="D47">
        <v>20</v>
      </c>
      <c r="E47" s="2">
        <v>44744</v>
      </c>
      <c r="F47" s="3">
        <v>79570</v>
      </c>
      <c r="G47" t="s">
        <v>13</v>
      </c>
      <c r="H47" s="25" t="s">
        <v>240</v>
      </c>
      <c r="I47" s="4">
        <f ca="1">(TODAY()-staff[[#This Row],[Date Joined]])/365</f>
        <v>1.5753424657534247</v>
      </c>
      <c r="J47" s="20">
        <f ca="1">IF(staff[[#This Row],[Tenure]]&gt;2,3%,2%)*staff[[#This Row],[Salary]]</f>
        <v>1591.4</v>
      </c>
      <c r="K47" s="25">
        <f>_xlfn.XLOOKUP(staff[[#This Row],[Rating]],$Q$2:$Q$6,$R$2:$R$6)</f>
        <v>3</v>
      </c>
      <c r="L47"/>
    </row>
    <row r="48" spans="1:12" x14ac:dyDescent="0.25">
      <c r="A48" t="s">
        <v>65</v>
      </c>
      <c r="B48" t="s">
        <v>15</v>
      </c>
      <c r="C48" t="s">
        <v>9</v>
      </c>
      <c r="D48">
        <v>20</v>
      </c>
      <c r="E48" s="2">
        <v>44537</v>
      </c>
      <c r="F48" s="3">
        <v>68900</v>
      </c>
      <c r="G48" t="s">
        <v>18</v>
      </c>
      <c r="H48" s="25" t="s">
        <v>240</v>
      </c>
      <c r="I48" s="4">
        <f ca="1">(TODAY()-staff[[#This Row],[Date Joined]])/365</f>
        <v>2.1424657534246574</v>
      </c>
      <c r="J48" s="20">
        <f ca="1">IF(staff[[#This Row],[Tenure]]&gt;2,3%,2%)*staff[[#This Row],[Salary]]</f>
        <v>2067</v>
      </c>
      <c r="K48" s="25">
        <f>_xlfn.XLOOKUP(staff[[#This Row],[Rating]],$Q$2:$Q$6,$R$2:$R$6)</f>
        <v>2</v>
      </c>
      <c r="L48"/>
    </row>
    <row r="49" spans="1:12" x14ac:dyDescent="0.25">
      <c r="A49" t="s">
        <v>66</v>
      </c>
      <c r="B49" t="s">
        <v>15</v>
      </c>
      <c r="C49" t="s">
        <v>23</v>
      </c>
      <c r="D49">
        <v>25</v>
      </c>
      <c r="E49" s="2">
        <v>44694</v>
      </c>
      <c r="F49" s="3">
        <v>80700</v>
      </c>
      <c r="G49" t="s">
        <v>10</v>
      </c>
      <c r="H49" s="25" t="s">
        <v>240</v>
      </c>
      <c r="I49" s="4">
        <f ca="1">(TODAY()-staff[[#This Row],[Date Joined]])/365</f>
        <v>1.7123287671232876</v>
      </c>
      <c r="J49" s="20">
        <f ca="1">IF(staff[[#This Row],[Tenure]]&gt;2,3%,2%)*staff[[#This Row],[Salary]]</f>
        <v>1614</v>
      </c>
      <c r="K49" s="25">
        <f>_xlfn.XLOOKUP(staff[[#This Row],[Rating]],$Q$2:$Q$6,$R$2:$R$6)</f>
        <v>4</v>
      </c>
      <c r="L49"/>
    </row>
    <row r="50" spans="1:12" x14ac:dyDescent="0.25">
      <c r="A50" t="s">
        <v>67</v>
      </c>
      <c r="B50" t="s">
        <v>8</v>
      </c>
      <c r="C50" t="s">
        <v>12</v>
      </c>
      <c r="D50">
        <v>19</v>
      </c>
      <c r="E50" s="2">
        <v>44277</v>
      </c>
      <c r="F50" s="3">
        <v>58960</v>
      </c>
      <c r="G50" t="s">
        <v>13</v>
      </c>
      <c r="H50" s="25" t="s">
        <v>240</v>
      </c>
      <c r="I50" s="4">
        <f ca="1">(TODAY()-staff[[#This Row],[Date Joined]])/365</f>
        <v>2.8547945205479452</v>
      </c>
      <c r="J50" s="20">
        <f ca="1">IF(staff[[#This Row],[Tenure]]&gt;2,3%,2%)*staff[[#This Row],[Salary]]</f>
        <v>1768.8</v>
      </c>
      <c r="K50" s="25">
        <f>_xlfn.XLOOKUP(staff[[#This Row],[Rating]],$Q$2:$Q$6,$R$2:$R$6)</f>
        <v>3</v>
      </c>
      <c r="L50"/>
    </row>
    <row r="51" spans="1:12" x14ac:dyDescent="0.25">
      <c r="A51" t="s">
        <v>68</v>
      </c>
      <c r="B51" t="s">
        <v>8</v>
      </c>
      <c r="C51" t="s">
        <v>23</v>
      </c>
      <c r="D51">
        <v>36</v>
      </c>
      <c r="E51" s="2">
        <v>44019</v>
      </c>
      <c r="F51" s="3">
        <v>118840</v>
      </c>
      <c r="G51" t="s">
        <v>13</v>
      </c>
      <c r="H51" s="25" t="s">
        <v>240</v>
      </c>
      <c r="I51" s="4">
        <f ca="1">(TODAY()-staff[[#This Row],[Date Joined]])/365</f>
        <v>3.5616438356164384</v>
      </c>
      <c r="J51" s="20">
        <f ca="1">IF(staff[[#This Row],[Tenure]]&gt;2,3%,2%)*staff[[#This Row],[Salary]]</f>
        <v>3565.2</v>
      </c>
      <c r="K51" s="25">
        <f>_xlfn.XLOOKUP(staff[[#This Row],[Rating]],$Q$2:$Q$6,$R$2:$R$6)</f>
        <v>3</v>
      </c>
      <c r="L51"/>
    </row>
    <row r="52" spans="1:12" x14ac:dyDescent="0.25">
      <c r="A52" t="s">
        <v>69</v>
      </c>
      <c r="B52" t="s">
        <v>8</v>
      </c>
      <c r="C52" t="s">
        <v>17</v>
      </c>
      <c r="D52">
        <v>28</v>
      </c>
      <c r="E52" s="2">
        <v>44041</v>
      </c>
      <c r="F52" s="3">
        <v>48170</v>
      </c>
      <c r="G52" t="s">
        <v>10</v>
      </c>
      <c r="H52" s="25" t="s">
        <v>240</v>
      </c>
      <c r="I52" s="4">
        <f ca="1">(TODAY()-staff[[#This Row],[Date Joined]])/365</f>
        <v>3.5013698630136987</v>
      </c>
      <c r="J52" s="20">
        <f ca="1">IF(staff[[#This Row],[Tenure]]&gt;2,3%,2%)*staff[[#This Row],[Salary]]</f>
        <v>1445.1</v>
      </c>
      <c r="K52" s="25">
        <f>_xlfn.XLOOKUP(staff[[#This Row],[Rating]],$Q$2:$Q$6,$R$2:$R$6)</f>
        <v>4</v>
      </c>
      <c r="L52"/>
    </row>
    <row r="53" spans="1:12" x14ac:dyDescent="0.25">
      <c r="A53" t="s">
        <v>70</v>
      </c>
      <c r="B53" t="s">
        <v>15</v>
      </c>
      <c r="C53" t="s">
        <v>26</v>
      </c>
      <c r="D53">
        <v>32</v>
      </c>
      <c r="E53" s="2">
        <v>44400</v>
      </c>
      <c r="F53" s="3">
        <v>45510</v>
      </c>
      <c r="G53" t="s">
        <v>13</v>
      </c>
      <c r="H53" s="25" t="s">
        <v>240</v>
      </c>
      <c r="I53" s="4">
        <f ca="1">(TODAY()-staff[[#This Row],[Date Joined]])/365</f>
        <v>2.5178082191780824</v>
      </c>
      <c r="J53" s="20">
        <f ca="1">IF(staff[[#This Row],[Tenure]]&gt;2,3%,2%)*staff[[#This Row],[Salary]]</f>
        <v>1365.3</v>
      </c>
      <c r="K53" s="25">
        <f>_xlfn.XLOOKUP(staff[[#This Row],[Rating]],$Q$2:$Q$6,$R$2:$R$6)</f>
        <v>3</v>
      </c>
      <c r="L53"/>
    </row>
    <row r="54" spans="1:12" x14ac:dyDescent="0.25">
      <c r="A54" t="s">
        <v>71</v>
      </c>
      <c r="B54" t="s">
        <v>15</v>
      </c>
      <c r="C54" t="s">
        <v>12</v>
      </c>
      <c r="D54">
        <v>36</v>
      </c>
      <c r="E54" s="2">
        <v>44085</v>
      </c>
      <c r="F54" s="3">
        <v>114890</v>
      </c>
      <c r="G54" t="s">
        <v>13</v>
      </c>
      <c r="H54" s="25" t="s">
        <v>240</v>
      </c>
      <c r="I54" s="4">
        <f ca="1">(TODAY()-staff[[#This Row],[Date Joined]])/365</f>
        <v>3.3808219178082193</v>
      </c>
      <c r="J54" s="20">
        <f ca="1">IF(staff[[#This Row],[Tenure]]&gt;2,3%,2%)*staff[[#This Row],[Salary]]</f>
        <v>3446.7</v>
      </c>
      <c r="K54" s="25">
        <f>_xlfn.XLOOKUP(staff[[#This Row],[Rating]],$Q$2:$Q$6,$R$2:$R$6)</f>
        <v>3</v>
      </c>
      <c r="L54"/>
    </row>
    <row r="55" spans="1:12" x14ac:dyDescent="0.25">
      <c r="A55" t="s">
        <v>72</v>
      </c>
      <c r="B55" t="s">
        <v>8</v>
      </c>
      <c r="C55" t="s">
        <v>23</v>
      </c>
      <c r="D55">
        <v>30</v>
      </c>
      <c r="E55" s="2">
        <v>44850</v>
      </c>
      <c r="F55" s="3">
        <v>69710</v>
      </c>
      <c r="G55" t="s">
        <v>13</v>
      </c>
      <c r="H55" s="25" t="s">
        <v>240</v>
      </c>
      <c r="I55" s="4">
        <f ca="1">(TODAY()-staff[[#This Row],[Date Joined]])/365</f>
        <v>1.284931506849315</v>
      </c>
      <c r="J55" s="20">
        <f ca="1">IF(staff[[#This Row],[Tenure]]&gt;2,3%,2%)*staff[[#This Row],[Salary]]</f>
        <v>1394.2</v>
      </c>
      <c r="K55" s="25">
        <f>_xlfn.XLOOKUP(staff[[#This Row],[Rating]],$Q$2:$Q$6,$R$2:$R$6)</f>
        <v>3</v>
      </c>
      <c r="L55"/>
    </row>
    <row r="56" spans="1:12" x14ac:dyDescent="0.25">
      <c r="A56" t="s">
        <v>73</v>
      </c>
      <c r="B56" t="s">
        <v>8</v>
      </c>
      <c r="C56" t="s">
        <v>17</v>
      </c>
      <c r="D56">
        <v>36</v>
      </c>
      <c r="E56" s="2">
        <v>44333</v>
      </c>
      <c r="F56" s="3">
        <v>71380</v>
      </c>
      <c r="G56" t="s">
        <v>13</v>
      </c>
      <c r="H56" s="25" t="s">
        <v>240</v>
      </c>
      <c r="I56" s="4">
        <f ca="1">(TODAY()-staff[[#This Row],[Date Joined]])/365</f>
        <v>2.7013698630136984</v>
      </c>
      <c r="J56" s="20">
        <f ca="1">IF(staff[[#This Row],[Tenure]]&gt;2,3%,2%)*staff[[#This Row],[Salary]]</f>
        <v>2141.4</v>
      </c>
      <c r="K56" s="25">
        <f>_xlfn.XLOOKUP(staff[[#This Row],[Rating]],$Q$2:$Q$6,$R$2:$R$6)</f>
        <v>3</v>
      </c>
      <c r="L56"/>
    </row>
    <row r="57" spans="1:12" x14ac:dyDescent="0.25">
      <c r="A57" t="s">
        <v>74</v>
      </c>
      <c r="B57" t="s">
        <v>15</v>
      </c>
      <c r="C57" t="s">
        <v>9</v>
      </c>
      <c r="D57">
        <v>38</v>
      </c>
      <c r="E57" s="2">
        <v>44377</v>
      </c>
      <c r="F57" s="3">
        <v>109160</v>
      </c>
      <c r="G57" t="s">
        <v>43</v>
      </c>
      <c r="H57" s="25" t="s">
        <v>240</v>
      </c>
      <c r="I57" s="4">
        <f ca="1">(TODAY()-staff[[#This Row],[Date Joined]])/365</f>
        <v>2.580821917808219</v>
      </c>
      <c r="J57" s="20">
        <f ca="1">IF(staff[[#This Row],[Tenure]]&gt;2,3%,2%)*staff[[#This Row],[Salary]]</f>
        <v>3274.7999999999997</v>
      </c>
      <c r="K57" s="25">
        <f>_xlfn.XLOOKUP(staff[[#This Row],[Rating]],$Q$2:$Q$6,$R$2:$R$6)</f>
        <v>5</v>
      </c>
      <c r="L57"/>
    </row>
    <row r="58" spans="1:12" x14ac:dyDescent="0.25">
      <c r="A58" t="s">
        <v>75</v>
      </c>
      <c r="B58" t="s">
        <v>8</v>
      </c>
      <c r="C58" t="s">
        <v>12</v>
      </c>
      <c r="D58">
        <v>27</v>
      </c>
      <c r="E58" s="2">
        <v>44609</v>
      </c>
      <c r="F58" s="3">
        <v>113280</v>
      </c>
      <c r="G58" t="s">
        <v>49</v>
      </c>
      <c r="H58" s="25" t="s">
        <v>240</v>
      </c>
      <c r="I58" s="4">
        <f ca="1">(TODAY()-staff[[#This Row],[Date Joined]])/365</f>
        <v>1.9452054794520548</v>
      </c>
      <c r="J58" s="20">
        <f ca="1">IF(staff[[#This Row],[Tenure]]&gt;2,3%,2%)*staff[[#This Row],[Salary]]</f>
        <v>2265.6</v>
      </c>
      <c r="K58" s="25">
        <f>_xlfn.XLOOKUP(staff[[#This Row],[Rating]],$Q$2:$Q$6,$R$2:$R$6)</f>
        <v>1</v>
      </c>
      <c r="L58"/>
    </row>
    <row r="59" spans="1:12" x14ac:dyDescent="0.25">
      <c r="A59" t="s">
        <v>76</v>
      </c>
      <c r="B59" t="s">
        <v>8</v>
      </c>
      <c r="C59" t="s">
        <v>23</v>
      </c>
      <c r="D59">
        <v>30</v>
      </c>
      <c r="E59" s="2">
        <v>44273</v>
      </c>
      <c r="F59" s="3">
        <v>69120</v>
      </c>
      <c r="G59" t="s">
        <v>13</v>
      </c>
      <c r="H59" s="25" t="s">
        <v>240</v>
      </c>
      <c r="I59" s="4">
        <f ca="1">(TODAY()-staff[[#This Row],[Date Joined]])/365</f>
        <v>2.8657534246575342</v>
      </c>
      <c r="J59" s="20">
        <f ca="1">IF(staff[[#This Row],[Tenure]]&gt;2,3%,2%)*staff[[#This Row],[Salary]]</f>
        <v>2073.6</v>
      </c>
      <c r="K59" s="25">
        <f>_xlfn.XLOOKUP(staff[[#This Row],[Rating]],$Q$2:$Q$6,$R$2:$R$6)</f>
        <v>3</v>
      </c>
      <c r="L59"/>
    </row>
    <row r="60" spans="1:12" x14ac:dyDescent="0.25">
      <c r="A60" t="s">
        <v>77</v>
      </c>
      <c r="B60" t="s">
        <v>15</v>
      </c>
      <c r="C60" t="s">
        <v>26</v>
      </c>
      <c r="D60">
        <v>37</v>
      </c>
      <c r="E60" s="2">
        <v>44451</v>
      </c>
      <c r="F60" s="3">
        <v>118100</v>
      </c>
      <c r="G60" t="s">
        <v>13</v>
      </c>
      <c r="H60" s="25" t="s">
        <v>240</v>
      </c>
      <c r="I60" s="4">
        <f ca="1">(TODAY()-staff[[#This Row],[Date Joined]])/365</f>
        <v>2.3780821917808219</v>
      </c>
      <c r="J60" s="20">
        <f ca="1">IF(staff[[#This Row],[Tenure]]&gt;2,3%,2%)*staff[[#This Row],[Salary]]</f>
        <v>3543</v>
      </c>
      <c r="K60" s="25">
        <f>_xlfn.XLOOKUP(staff[[#This Row],[Rating]],$Q$2:$Q$6,$R$2:$R$6)</f>
        <v>3</v>
      </c>
      <c r="L60"/>
    </row>
    <row r="61" spans="1:12" x14ac:dyDescent="0.25">
      <c r="A61" t="s">
        <v>78</v>
      </c>
      <c r="B61" t="s">
        <v>15</v>
      </c>
      <c r="C61" t="s">
        <v>12</v>
      </c>
      <c r="D61">
        <v>22</v>
      </c>
      <c r="E61" s="2">
        <v>44450</v>
      </c>
      <c r="F61" s="3">
        <v>76900</v>
      </c>
      <c r="G61" t="s">
        <v>10</v>
      </c>
      <c r="H61" s="25" t="s">
        <v>240</v>
      </c>
      <c r="I61" s="4">
        <f ca="1">(TODAY()-staff[[#This Row],[Date Joined]])/365</f>
        <v>2.3808219178082193</v>
      </c>
      <c r="J61" s="20">
        <f ca="1">IF(staff[[#This Row],[Tenure]]&gt;2,3%,2%)*staff[[#This Row],[Salary]]</f>
        <v>2307</v>
      </c>
      <c r="K61" s="25">
        <f>_xlfn.XLOOKUP(staff[[#This Row],[Rating]],$Q$2:$Q$6,$R$2:$R$6)</f>
        <v>4</v>
      </c>
      <c r="L61"/>
    </row>
    <row r="62" spans="1:12" x14ac:dyDescent="0.25">
      <c r="A62" t="s">
        <v>79</v>
      </c>
      <c r="B62" t="s">
        <v>15</v>
      </c>
      <c r="C62" t="s">
        <v>23</v>
      </c>
      <c r="D62">
        <v>43</v>
      </c>
      <c r="E62" s="2">
        <v>45045</v>
      </c>
      <c r="F62" s="3">
        <v>114870</v>
      </c>
      <c r="G62" t="s">
        <v>13</v>
      </c>
      <c r="H62" s="25" t="s">
        <v>240</v>
      </c>
      <c r="I62" s="4">
        <f ca="1">(TODAY()-staff[[#This Row],[Date Joined]])/365</f>
        <v>0.75068493150684934</v>
      </c>
      <c r="J62" s="20">
        <f ca="1">IF(staff[[#This Row],[Tenure]]&gt;2,3%,2%)*staff[[#This Row],[Salary]]</f>
        <v>2297.4</v>
      </c>
      <c r="K62" s="25">
        <f>_xlfn.XLOOKUP(staff[[#This Row],[Rating]],$Q$2:$Q$6,$R$2:$R$6)</f>
        <v>3</v>
      </c>
      <c r="L62"/>
    </row>
    <row r="63" spans="1:12" x14ac:dyDescent="0.25">
      <c r="A63" t="s">
        <v>80</v>
      </c>
      <c r="B63" t="s">
        <v>211</v>
      </c>
      <c r="C63" t="s">
        <v>23</v>
      </c>
      <c r="D63">
        <v>32</v>
      </c>
      <c r="E63" s="2">
        <v>44774</v>
      </c>
      <c r="F63" s="3">
        <v>91310</v>
      </c>
      <c r="G63" t="s">
        <v>13</v>
      </c>
      <c r="H63" s="25" t="s">
        <v>240</v>
      </c>
      <c r="I63" s="4">
        <f ca="1">(TODAY()-staff[[#This Row],[Date Joined]])/365</f>
        <v>1.4931506849315068</v>
      </c>
      <c r="J63" s="20">
        <f ca="1">IF(staff[[#This Row],[Tenure]]&gt;2,3%,2%)*staff[[#This Row],[Salary]]</f>
        <v>1826.2</v>
      </c>
      <c r="K63" s="25">
        <f>_xlfn.XLOOKUP(staff[[#This Row],[Rating]],$Q$2:$Q$6,$R$2:$R$6)</f>
        <v>3</v>
      </c>
      <c r="L63"/>
    </row>
    <row r="64" spans="1:12" x14ac:dyDescent="0.25">
      <c r="A64" t="s">
        <v>81</v>
      </c>
      <c r="B64" t="s">
        <v>15</v>
      </c>
      <c r="C64" t="s">
        <v>12</v>
      </c>
      <c r="D64">
        <v>28</v>
      </c>
      <c r="E64" s="2">
        <v>44486</v>
      </c>
      <c r="F64" s="3">
        <v>104770</v>
      </c>
      <c r="G64" t="s">
        <v>13</v>
      </c>
      <c r="H64" s="25" t="s">
        <v>240</v>
      </c>
      <c r="I64" s="4">
        <f ca="1">(TODAY()-staff[[#This Row],[Date Joined]])/365</f>
        <v>2.2821917808219179</v>
      </c>
      <c r="J64" s="20">
        <f ca="1">IF(staff[[#This Row],[Tenure]]&gt;2,3%,2%)*staff[[#This Row],[Salary]]</f>
        <v>3143.1</v>
      </c>
      <c r="K64" s="25">
        <f>_xlfn.XLOOKUP(staff[[#This Row],[Rating]],$Q$2:$Q$6,$R$2:$R$6)</f>
        <v>3</v>
      </c>
      <c r="L64"/>
    </row>
    <row r="65" spans="1:12" x14ac:dyDescent="0.25">
      <c r="A65" t="s">
        <v>82</v>
      </c>
      <c r="B65" t="s">
        <v>8</v>
      </c>
      <c r="C65" t="s">
        <v>9</v>
      </c>
      <c r="D65">
        <v>27</v>
      </c>
      <c r="E65" s="2">
        <v>44134</v>
      </c>
      <c r="F65" s="3">
        <v>54970</v>
      </c>
      <c r="G65" t="s">
        <v>13</v>
      </c>
      <c r="H65" s="25" t="s">
        <v>240</v>
      </c>
      <c r="I65" s="4">
        <f ca="1">(TODAY()-staff[[#This Row],[Date Joined]])/365</f>
        <v>3.2465753424657535</v>
      </c>
      <c r="J65" s="20">
        <f ca="1">IF(staff[[#This Row],[Tenure]]&gt;2,3%,2%)*staff[[#This Row],[Salary]]</f>
        <v>1649.1</v>
      </c>
      <c r="K65" s="25">
        <f>_xlfn.XLOOKUP(staff[[#This Row],[Rating]],$Q$2:$Q$6,$R$2:$R$6)</f>
        <v>3</v>
      </c>
      <c r="L65"/>
    </row>
    <row r="66" spans="1:12" x14ac:dyDescent="0.25">
      <c r="A66" t="s">
        <v>83</v>
      </c>
      <c r="B66" t="s">
        <v>211</v>
      </c>
      <c r="C66" t="s">
        <v>23</v>
      </c>
      <c r="D66">
        <v>26</v>
      </c>
      <c r="E66" s="2">
        <v>44271</v>
      </c>
      <c r="F66" s="3">
        <v>90700</v>
      </c>
      <c r="G66" t="s">
        <v>10</v>
      </c>
      <c r="H66" s="25" t="s">
        <v>240</v>
      </c>
      <c r="I66" s="4">
        <f ca="1">(TODAY()-staff[[#This Row],[Date Joined]])/365</f>
        <v>2.871232876712329</v>
      </c>
      <c r="J66" s="20">
        <f ca="1">IF(staff[[#This Row],[Tenure]]&gt;2,3%,2%)*staff[[#This Row],[Salary]]</f>
        <v>2721</v>
      </c>
      <c r="K66" s="25">
        <f>_xlfn.XLOOKUP(staff[[#This Row],[Rating]],$Q$2:$Q$6,$R$2:$R$6)</f>
        <v>4</v>
      </c>
      <c r="L66"/>
    </row>
    <row r="67" spans="1:12" x14ac:dyDescent="0.25">
      <c r="A67" t="s">
        <v>84</v>
      </c>
      <c r="B67" t="s">
        <v>15</v>
      </c>
      <c r="C67" t="s">
        <v>9</v>
      </c>
      <c r="D67">
        <v>38</v>
      </c>
      <c r="E67" s="2">
        <v>44329</v>
      </c>
      <c r="F67" s="3">
        <v>56870</v>
      </c>
      <c r="G67" t="s">
        <v>10</v>
      </c>
      <c r="H67" s="25" t="s">
        <v>240</v>
      </c>
      <c r="I67" s="4">
        <f ca="1">(TODAY()-staff[[#This Row],[Date Joined]])/365</f>
        <v>2.7123287671232879</v>
      </c>
      <c r="J67" s="20">
        <f ca="1">IF(staff[[#This Row],[Tenure]]&gt;2,3%,2%)*staff[[#This Row],[Salary]]</f>
        <v>1706.1</v>
      </c>
      <c r="K67" s="25">
        <f>_xlfn.XLOOKUP(staff[[#This Row],[Rating]],$Q$2:$Q$6,$R$2:$R$6)</f>
        <v>4</v>
      </c>
      <c r="L67"/>
    </row>
    <row r="68" spans="1:12" x14ac:dyDescent="0.25">
      <c r="A68" t="s">
        <v>85</v>
      </c>
      <c r="B68" t="s">
        <v>15</v>
      </c>
      <c r="C68" t="s">
        <v>9</v>
      </c>
      <c r="D68">
        <v>25</v>
      </c>
      <c r="E68" s="2">
        <v>44205</v>
      </c>
      <c r="F68" s="3">
        <v>92700</v>
      </c>
      <c r="G68" t="s">
        <v>13</v>
      </c>
      <c r="H68" s="25" t="s">
        <v>240</v>
      </c>
      <c r="I68" s="4">
        <f ca="1">(TODAY()-staff[[#This Row],[Date Joined]])/365</f>
        <v>3.0520547945205481</v>
      </c>
      <c r="J68" s="20">
        <f ca="1">IF(staff[[#This Row],[Tenure]]&gt;2,3%,2%)*staff[[#This Row],[Salary]]</f>
        <v>2781</v>
      </c>
      <c r="K68" s="25">
        <f>_xlfn.XLOOKUP(staff[[#This Row],[Rating]],$Q$2:$Q$6,$R$2:$R$6)</f>
        <v>3</v>
      </c>
      <c r="L68"/>
    </row>
    <row r="69" spans="1:12" x14ac:dyDescent="0.25">
      <c r="A69" t="s">
        <v>86</v>
      </c>
      <c r="B69" t="s">
        <v>15</v>
      </c>
      <c r="C69" t="s">
        <v>17</v>
      </c>
      <c r="D69">
        <v>21</v>
      </c>
      <c r="E69" s="2">
        <v>44317</v>
      </c>
      <c r="F69" s="3">
        <v>65920</v>
      </c>
      <c r="G69" t="s">
        <v>13</v>
      </c>
      <c r="H69" s="25" t="s">
        <v>240</v>
      </c>
      <c r="I69" s="4">
        <f ca="1">(TODAY()-staff[[#This Row],[Date Joined]])/365</f>
        <v>2.7452054794520548</v>
      </c>
      <c r="J69" s="20">
        <f ca="1">IF(staff[[#This Row],[Tenure]]&gt;2,3%,2%)*staff[[#This Row],[Salary]]</f>
        <v>1977.6</v>
      </c>
      <c r="K69" s="25">
        <f>_xlfn.XLOOKUP(staff[[#This Row],[Rating]],$Q$2:$Q$6,$R$2:$R$6)</f>
        <v>3</v>
      </c>
      <c r="L69"/>
    </row>
    <row r="70" spans="1:12" x14ac:dyDescent="0.25">
      <c r="A70" t="s">
        <v>87</v>
      </c>
      <c r="B70" t="s">
        <v>8</v>
      </c>
      <c r="C70" t="s">
        <v>12</v>
      </c>
      <c r="D70">
        <v>26</v>
      </c>
      <c r="E70" s="2">
        <v>44225</v>
      </c>
      <c r="F70" s="3">
        <v>47360</v>
      </c>
      <c r="G70" t="s">
        <v>13</v>
      </c>
      <c r="H70" s="25" t="s">
        <v>240</v>
      </c>
      <c r="I70" s="4">
        <f ca="1">(TODAY()-staff[[#This Row],[Date Joined]])/365</f>
        <v>2.9972602739726026</v>
      </c>
      <c r="J70" s="20">
        <f ca="1">IF(staff[[#This Row],[Tenure]]&gt;2,3%,2%)*staff[[#This Row],[Salary]]</f>
        <v>1420.8</v>
      </c>
      <c r="K70" s="25">
        <f>_xlfn.XLOOKUP(staff[[#This Row],[Rating]],$Q$2:$Q$6,$R$2:$R$6)</f>
        <v>3</v>
      </c>
      <c r="L70"/>
    </row>
    <row r="71" spans="1:12" x14ac:dyDescent="0.25">
      <c r="A71" t="s">
        <v>88</v>
      </c>
      <c r="B71" t="s">
        <v>8</v>
      </c>
      <c r="C71" t="s">
        <v>12</v>
      </c>
      <c r="D71">
        <v>30</v>
      </c>
      <c r="E71" s="2">
        <v>44666</v>
      </c>
      <c r="F71" s="3">
        <v>60570</v>
      </c>
      <c r="G71" t="s">
        <v>13</v>
      </c>
      <c r="H71" s="25" t="s">
        <v>240</v>
      </c>
      <c r="I71" s="4">
        <f ca="1">(TODAY()-staff[[#This Row],[Date Joined]])/365</f>
        <v>1.789041095890411</v>
      </c>
      <c r="J71" s="20">
        <f ca="1">IF(staff[[#This Row],[Tenure]]&gt;2,3%,2%)*staff[[#This Row],[Salary]]</f>
        <v>1211.4000000000001</v>
      </c>
      <c r="K71" s="25">
        <f>_xlfn.XLOOKUP(staff[[#This Row],[Rating]],$Q$2:$Q$6,$R$2:$R$6)</f>
        <v>3</v>
      </c>
      <c r="L71"/>
    </row>
    <row r="72" spans="1:12" x14ac:dyDescent="0.25">
      <c r="A72" t="s">
        <v>89</v>
      </c>
      <c r="B72" t="s">
        <v>15</v>
      </c>
      <c r="C72" t="s">
        <v>12</v>
      </c>
      <c r="D72">
        <v>28</v>
      </c>
      <c r="E72" s="2">
        <v>44649</v>
      </c>
      <c r="F72" s="3">
        <v>104120</v>
      </c>
      <c r="G72" t="s">
        <v>13</v>
      </c>
      <c r="H72" s="25" t="s">
        <v>240</v>
      </c>
      <c r="I72" s="4">
        <f ca="1">(TODAY()-staff[[#This Row],[Date Joined]])/365</f>
        <v>1.8356164383561644</v>
      </c>
      <c r="J72" s="20">
        <f ca="1">IF(staff[[#This Row],[Tenure]]&gt;2,3%,2%)*staff[[#This Row],[Salary]]</f>
        <v>2082.4</v>
      </c>
      <c r="K72" s="25">
        <f>_xlfn.XLOOKUP(staff[[#This Row],[Rating]],$Q$2:$Q$6,$R$2:$R$6)</f>
        <v>3</v>
      </c>
      <c r="L72"/>
    </row>
    <row r="73" spans="1:12" x14ac:dyDescent="0.25">
      <c r="A73" t="s">
        <v>90</v>
      </c>
      <c r="B73" t="s">
        <v>8</v>
      </c>
      <c r="C73" t="s">
        <v>23</v>
      </c>
      <c r="D73">
        <v>37</v>
      </c>
      <c r="E73" s="2">
        <v>44338</v>
      </c>
      <c r="F73" s="3">
        <v>88050</v>
      </c>
      <c r="G73" t="s">
        <v>18</v>
      </c>
      <c r="H73" s="25" t="s">
        <v>240</v>
      </c>
      <c r="I73" s="4">
        <f ca="1">(TODAY()-staff[[#This Row],[Date Joined]])/365</f>
        <v>2.6876712328767125</v>
      </c>
      <c r="J73" s="20">
        <f ca="1">IF(staff[[#This Row],[Tenure]]&gt;2,3%,2%)*staff[[#This Row],[Salary]]</f>
        <v>2641.5</v>
      </c>
      <c r="K73" s="25">
        <f>_xlfn.XLOOKUP(staff[[#This Row],[Rating]],$Q$2:$Q$6,$R$2:$R$6)</f>
        <v>2</v>
      </c>
      <c r="L73"/>
    </row>
    <row r="74" spans="1:12" x14ac:dyDescent="0.25">
      <c r="A74" t="s">
        <v>91</v>
      </c>
      <c r="B74" t="s">
        <v>8</v>
      </c>
      <c r="C74" t="s">
        <v>23</v>
      </c>
      <c r="D74">
        <v>24</v>
      </c>
      <c r="E74" s="2">
        <v>44686</v>
      </c>
      <c r="F74" s="3">
        <v>100420</v>
      </c>
      <c r="G74" t="s">
        <v>13</v>
      </c>
      <c r="H74" s="25" t="s">
        <v>240</v>
      </c>
      <c r="I74" s="4">
        <f ca="1">(TODAY()-staff[[#This Row],[Date Joined]])/365</f>
        <v>1.7342465753424658</v>
      </c>
      <c r="J74" s="20">
        <f ca="1">IF(staff[[#This Row],[Tenure]]&gt;2,3%,2%)*staff[[#This Row],[Salary]]</f>
        <v>2008.4</v>
      </c>
      <c r="K74" s="25">
        <f>_xlfn.XLOOKUP(staff[[#This Row],[Rating]],$Q$2:$Q$6,$R$2:$R$6)</f>
        <v>3</v>
      </c>
      <c r="L74"/>
    </row>
    <row r="75" spans="1:12" x14ac:dyDescent="0.25">
      <c r="A75" t="s">
        <v>92</v>
      </c>
      <c r="B75" t="s">
        <v>15</v>
      </c>
      <c r="C75" t="s">
        <v>12</v>
      </c>
      <c r="D75">
        <v>30</v>
      </c>
      <c r="E75" s="2">
        <v>44850</v>
      </c>
      <c r="F75" s="3">
        <v>114180</v>
      </c>
      <c r="G75" t="s">
        <v>13</v>
      </c>
      <c r="H75" s="25" t="s">
        <v>240</v>
      </c>
      <c r="I75" s="4">
        <f ca="1">(TODAY()-staff[[#This Row],[Date Joined]])/365</f>
        <v>1.284931506849315</v>
      </c>
      <c r="J75" s="20">
        <f ca="1">IF(staff[[#This Row],[Tenure]]&gt;2,3%,2%)*staff[[#This Row],[Salary]]</f>
        <v>2283.6</v>
      </c>
      <c r="K75" s="25">
        <f>_xlfn.XLOOKUP(staff[[#This Row],[Rating]],$Q$2:$Q$6,$R$2:$R$6)</f>
        <v>3</v>
      </c>
      <c r="L75"/>
    </row>
    <row r="76" spans="1:12" x14ac:dyDescent="0.25">
      <c r="A76" t="s">
        <v>93</v>
      </c>
      <c r="B76" t="s">
        <v>15</v>
      </c>
      <c r="C76" t="s">
        <v>23</v>
      </c>
      <c r="D76">
        <v>21</v>
      </c>
      <c r="E76" s="2">
        <v>44678</v>
      </c>
      <c r="F76" s="3">
        <v>33920</v>
      </c>
      <c r="G76" t="s">
        <v>13</v>
      </c>
      <c r="H76" s="25" t="s">
        <v>240</v>
      </c>
      <c r="I76" s="4">
        <f ca="1">(TODAY()-staff[[#This Row],[Date Joined]])/365</f>
        <v>1.7561643835616438</v>
      </c>
      <c r="J76" s="20">
        <f ca="1">IF(staff[[#This Row],[Tenure]]&gt;2,3%,2%)*staff[[#This Row],[Salary]]</f>
        <v>678.4</v>
      </c>
      <c r="K76" s="25">
        <f>_xlfn.XLOOKUP(staff[[#This Row],[Rating]],$Q$2:$Q$6,$R$2:$R$6)</f>
        <v>3</v>
      </c>
      <c r="L76"/>
    </row>
    <row r="77" spans="1:12" x14ac:dyDescent="0.25">
      <c r="A77" t="s">
        <v>94</v>
      </c>
      <c r="B77" t="s">
        <v>8</v>
      </c>
      <c r="C77" t="s">
        <v>12</v>
      </c>
      <c r="D77">
        <v>23</v>
      </c>
      <c r="E77" s="2">
        <v>44440</v>
      </c>
      <c r="F77" s="3">
        <v>106460</v>
      </c>
      <c r="G77" t="s">
        <v>13</v>
      </c>
      <c r="H77" s="25" t="s">
        <v>240</v>
      </c>
      <c r="I77" s="4">
        <f ca="1">(TODAY()-staff[[#This Row],[Date Joined]])/365</f>
        <v>2.408219178082192</v>
      </c>
      <c r="J77" s="20">
        <f ca="1">IF(staff[[#This Row],[Tenure]]&gt;2,3%,2%)*staff[[#This Row],[Salary]]</f>
        <v>3193.7999999999997</v>
      </c>
      <c r="K77" s="25">
        <f>_xlfn.XLOOKUP(staff[[#This Row],[Rating]],$Q$2:$Q$6,$R$2:$R$6)</f>
        <v>3</v>
      </c>
      <c r="L77"/>
    </row>
    <row r="78" spans="1:12" x14ac:dyDescent="0.25">
      <c r="A78" t="s">
        <v>95</v>
      </c>
      <c r="B78" t="s">
        <v>8</v>
      </c>
      <c r="C78" t="s">
        <v>12</v>
      </c>
      <c r="D78">
        <v>35</v>
      </c>
      <c r="E78" s="2">
        <v>44727</v>
      </c>
      <c r="F78" s="3">
        <v>40400</v>
      </c>
      <c r="G78" t="s">
        <v>13</v>
      </c>
      <c r="H78" s="25" t="s">
        <v>240</v>
      </c>
      <c r="I78" s="4">
        <f ca="1">(TODAY()-staff[[#This Row],[Date Joined]])/365</f>
        <v>1.6219178082191781</v>
      </c>
      <c r="J78" s="20">
        <f ca="1">IF(staff[[#This Row],[Tenure]]&gt;2,3%,2%)*staff[[#This Row],[Salary]]</f>
        <v>808</v>
      </c>
      <c r="K78" s="25">
        <f>_xlfn.XLOOKUP(staff[[#This Row],[Rating]],$Q$2:$Q$6,$R$2:$R$6)</f>
        <v>3</v>
      </c>
      <c r="L78"/>
    </row>
    <row r="79" spans="1:12" x14ac:dyDescent="0.25">
      <c r="A79" t="s">
        <v>96</v>
      </c>
      <c r="B79" t="s">
        <v>8</v>
      </c>
      <c r="C79" t="s">
        <v>17</v>
      </c>
      <c r="D79">
        <v>27</v>
      </c>
      <c r="E79" s="2">
        <v>44236</v>
      </c>
      <c r="F79" s="3">
        <v>91650</v>
      </c>
      <c r="G79" t="s">
        <v>10</v>
      </c>
      <c r="H79" s="25" t="s">
        <v>240</v>
      </c>
      <c r="I79" s="4">
        <f ca="1">(TODAY()-staff[[#This Row],[Date Joined]])/365</f>
        <v>2.967123287671233</v>
      </c>
      <c r="J79" s="20">
        <f ca="1">IF(staff[[#This Row],[Tenure]]&gt;2,3%,2%)*staff[[#This Row],[Salary]]</f>
        <v>2749.5</v>
      </c>
      <c r="K79" s="25">
        <f>_xlfn.XLOOKUP(staff[[#This Row],[Rating]],$Q$2:$Q$6,$R$2:$R$6)</f>
        <v>4</v>
      </c>
      <c r="L79"/>
    </row>
    <row r="80" spans="1:12" x14ac:dyDescent="0.25">
      <c r="A80" t="s">
        <v>97</v>
      </c>
      <c r="B80" t="s">
        <v>8</v>
      </c>
      <c r="C80" t="s">
        <v>9</v>
      </c>
      <c r="D80">
        <v>43</v>
      </c>
      <c r="E80" s="2">
        <v>44620</v>
      </c>
      <c r="F80" s="3">
        <v>36040</v>
      </c>
      <c r="G80" t="s">
        <v>13</v>
      </c>
      <c r="H80" s="25" t="s">
        <v>240</v>
      </c>
      <c r="I80" s="4">
        <f ca="1">(TODAY()-staff[[#This Row],[Date Joined]])/365</f>
        <v>1.9150684931506849</v>
      </c>
      <c r="J80" s="20">
        <f ca="1">IF(staff[[#This Row],[Tenure]]&gt;2,3%,2%)*staff[[#This Row],[Salary]]</f>
        <v>720.80000000000007</v>
      </c>
      <c r="K80" s="25">
        <f>_xlfn.XLOOKUP(staff[[#This Row],[Rating]],$Q$2:$Q$6,$R$2:$R$6)</f>
        <v>3</v>
      </c>
      <c r="L80"/>
    </row>
    <row r="81" spans="1:12" x14ac:dyDescent="0.25">
      <c r="A81" t="s">
        <v>98</v>
      </c>
      <c r="B81" t="s">
        <v>15</v>
      </c>
      <c r="C81" t="s">
        <v>23</v>
      </c>
      <c r="D81">
        <v>40</v>
      </c>
      <c r="E81" s="2">
        <v>44381</v>
      </c>
      <c r="F81" s="3">
        <v>104410</v>
      </c>
      <c r="G81" t="s">
        <v>13</v>
      </c>
      <c r="H81" s="25" t="s">
        <v>240</v>
      </c>
      <c r="I81" s="4">
        <f ca="1">(TODAY()-staff[[#This Row],[Date Joined]])/365</f>
        <v>2.56986301369863</v>
      </c>
      <c r="J81" s="20">
        <f ca="1">IF(staff[[#This Row],[Tenure]]&gt;2,3%,2%)*staff[[#This Row],[Salary]]</f>
        <v>3132.2999999999997</v>
      </c>
      <c r="K81" s="25">
        <f>_xlfn.XLOOKUP(staff[[#This Row],[Rating]],$Q$2:$Q$6,$R$2:$R$6)</f>
        <v>3</v>
      </c>
      <c r="L81"/>
    </row>
    <row r="82" spans="1:12" x14ac:dyDescent="0.25">
      <c r="A82" t="s">
        <v>99</v>
      </c>
      <c r="B82" t="s">
        <v>8</v>
      </c>
      <c r="C82" t="s">
        <v>17</v>
      </c>
      <c r="D82">
        <v>30</v>
      </c>
      <c r="E82" s="2">
        <v>44606</v>
      </c>
      <c r="F82" s="3">
        <v>96800</v>
      </c>
      <c r="G82" t="s">
        <v>13</v>
      </c>
      <c r="H82" s="25" t="s">
        <v>240</v>
      </c>
      <c r="I82" s="4">
        <f ca="1">(TODAY()-staff[[#This Row],[Date Joined]])/365</f>
        <v>1.9534246575342467</v>
      </c>
      <c r="J82" s="20">
        <f ca="1">IF(staff[[#This Row],[Tenure]]&gt;2,3%,2%)*staff[[#This Row],[Salary]]</f>
        <v>1936</v>
      </c>
      <c r="K82" s="25">
        <f>_xlfn.XLOOKUP(staff[[#This Row],[Rating]],$Q$2:$Q$6,$R$2:$R$6)</f>
        <v>3</v>
      </c>
      <c r="L82"/>
    </row>
    <row r="83" spans="1:12" x14ac:dyDescent="0.25">
      <c r="A83" t="s">
        <v>100</v>
      </c>
      <c r="B83" t="s">
        <v>15</v>
      </c>
      <c r="C83" t="s">
        <v>17</v>
      </c>
      <c r="D83">
        <v>34</v>
      </c>
      <c r="E83" s="2">
        <v>44459</v>
      </c>
      <c r="F83" s="3">
        <v>85000</v>
      </c>
      <c r="G83" t="s">
        <v>13</v>
      </c>
      <c r="H83" s="25" t="s">
        <v>240</v>
      </c>
      <c r="I83" s="4">
        <f ca="1">(TODAY()-staff[[#This Row],[Date Joined]])/365</f>
        <v>2.3561643835616439</v>
      </c>
      <c r="J83" s="20">
        <f ca="1">IF(staff[[#This Row],[Tenure]]&gt;2,3%,2%)*staff[[#This Row],[Salary]]</f>
        <v>2550</v>
      </c>
      <c r="K83" s="25">
        <f>_xlfn.XLOOKUP(staff[[#This Row],[Rating]],$Q$2:$Q$6,$R$2:$R$6)</f>
        <v>3</v>
      </c>
      <c r="L83"/>
    </row>
    <row r="84" spans="1:12" x14ac:dyDescent="0.25">
      <c r="A84" t="s">
        <v>101</v>
      </c>
      <c r="B84" t="s">
        <v>8</v>
      </c>
      <c r="C84" t="s">
        <v>9</v>
      </c>
      <c r="D84">
        <v>28</v>
      </c>
      <c r="E84" s="2">
        <v>44820</v>
      </c>
      <c r="F84" s="3">
        <v>43510</v>
      </c>
      <c r="G84" t="s">
        <v>49</v>
      </c>
      <c r="H84" s="25" t="s">
        <v>240</v>
      </c>
      <c r="I84" s="4">
        <f ca="1">(TODAY()-staff[[#This Row],[Date Joined]])/365</f>
        <v>1.3671232876712329</v>
      </c>
      <c r="J84" s="20">
        <f ca="1">IF(staff[[#This Row],[Tenure]]&gt;2,3%,2%)*staff[[#This Row],[Salary]]</f>
        <v>870.2</v>
      </c>
      <c r="K84" s="25">
        <f>_xlfn.XLOOKUP(staff[[#This Row],[Rating]],$Q$2:$Q$6,$R$2:$R$6)</f>
        <v>1</v>
      </c>
      <c r="L84"/>
    </row>
    <row r="85" spans="1:12" x14ac:dyDescent="0.25">
      <c r="A85" t="s">
        <v>102</v>
      </c>
      <c r="B85" t="s">
        <v>8</v>
      </c>
      <c r="C85" t="s">
        <v>17</v>
      </c>
      <c r="D85">
        <v>33</v>
      </c>
      <c r="E85" s="2">
        <v>44243</v>
      </c>
      <c r="F85" s="3">
        <v>59430</v>
      </c>
      <c r="G85" t="s">
        <v>13</v>
      </c>
      <c r="H85" s="25" t="s">
        <v>240</v>
      </c>
      <c r="I85" s="4">
        <f ca="1">(TODAY()-staff[[#This Row],[Date Joined]])/365</f>
        <v>2.9479452054794519</v>
      </c>
      <c r="J85" s="20">
        <f ca="1">IF(staff[[#This Row],[Tenure]]&gt;2,3%,2%)*staff[[#This Row],[Salary]]</f>
        <v>1782.8999999999999</v>
      </c>
      <c r="K85" s="25">
        <f>_xlfn.XLOOKUP(staff[[#This Row],[Rating]],$Q$2:$Q$6,$R$2:$R$6)</f>
        <v>3</v>
      </c>
      <c r="L85"/>
    </row>
    <row r="86" spans="1:12" x14ac:dyDescent="0.25">
      <c r="A86" t="s">
        <v>103</v>
      </c>
      <c r="B86" t="s">
        <v>15</v>
      </c>
      <c r="C86" t="s">
        <v>17</v>
      </c>
      <c r="D86">
        <v>33</v>
      </c>
      <c r="E86" s="2">
        <v>44067</v>
      </c>
      <c r="F86" s="3">
        <v>65360</v>
      </c>
      <c r="G86" t="s">
        <v>13</v>
      </c>
      <c r="H86" s="25" t="s">
        <v>240</v>
      </c>
      <c r="I86" s="4">
        <f ca="1">(TODAY()-staff[[#This Row],[Date Joined]])/365</f>
        <v>3.43013698630137</v>
      </c>
      <c r="J86" s="20">
        <f ca="1">IF(staff[[#This Row],[Tenure]]&gt;2,3%,2%)*staff[[#This Row],[Salary]]</f>
        <v>1960.8</v>
      </c>
      <c r="K86" s="25">
        <f>_xlfn.XLOOKUP(staff[[#This Row],[Rating]],$Q$2:$Q$6,$R$2:$R$6)</f>
        <v>3</v>
      </c>
      <c r="L86"/>
    </row>
    <row r="87" spans="1:12" x14ac:dyDescent="0.25">
      <c r="A87" t="s">
        <v>104</v>
      </c>
      <c r="B87" t="s">
        <v>15</v>
      </c>
      <c r="C87" t="s">
        <v>12</v>
      </c>
      <c r="D87">
        <v>32</v>
      </c>
      <c r="E87" s="2">
        <v>44611</v>
      </c>
      <c r="F87" s="3">
        <v>41570</v>
      </c>
      <c r="G87" t="s">
        <v>13</v>
      </c>
      <c r="H87" s="25" t="s">
        <v>240</v>
      </c>
      <c r="I87" s="4">
        <f ca="1">(TODAY()-staff[[#This Row],[Date Joined]])/365</f>
        <v>1.9397260273972603</v>
      </c>
      <c r="J87" s="20">
        <f ca="1">IF(staff[[#This Row],[Tenure]]&gt;2,3%,2%)*staff[[#This Row],[Salary]]</f>
        <v>831.4</v>
      </c>
      <c r="K87" s="25">
        <f>_xlfn.XLOOKUP(staff[[#This Row],[Rating]],$Q$2:$Q$6,$R$2:$R$6)</f>
        <v>3</v>
      </c>
      <c r="L87"/>
    </row>
    <row r="88" spans="1:12" x14ac:dyDescent="0.25">
      <c r="A88" t="s">
        <v>105</v>
      </c>
      <c r="B88" t="s">
        <v>15</v>
      </c>
      <c r="C88" t="s">
        <v>23</v>
      </c>
      <c r="D88">
        <v>33</v>
      </c>
      <c r="E88" s="2">
        <v>44312</v>
      </c>
      <c r="F88" s="3">
        <v>75280</v>
      </c>
      <c r="G88" t="s">
        <v>13</v>
      </c>
      <c r="H88" s="25" t="s">
        <v>240</v>
      </c>
      <c r="I88" s="4">
        <f ca="1">(TODAY()-staff[[#This Row],[Date Joined]])/365</f>
        <v>2.7589041095890412</v>
      </c>
      <c r="J88" s="20">
        <f ca="1">IF(staff[[#This Row],[Tenure]]&gt;2,3%,2%)*staff[[#This Row],[Salary]]</f>
        <v>2258.4</v>
      </c>
      <c r="K88" s="25">
        <f>_xlfn.XLOOKUP(staff[[#This Row],[Rating]],$Q$2:$Q$6,$R$2:$R$6)</f>
        <v>3</v>
      </c>
      <c r="L88"/>
    </row>
    <row r="89" spans="1:12" x14ac:dyDescent="0.25">
      <c r="A89" t="s">
        <v>106</v>
      </c>
      <c r="B89" t="s">
        <v>8</v>
      </c>
      <c r="C89" t="s">
        <v>9</v>
      </c>
      <c r="D89">
        <v>33</v>
      </c>
      <c r="E89" s="2">
        <v>44385</v>
      </c>
      <c r="F89" s="3">
        <v>74550</v>
      </c>
      <c r="G89" t="s">
        <v>13</v>
      </c>
      <c r="H89" s="25" t="s">
        <v>240</v>
      </c>
      <c r="I89" s="4">
        <f ca="1">(TODAY()-staff[[#This Row],[Date Joined]])/365</f>
        <v>2.558904109589041</v>
      </c>
      <c r="J89" s="20">
        <f ca="1">IF(staff[[#This Row],[Tenure]]&gt;2,3%,2%)*staff[[#This Row],[Salary]]</f>
        <v>2236.5</v>
      </c>
      <c r="K89" s="25">
        <f>_xlfn.XLOOKUP(staff[[#This Row],[Rating]],$Q$2:$Q$6,$R$2:$R$6)</f>
        <v>3</v>
      </c>
      <c r="L89"/>
    </row>
    <row r="90" spans="1:12" x14ac:dyDescent="0.25">
      <c r="A90" t="s">
        <v>107</v>
      </c>
      <c r="B90" t="s">
        <v>8</v>
      </c>
      <c r="C90" t="s">
        <v>12</v>
      </c>
      <c r="D90">
        <v>30</v>
      </c>
      <c r="E90" s="2">
        <v>44701</v>
      </c>
      <c r="F90" s="3">
        <v>67950</v>
      </c>
      <c r="G90" t="s">
        <v>13</v>
      </c>
      <c r="H90" s="25" t="s">
        <v>240</v>
      </c>
      <c r="I90" s="4">
        <f ca="1">(TODAY()-staff[[#This Row],[Date Joined]])/365</f>
        <v>1.6931506849315068</v>
      </c>
      <c r="J90" s="20">
        <f ca="1">IF(staff[[#This Row],[Tenure]]&gt;2,3%,2%)*staff[[#This Row],[Salary]]</f>
        <v>1359</v>
      </c>
      <c r="K90" s="25">
        <f>_xlfn.XLOOKUP(staff[[#This Row],[Rating]],$Q$2:$Q$6,$R$2:$R$6)</f>
        <v>3</v>
      </c>
      <c r="L90"/>
    </row>
    <row r="91" spans="1:12" x14ac:dyDescent="0.25">
      <c r="A91" t="s">
        <v>108</v>
      </c>
      <c r="B91" t="s">
        <v>8</v>
      </c>
      <c r="C91" t="s">
        <v>17</v>
      </c>
      <c r="D91">
        <v>42</v>
      </c>
      <c r="E91" s="2">
        <v>44731</v>
      </c>
      <c r="F91" s="3">
        <v>70270</v>
      </c>
      <c r="G91" t="s">
        <v>18</v>
      </c>
      <c r="H91" s="25" t="s">
        <v>240</v>
      </c>
      <c r="I91" s="4">
        <f ca="1">(TODAY()-staff[[#This Row],[Date Joined]])/365</f>
        <v>1.6109589041095891</v>
      </c>
      <c r="J91" s="20">
        <f ca="1">IF(staff[[#This Row],[Tenure]]&gt;2,3%,2%)*staff[[#This Row],[Salary]]</f>
        <v>1405.4</v>
      </c>
      <c r="K91" s="25">
        <f>_xlfn.XLOOKUP(staff[[#This Row],[Rating]],$Q$2:$Q$6,$R$2:$R$6)</f>
        <v>2</v>
      </c>
      <c r="L91"/>
    </row>
    <row r="92" spans="1:12" x14ac:dyDescent="0.25">
      <c r="A92" t="s">
        <v>109</v>
      </c>
      <c r="B92" t="s">
        <v>8</v>
      </c>
      <c r="C92" t="s">
        <v>12</v>
      </c>
      <c r="D92">
        <v>26</v>
      </c>
      <c r="E92" s="2">
        <v>44411</v>
      </c>
      <c r="F92" s="3">
        <v>53540</v>
      </c>
      <c r="G92" t="s">
        <v>13</v>
      </c>
      <c r="H92" s="25" t="s">
        <v>240</v>
      </c>
      <c r="I92" s="4">
        <f ca="1">(TODAY()-staff[[#This Row],[Date Joined]])/365</f>
        <v>2.4876712328767123</v>
      </c>
      <c r="J92" s="20">
        <f ca="1">IF(staff[[#This Row],[Tenure]]&gt;2,3%,2%)*staff[[#This Row],[Salary]]</f>
        <v>1606.2</v>
      </c>
      <c r="K92" s="25">
        <f>_xlfn.XLOOKUP(staff[[#This Row],[Rating]],$Q$2:$Q$6,$R$2:$R$6)</f>
        <v>3</v>
      </c>
      <c r="L92"/>
    </row>
    <row r="93" spans="1:12" x14ac:dyDescent="0.25">
      <c r="A93" t="s">
        <v>111</v>
      </c>
      <c r="B93" t="s">
        <v>8</v>
      </c>
      <c r="C93" t="s">
        <v>23</v>
      </c>
      <c r="D93">
        <v>20</v>
      </c>
      <c r="E93" s="2">
        <v>44122</v>
      </c>
      <c r="F93" s="3">
        <v>112650</v>
      </c>
      <c r="G93" t="s">
        <v>13</v>
      </c>
      <c r="H93" s="25" t="s">
        <v>220</v>
      </c>
      <c r="I93" s="4">
        <f ca="1">(TODAY()-staff[[#This Row],[Date Joined]])/365</f>
        <v>3.2794520547945205</v>
      </c>
      <c r="J93" s="20">
        <f ca="1">IF(staff[[#This Row],[Tenure]]&gt;2,3%,2%)*staff[[#This Row],[Salary]]</f>
        <v>3379.5</v>
      </c>
      <c r="K93" s="25">
        <f>_xlfn.XLOOKUP(staff[[#This Row],[Rating]],$Q$2:$Q$6,$R$2:$R$6)</f>
        <v>3</v>
      </c>
      <c r="L93"/>
    </row>
    <row r="94" spans="1:12" x14ac:dyDescent="0.25">
      <c r="A94" t="s">
        <v>112</v>
      </c>
      <c r="B94" t="s">
        <v>15</v>
      </c>
      <c r="C94" t="s">
        <v>23</v>
      </c>
      <c r="D94">
        <v>32</v>
      </c>
      <c r="E94" s="2">
        <v>44293</v>
      </c>
      <c r="F94" s="3">
        <v>43840</v>
      </c>
      <c r="G94" t="s">
        <v>10</v>
      </c>
      <c r="H94" s="25" t="s">
        <v>220</v>
      </c>
      <c r="I94" s="4">
        <f ca="1">(TODAY()-staff[[#This Row],[Date Joined]])/365</f>
        <v>2.8109589041095893</v>
      </c>
      <c r="J94" s="20">
        <f ca="1">IF(staff[[#This Row],[Tenure]]&gt;2,3%,2%)*staff[[#This Row],[Salary]]</f>
        <v>1315.2</v>
      </c>
      <c r="K94" s="25">
        <f>_xlfn.XLOOKUP(staff[[#This Row],[Rating]],$Q$2:$Q$6,$R$2:$R$6)</f>
        <v>4</v>
      </c>
      <c r="L94"/>
    </row>
    <row r="95" spans="1:12" x14ac:dyDescent="0.25">
      <c r="A95" t="s">
        <v>113</v>
      </c>
      <c r="B95" t="s">
        <v>8</v>
      </c>
      <c r="C95" t="s">
        <v>12</v>
      </c>
      <c r="D95">
        <v>31</v>
      </c>
      <c r="E95" s="2">
        <v>44663</v>
      </c>
      <c r="F95" s="3">
        <v>103550</v>
      </c>
      <c r="G95" t="s">
        <v>13</v>
      </c>
      <c r="H95" s="25" t="s">
        <v>220</v>
      </c>
      <c r="I95" s="4">
        <f ca="1">(TODAY()-staff[[#This Row],[Date Joined]])/365</f>
        <v>1.7972602739726027</v>
      </c>
      <c r="J95" s="20">
        <f ca="1">IF(staff[[#This Row],[Tenure]]&gt;2,3%,2%)*staff[[#This Row],[Salary]]</f>
        <v>2071</v>
      </c>
      <c r="K95" s="25">
        <f>_xlfn.XLOOKUP(staff[[#This Row],[Rating]],$Q$2:$Q$6,$R$2:$R$6)</f>
        <v>3</v>
      </c>
      <c r="L95"/>
    </row>
    <row r="96" spans="1:12" x14ac:dyDescent="0.25">
      <c r="A96" t="s">
        <v>114</v>
      </c>
      <c r="B96" t="s">
        <v>15</v>
      </c>
      <c r="C96" t="s">
        <v>26</v>
      </c>
      <c r="D96">
        <v>32</v>
      </c>
      <c r="E96" s="2">
        <v>44339</v>
      </c>
      <c r="F96" s="3">
        <v>45510</v>
      </c>
      <c r="G96" t="s">
        <v>13</v>
      </c>
      <c r="H96" s="25" t="s">
        <v>220</v>
      </c>
      <c r="I96" s="4">
        <f ca="1">(TODAY()-staff[[#This Row],[Date Joined]])/365</f>
        <v>2.6849315068493151</v>
      </c>
      <c r="J96" s="20">
        <f ca="1">IF(staff[[#This Row],[Tenure]]&gt;2,3%,2%)*staff[[#This Row],[Salary]]</f>
        <v>1365.3</v>
      </c>
      <c r="K96" s="25">
        <f>_xlfn.XLOOKUP(staff[[#This Row],[Rating]],$Q$2:$Q$6,$R$2:$R$6)</f>
        <v>3</v>
      </c>
      <c r="L96"/>
    </row>
    <row r="97" spans="1:12" x14ac:dyDescent="0.25">
      <c r="A97" t="s">
        <v>115</v>
      </c>
      <c r="B97" t="s">
        <v>211</v>
      </c>
      <c r="C97" t="s">
        <v>17</v>
      </c>
      <c r="D97">
        <v>37</v>
      </c>
      <c r="E97" s="2">
        <v>44085</v>
      </c>
      <c r="F97" s="3">
        <v>115440</v>
      </c>
      <c r="G97" t="s">
        <v>18</v>
      </c>
      <c r="H97" s="25" t="s">
        <v>220</v>
      </c>
      <c r="I97" s="4">
        <f ca="1">(TODAY()-staff[[#This Row],[Date Joined]])/365</f>
        <v>3.3808219178082193</v>
      </c>
      <c r="J97" s="20">
        <f ca="1">IF(staff[[#This Row],[Tenure]]&gt;2,3%,2%)*staff[[#This Row],[Salary]]</f>
        <v>3463.2</v>
      </c>
      <c r="K97" s="25">
        <f>_xlfn.XLOOKUP(staff[[#This Row],[Rating]],$Q$2:$Q$6,$R$2:$R$6)</f>
        <v>2</v>
      </c>
      <c r="L97"/>
    </row>
    <row r="98" spans="1:12" x14ac:dyDescent="0.25">
      <c r="A98" t="s">
        <v>116</v>
      </c>
      <c r="B98" t="s">
        <v>15</v>
      </c>
      <c r="C98" t="s">
        <v>9</v>
      </c>
      <c r="D98">
        <v>38</v>
      </c>
      <c r="E98" s="2">
        <v>44268</v>
      </c>
      <c r="F98" s="3">
        <v>56870</v>
      </c>
      <c r="G98" t="s">
        <v>10</v>
      </c>
      <c r="H98" s="25" t="s">
        <v>220</v>
      </c>
      <c r="I98" s="4">
        <f ca="1">(TODAY()-staff[[#This Row],[Date Joined]])/365</f>
        <v>2.8794520547945206</v>
      </c>
      <c r="J98" s="20">
        <f ca="1">IF(staff[[#This Row],[Tenure]]&gt;2,3%,2%)*staff[[#This Row],[Salary]]</f>
        <v>1706.1</v>
      </c>
      <c r="K98" s="25">
        <f>_xlfn.XLOOKUP(staff[[#This Row],[Rating]],$Q$2:$Q$6,$R$2:$R$6)</f>
        <v>4</v>
      </c>
      <c r="L98"/>
    </row>
    <row r="99" spans="1:12" x14ac:dyDescent="0.25">
      <c r="A99" t="s">
        <v>117</v>
      </c>
      <c r="B99" t="s">
        <v>15</v>
      </c>
      <c r="C99" t="s">
        <v>9</v>
      </c>
      <c r="D99">
        <v>25</v>
      </c>
      <c r="E99" s="2">
        <v>44144</v>
      </c>
      <c r="F99" s="3">
        <v>92700</v>
      </c>
      <c r="G99" t="s">
        <v>13</v>
      </c>
      <c r="H99" s="25" t="s">
        <v>220</v>
      </c>
      <c r="I99" s="4">
        <f ca="1">(TODAY()-staff[[#This Row],[Date Joined]])/365</f>
        <v>3.2191780821917808</v>
      </c>
      <c r="J99" s="20">
        <f ca="1">IF(staff[[#This Row],[Tenure]]&gt;2,3%,2%)*staff[[#This Row],[Salary]]</f>
        <v>2781</v>
      </c>
      <c r="K99" s="25">
        <f>_xlfn.XLOOKUP(staff[[#This Row],[Rating]],$Q$2:$Q$6,$R$2:$R$6)</f>
        <v>3</v>
      </c>
      <c r="L99"/>
    </row>
    <row r="100" spans="1:12" x14ac:dyDescent="0.25">
      <c r="A100" t="s">
        <v>118</v>
      </c>
      <c r="B100" t="s">
        <v>211</v>
      </c>
      <c r="C100" t="s">
        <v>23</v>
      </c>
      <c r="D100">
        <v>32</v>
      </c>
      <c r="E100" s="2">
        <v>44713</v>
      </c>
      <c r="F100" s="3">
        <v>91310</v>
      </c>
      <c r="G100" t="s">
        <v>13</v>
      </c>
      <c r="H100" s="25" t="s">
        <v>220</v>
      </c>
      <c r="I100" s="4">
        <f ca="1">(TODAY()-staff[[#This Row],[Date Joined]])/365</f>
        <v>1.6602739726027398</v>
      </c>
      <c r="J100" s="20">
        <f ca="1">IF(staff[[#This Row],[Tenure]]&gt;2,3%,2%)*staff[[#This Row],[Salary]]</f>
        <v>1826.2</v>
      </c>
      <c r="K100" s="25">
        <f>_xlfn.XLOOKUP(staff[[#This Row],[Rating]],$Q$2:$Q$6,$R$2:$R$6)</f>
        <v>3</v>
      </c>
      <c r="L100"/>
    </row>
    <row r="101" spans="1:12" x14ac:dyDescent="0.25">
      <c r="A101" t="s">
        <v>119</v>
      </c>
      <c r="B101" t="s">
        <v>8</v>
      </c>
      <c r="C101" t="s">
        <v>9</v>
      </c>
      <c r="D101">
        <v>33</v>
      </c>
      <c r="E101" s="2">
        <v>44324</v>
      </c>
      <c r="F101" s="3">
        <v>74550</v>
      </c>
      <c r="G101" t="s">
        <v>13</v>
      </c>
      <c r="H101" s="25" t="s">
        <v>220</v>
      </c>
      <c r="I101" s="4">
        <f ca="1">(TODAY()-staff[[#This Row],[Date Joined]])/365</f>
        <v>2.7260273972602738</v>
      </c>
      <c r="J101" s="20">
        <f ca="1">IF(staff[[#This Row],[Tenure]]&gt;2,3%,2%)*staff[[#This Row],[Salary]]</f>
        <v>2236.5</v>
      </c>
      <c r="K101" s="25">
        <f>_xlfn.XLOOKUP(staff[[#This Row],[Rating]],$Q$2:$Q$6,$R$2:$R$6)</f>
        <v>3</v>
      </c>
      <c r="L101"/>
    </row>
    <row r="102" spans="1:12" x14ac:dyDescent="0.25">
      <c r="A102" t="s">
        <v>120</v>
      </c>
      <c r="B102" t="s">
        <v>8</v>
      </c>
      <c r="C102" t="s">
        <v>12</v>
      </c>
      <c r="D102">
        <v>25</v>
      </c>
      <c r="E102" s="2">
        <v>44665</v>
      </c>
      <c r="F102" s="3">
        <v>109190</v>
      </c>
      <c r="G102" t="s">
        <v>10</v>
      </c>
      <c r="H102" s="25" t="s">
        <v>220</v>
      </c>
      <c r="I102" s="4">
        <f ca="1">(TODAY()-staff[[#This Row],[Date Joined]])/365</f>
        <v>1.7917808219178082</v>
      </c>
      <c r="J102" s="20">
        <f ca="1">IF(staff[[#This Row],[Tenure]]&gt;2,3%,2%)*staff[[#This Row],[Salary]]</f>
        <v>2183.8000000000002</v>
      </c>
      <c r="K102" s="25">
        <f>_xlfn.XLOOKUP(staff[[#This Row],[Rating]],$Q$2:$Q$6,$R$2:$R$6)</f>
        <v>4</v>
      </c>
      <c r="L102"/>
    </row>
    <row r="103" spans="1:12" x14ac:dyDescent="0.25">
      <c r="A103" t="s">
        <v>121</v>
      </c>
      <c r="B103" t="s">
        <v>15</v>
      </c>
      <c r="C103" t="s">
        <v>23</v>
      </c>
      <c r="D103">
        <v>40</v>
      </c>
      <c r="E103" s="2">
        <v>44320</v>
      </c>
      <c r="F103" s="3">
        <v>104410</v>
      </c>
      <c r="G103" t="s">
        <v>13</v>
      </c>
      <c r="H103" s="25" t="s">
        <v>220</v>
      </c>
      <c r="I103" s="4">
        <f ca="1">(TODAY()-staff[[#This Row],[Date Joined]])/365</f>
        <v>2.7369863013698632</v>
      </c>
      <c r="J103" s="20">
        <f ca="1">IF(staff[[#This Row],[Tenure]]&gt;2,3%,2%)*staff[[#This Row],[Salary]]</f>
        <v>3132.2999999999997</v>
      </c>
      <c r="K103" s="25">
        <f>_xlfn.XLOOKUP(staff[[#This Row],[Rating]],$Q$2:$Q$6,$R$2:$R$6)</f>
        <v>3</v>
      </c>
      <c r="L103"/>
    </row>
    <row r="104" spans="1:12" x14ac:dyDescent="0.25">
      <c r="A104" t="s">
        <v>122</v>
      </c>
      <c r="B104" t="s">
        <v>8</v>
      </c>
      <c r="C104" t="s">
        <v>17</v>
      </c>
      <c r="D104">
        <v>30</v>
      </c>
      <c r="E104" s="2">
        <v>44544</v>
      </c>
      <c r="F104" s="3">
        <v>96800</v>
      </c>
      <c r="G104" t="s">
        <v>13</v>
      </c>
      <c r="H104" s="25" t="s">
        <v>220</v>
      </c>
      <c r="I104" s="4">
        <f ca="1">(TODAY()-staff[[#This Row],[Date Joined]])/365</f>
        <v>2.1232876712328768</v>
      </c>
      <c r="J104" s="20">
        <f ca="1">IF(staff[[#This Row],[Tenure]]&gt;2,3%,2%)*staff[[#This Row],[Salary]]</f>
        <v>2904</v>
      </c>
      <c r="K104" s="25">
        <f>_xlfn.XLOOKUP(staff[[#This Row],[Rating]],$Q$2:$Q$6,$R$2:$R$6)</f>
        <v>3</v>
      </c>
      <c r="L104"/>
    </row>
    <row r="105" spans="1:12" x14ac:dyDescent="0.25">
      <c r="A105" t="s">
        <v>123</v>
      </c>
      <c r="B105" t="s">
        <v>8</v>
      </c>
      <c r="C105" t="s">
        <v>17</v>
      </c>
      <c r="D105">
        <v>28</v>
      </c>
      <c r="E105" s="2">
        <v>43980</v>
      </c>
      <c r="F105" s="3">
        <v>48170</v>
      </c>
      <c r="G105" t="s">
        <v>10</v>
      </c>
      <c r="H105" s="25" t="s">
        <v>220</v>
      </c>
      <c r="I105" s="4">
        <f ca="1">(TODAY()-staff[[#This Row],[Date Joined]])/365</f>
        <v>3.6684931506849314</v>
      </c>
      <c r="J105" s="20">
        <f ca="1">IF(staff[[#This Row],[Tenure]]&gt;2,3%,2%)*staff[[#This Row],[Salary]]</f>
        <v>1445.1</v>
      </c>
      <c r="K105" s="25">
        <f>_xlfn.XLOOKUP(staff[[#This Row],[Rating]],$Q$2:$Q$6,$R$2:$R$6)</f>
        <v>4</v>
      </c>
      <c r="L105"/>
    </row>
    <row r="106" spans="1:12" x14ac:dyDescent="0.25">
      <c r="A106" t="s">
        <v>124</v>
      </c>
      <c r="B106" t="s">
        <v>8</v>
      </c>
      <c r="C106" t="s">
        <v>12</v>
      </c>
      <c r="D106">
        <v>21</v>
      </c>
      <c r="E106" s="2">
        <v>44042</v>
      </c>
      <c r="F106" s="3">
        <v>37920</v>
      </c>
      <c r="G106" t="s">
        <v>13</v>
      </c>
      <c r="H106" s="25" t="s">
        <v>220</v>
      </c>
      <c r="I106" s="4">
        <f ca="1">(TODAY()-staff[[#This Row],[Date Joined]])/365</f>
        <v>3.4986301369863013</v>
      </c>
      <c r="J106" s="20">
        <f ca="1">IF(staff[[#This Row],[Tenure]]&gt;2,3%,2%)*staff[[#This Row],[Salary]]</f>
        <v>1137.5999999999999</v>
      </c>
      <c r="K106" s="25">
        <f>_xlfn.XLOOKUP(staff[[#This Row],[Rating]],$Q$2:$Q$6,$R$2:$R$6)</f>
        <v>3</v>
      </c>
      <c r="L106"/>
    </row>
    <row r="107" spans="1:12" x14ac:dyDescent="0.25">
      <c r="A107" t="s">
        <v>125</v>
      </c>
      <c r="B107" t="s">
        <v>8</v>
      </c>
      <c r="C107" t="s">
        <v>12</v>
      </c>
      <c r="D107">
        <v>34</v>
      </c>
      <c r="E107" s="2">
        <v>44642</v>
      </c>
      <c r="F107" s="3">
        <v>112650</v>
      </c>
      <c r="G107" t="s">
        <v>13</v>
      </c>
      <c r="H107" s="25" t="s">
        <v>220</v>
      </c>
      <c r="I107" s="4">
        <f ca="1">(TODAY()-staff[[#This Row],[Date Joined]])/365</f>
        <v>1.8547945205479452</v>
      </c>
      <c r="J107" s="20">
        <f ca="1">IF(staff[[#This Row],[Tenure]]&gt;2,3%,2%)*staff[[#This Row],[Salary]]</f>
        <v>2253</v>
      </c>
      <c r="K107" s="25">
        <f>_xlfn.XLOOKUP(staff[[#This Row],[Rating]],$Q$2:$Q$6,$R$2:$R$6)</f>
        <v>3</v>
      </c>
      <c r="L107"/>
    </row>
    <row r="108" spans="1:12" x14ac:dyDescent="0.25">
      <c r="A108" t="s">
        <v>126</v>
      </c>
      <c r="B108" t="s">
        <v>15</v>
      </c>
      <c r="C108" t="s">
        <v>9</v>
      </c>
      <c r="D108">
        <v>34</v>
      </c>
      <c r="E108" s="2">
        <v>44660</v>
      </c>
      <c r="F108" s="3">
        <v>49630</v>
      </c>
      <c r="G108" t="s">
        <v>18</v>
      </c>
      <c r="H108" s="25" t="s">
        <v>220</v>
      </c>
      <c r="I108" s="4">
        <f ca="1">(TODAY()-staff[[#This Row],[Date Joined]])/365</f>
        <v>1.8054794520547945</v>
      </c>
      <c r="J108" s="20">
        <f ca="1">IF(staff[[#This Row],[Tenure]]&gt;2,3%,2%)*staff[[#This Row],[Salary]]</f>
        <v>992.6</v>
      </c>
      <c r="K108" s="25">
        <f>_xlfn.XLOOKUP(staff[[#This Row],[Rating]],$Q$2:$Q$6,$R$2:$R$6)</f>
        <v>2</v>
      </c>
      <c r="L108"/>
    </row>
    <row r="109" spans="1:12" x14ac:dyDescent="0.25">
      <c r="A109" t="s">
        <v>127</v>
      </c>
      <c r="B109" t="s">
        <v>8</v>
      </c>
      <c r="C109" t="s">
        <v>23</v>
      </c>
      <c r="D109">
        <v>36</v>
      </c>
      <c r="E109" s="2">
        <v>43958</v>
      </c>
      <c r="F109" s="3">
        <v>118840</v>
      </c>
      <c r="G109" t="s">
        <v>13</v>
      </c>
      <c r="H109" s="25" t="s">
        <v>220</v>
      </c>
      <c r="I109" s="4">
        <f ca="1">(TODAY()-staff[[#This Row],[Date Joined]])/365</f>
        <v>3.7287671232876711</v>
      </c>
      <c r="J109" s="20">
        <f ca="1">IF(staff[[#This Row],[Tenure]]&gt;2,3%,2%)*staff[[#This Row],[Salary]]</f>
        <v>3565.2</v>
      </c>
      <c r="K109" s="25">
        <f>_xlfn.XLOOKUP(staff[[#This Row],[Rating]],$Q$2:$Q$6,$R$2:$R$6)</f>
        <v>3</v>
      </c>
      <c r="L109"/>
    </row>
    <row r="110" spans="1:12" x14ac:dyDescent="0.25">
      <c r="A110" t="s">
        <v>128</v>
      </c>
      <c r="B110" t="s">
        <v>8</v>
      </c>
      <c r="C110" t="s">
        <v>23</v>
      </c>
      <c r="D110">
        <v>30</v>
      </c>
      <c r="E110" s="2">
        <v>44789</v>
      </c>
      <c r="F110" s="3">
        <v>69710</v>
      </c>
      <c r="G110" t="s">
        <v>13</v>
      </c>
      <c r="H110" s="25" t="s">
        <v>220</v>
      </c>
      <c r="I110" s="4">
        <f ca="1">(TODAY()-staff[[#This Row],[Date Joined]])/365</f>
        <v>1.452054794520548</v>
      </c>
      <c r="J110" s="20">
        <f ca="1">IF(staff[[#This Row],[Tenure]]&gt;2,3%,2%)*staff[[#This Row],[Salary]]</f>
        <v>1394.2</v>
      </c>
      <c r="K110" s="25">
        <f>_xlfn.XLOOKUP(staff[[#This Row],[Rating]],$Q$2:$Q$6,$R$2:$R$6)</f>
        <v>3</v>
      </c>
      <c r="L110"/>
    </row>
    <row r="111" spans="1:12" x14ac:dyDescent="0.25">
      <c r="A111" t="s">
        <v>129</v>
      </c>
      <c r="B111" t="s">
        <v>8</v>
      </c>
      <c r="C111" t="s">
        <v>12</v>
      </c>
      <c r="D111">
        <v>20</v>
      </c>
      <c r="E111" s="2">
        <v>44683</v>
      </c>
      <c r="F111" s="3">
        <v>79570</v>
      </c>
      <c r="G111" t="s">
        <v>13</v>
      </c>
      <c r="H111" s="25" t="s">
        <v>220</v>
      </c>
      <c r="I111" s="4">
        <f ca="1">(TODAY()-staff[[#This Row],[Date Joined]])/365</f>
        <v>1.7424657534246575</v>
      </c>
      <c r="J111" s="20">
        <f ca="1">IF(staff[[#This Row],[Tenure]]&gt;2,3%,2%)*staff[[#This Row],[Salary]]</f>
        <v>1591.4</v>
      </c>
      <c r="K111" s="25">
        <f>_xlfn.XLOOKUP(staff[[#This Row],[Rating]],$Q$2:$Q$6,$R$2:$R$6)</f>
        <v>3</v>
      </c>
      <c r="L111"/>
    </row>
    <row r="112" spans="1:12" x14ac:dyDescent="0.25">
      <c r="A112" t="s">
        <v>130</v>
      </c>
      <c r="B112" t="s">
        <v>15</v>
      </c>
      <c r="C112" t="s">
        <v>12</v>
      </c>
      <c r="D112">
        <v>22</v>
      </c>
      <c r="E112" s="2">
        <v>44388</v>
      </c>
      <c r="F112" s="3">
        <v>76900</v>
      </c>
      <c r="G112" t="s">
        <v>10</v>
      </c>
      <c r="H112" s="25" t="s">
        <v>220</v>
      </c>
      <c r="I112" s="4">
        <f ca="1">(TODAY()-staff[[#This Row],[Date Joined]])/365</f>
        <v>2.5506849315068494</v>
      </c>
      <c r="J112" s="20">
        <f ca="1">IF(staff[[#This Row],[Tenure]]&gt;2,3%,2%)*staff[[#This Row],[Salary]]</f>
        <v>2307</v>
      </c>
      <c r="K112" s="25">
        <f>_xlfn.XLOOKUP(staff[[#This Row],[Rating]],$Q$2:$Q$6,$R$2:$R$6)</f>
        <v>4</v>
      </c>
      <c r="L112"/>
    </row>
    <row r="113" spans="1:12" x14ac:dyDescent="0.25">
      <c r="A113" t="s">
        <v>131</v>
      </c>
      <c r="B113" t="s">
        <v>8</v>
      </c>
      <c r="C113" t="s">
        <v>9</v>
      </c>
      <c r="D113">
        <v>27</v>
      </c>
      <c r="E113" s="2">
        <v>44073</v>
      </c>
      <c r="F113" s="3">
        <v>54970</v>
      </c>
      <c r="G113" t="s">
        <v>13</v>
      </c>
      <c r="H113" s="25" t="s">
        <v>220</v>
      </c>
      <c r="I113" s="4">
        <f ca="1">(TODAY()-staff[[#This Row],[Date Joined]])/365</f>
        <v>3.4136986301369863</v>
      </c>
      <c r="J113" s="20">
        <f ca="1">IF(staff[[#This Row],[Tenure]]&gt;2,3%,2%)*staff[[#This Row],[Salary]]</f>
        <v>1649.1</v>
      </c>
      <c r="K113" s="25">
        <f>_xlfn.XLOOKUP(staff[[#This Row],[Rating]],$Q$2:$Q$6,$R$2:$R$6)</f>
        <v>3</v>
      </c>
      <c r="L113"/>
    </row>
    <row r="114" spans="1:12" x14ac:dyDescent="0.25">
      <c r="A114" t="s">
        <v>132</v>
      </c>
      <c r="B114" t="s">
        <v>8</v>
      </c>
      <c r="C114" t="s">
        <v>23</v>
      </c>
      <c r="D114">
        <v>37</v>
      </c>
      <c r="E114" s="2">
        <v>44277</v>
      </c>
      <c r="F114" s="3">
        <v>88050</v>
      </c>
      <c r="G114" t="s">
        <v>18</v>
      </c>
      <c r="H114" s="25" t="s">
        <v>220</v>
      </c>
      <c r="I114" s="4">
        <f ca="1">(TODAY()-staff[[#This Row],[Date Joined]])/365</f>
        <v>2.8547945205479452</v>
      </c>
      <c r="J114" s="20">
        <f ca="1">IF(staff[[#This Row],[Tenure]]&gt;2,3%,2%)*staff[[#This Row],[Salary]]</f>
        <v>2641.5</v>
      </c>
      <c r="K114" s="25">
        <f>_xlfn.XLOOKUP(staff[[#This Row],[Rating]],$Q$2:$Q$6,$R$2:$R$6)</f>
        <v>2</v>
      </c>
      <c r="L114"/>
    </row>
    <row r="115" spans="1:12" x14ac:dyDescent="0.25">
      <c r="A115" t="s">
        <v>133</v>
      </c>
      <c r="B115" t="s">
        <v>8</v>
      </c>
      <c r="C115" t="s">
        <v>9</v>
      </c>
      <c r="D115">
        <v>43</v>
      </c>
      <c r="E115" s="2">
        <v>44558</v>
      </c>
      <c r="F115" s="3">
        <v>36040</v>
      </c>
      <c r="G115" t="s">
        <v>13</v>
      </c>
      <c r="H115" s="25" t="s">
        <v>220</v>
      </c>
      <c r="I115" s="4">
        <f ca="1">(TODAY()-staff[[#This Row],[Date Joined]])/365</f>
        <v>2.0849315068493151</v>
      </c>
      <c r="J115" s="20">
        <f ca="1">IF(staff[[#This Row],[Tenure]]&gt;2,3%,2%)*staff[[#This Row],[Salary]]</f>
        <v>1081.2</v>
      </c>
      <c r="K115" s="25">
        <f>_xlfn.XLOOKUP(staff[[#This Row],[Rating]],$Q$2:$Q$6,$R$2:$R$6)</f>
        <v>3</v>
      </c>
      <c r="L115"/>
    </row>
    <row r="116" spans="1:12" x14ac:dyDescent="0.25">
      <c r="A116" t="s">
        <v>134</v>
      </c>
      <c r="B116" t="s">
        <v>15</v>
      </c>
      <c r="C116" t="s">
        <v>12</v>
      </c>
      <c r="D116">
        <v>42</v>
      </c>
      <c r="E116" s="2">
        <v>44718</v>
      </c>
      <c r="F116" s="3">
        <v>75000</v>
      </c>
      <c r="G116" t="s">
        <v>43</v>
      </c>
      <c r="H116" s="25" t="s">
        <v>220</v>
      </c>
      <c r="I116" s="4">
        <f ca="1">(TODAY()-staff[[#This Row],[Date Joined]])/365</f>
        <v>1.6465753424657534</v>
      </c>
      <c r="J116" s="20">
        <f ca="1">IF(staff[[#This Row],[Tenure]]&gt;2,3%,2%)*staff[[#This Row],[Salary]]</f>
        <v>1500</v>
      </c>
      <c r="K116" s="25">
        <f>_xlfn.XLOOKUP(staff[[#This Row],[Rating]],$Q$2:$Q$6,$R$2:$R$6)</f>
        <v>5</v>
      </c>
      <c r="L116"/>
    </row>
    <row r="117" spans="1:12" x14ac:dyDescent="0.25">
      <c r="A117" t="s">
        <v>135</v>
      </c>
      <c r="B117" t="s">
        <v>8</v>
      </c>
      <c r="C117" t="s">
        <v>12</v>
      </c>
      <c r="D117">
        <v>35</v>
      </c>
      <c r="E117" s="2">
        <v>44666</v>
      </c>
      <c r="F117" s="3">
        <v>40400</v>
      </c>
      <c r="G117" t="s">
        <v>13</v>
      </c>
      <c r="H117" s="25" t="s">
        <v>220</v>
      </c>
      <c r="I117" s="4">
        <f ca="1">(TODAY()-staff[[#This Row],[Date Joined]])/365</f>
        <v>1.789041095890411</v>
      </c>
      <c r="J117" s="20">
        <f ca="1">IF(staff[[#This Row],[Tenure]]&gt;2,3%,2%)*staff[[#This Row],[Salary]]</f>
        <v>808</v>
      </c>
      <c r="K117" s="25">
        <f>_xlfn.XLOOKUP(staff[[#This Row],[Rating]],$Q$2:$Q$6,$R$2:$R$6)</f>
        <v>3</v>
      </c>
      <c r="L117"/>
    </row>
    <row r="118" spans="1:12" x14ac:dyDescent="0.25">
      <c r="A118" t="s">
        <v>136</v>
      </c>
      <c r="B118" t="s">
        <v>8</v>
      </c>
      <c r="C118" t="s">
        <v>23</v>
      </c>
      <c r="D118">
        <v>24</v>
      </c>
      <c r="E118" s="2">
        <v>44625</v>
      </c>
      <c r="F118" s="3">
        <v>100420</v>
      </c>
      <c r="G118" t="s">
        <v>13</v>
      </c>
      <c r="H118" s="25" t="s">
        <v>220</v>
      </c>
      <c r="I118" s="4">
        <f ca="1">(TODAY()-staff[[#This Row],[Date Joined]])/365</f>
        <v>1.9013698630136986</v>
      </c>
      <c r="J118" s="20">
        <f ca="1">IF(staff[[#This Row],[Tenure]]&gt;2,3%,2%)*staff[[#This Row],[Salary]]</f>
        <v>2008.4</v>
      </c>
      <c r="K118" s="25">
        <f>_xlfn.XLOOKUP(staff[[#This Row],[Rating]],$Q$2:$Q$6,$R$2:$R$6)</f>
        <v>3</v>
      </c>
      <c r="L118"/>
    </row>
    <row r="119" spans="1:12" x14ac:dyDescent="0.25">
      <c r="A119" t="s">
        <v>137</v>
      </c>
      <c r="B119" t="s">
        <v>15</v>
      </c>
      <c r="C119" t="s">
        <v>23</v>
      </c>
      <c r="D119">
        <v>31</v>
      </c>
      <c r="E119" s="2">
        <v>44604</v>
      </c>
      <c r="F119" s="3">
        <v>58100</v>
      </c>
      <c r="G119" t="s">
        <v>13</v>
      </c>
      <c r="H119" s="25" t="s">
        <v>220</v>
      </c>
      <c r="I119" s="4">
        <f ca="1">(TODAY()-staff[[#This Row],[Date Joined]])/365</f>
        <v>1.9589041095890412</v>
      </c>
      <c r="J119" s="20">
        <f ca="1">IF(staff[[#This Row],[Tenure]]&gt;2,3%,2%)*staff[[#This Row],[Salary]]</f>
        <v>1162</v>
      </c>
      <c r="K119" s="25">
        <f>_xlfn.XLOOKUP(staff[[#This Row],[Rating]],$Q$2:$Q$6,$R$2:$R$6)</f>
        <v>3</v>
      </c>
      <c r="L119"/>
    </row>
    <row r="120" spans="1:12" x14ac:dyDescent="0.25">
      <c r="A120" t="s">
        <v>138</v>
      </c>
      <c r="B120" t="s">
        <v>15</v>
      </c>
      <c r="C120" t="s">
        <v>23</v>
      </c>
      <c r="D120">
        <v>44</v>
      </c>
      <c r="E120" s="2">
        <v>44985</v>
      </c>
      <c r="F120" s="3">
        <v>114870</v>
      </c>
      <c r="G120" t="s">
        <v>13</v>
      </c>
      <c r="H120" s="25" t="s">
        <v>220</v>
      </c>
      <c r="I120" s="4">
        <f ca="1">(TODAY()-staff[[#This Row],[Date Joined]])/365</f>
        <v>0.91506849315068495</v>
      </c>
      <c r="J120" s="20">
        <f ca="1">IF(staff[[#This Row],[Tenure]]&gt;2,3%,2%)*staff[[#This Row],[Salary]]</f>
        <v>2297.4</v>
      </c>
      <c r="K120" s="25">
        <f>_xlfn.XLOOKUP(staff[[#This Row],[Rating]],$Q$2:$Q$6,$R$2:$R$6)</f>
        <v>3</v>
      </c>
      <c r="L120"/>
    </row>
    <row r="121" spans="1:12" x14ac:dyDescent="0.25">
      <c r="A121" t="s">
        <v>139</v>
      </c>
      <c r="B121" t="s">
        <v>15</v>
      </c>
      <c r="C121" t="s">
        <v>12</v>
      </c>
      <c r="D121">
        <v>32</v>
      </c>
      <c r="E121" s="2">
        <v>44549</v>
      </c>
      <c r="F121" s="3">
        <v>41570</v>
      </c>
      <c r="G121" t="s">
        <v>13</v>
      </c>
      <c r="H121" s="25" t="s">
        <v>220</v>
      </c>
      <c r="I121" s="4">
        <f ca="1">(TODAY()-staff[[#This Row],[Date Joined]])/365</f>
        <v>2.1095890410958904</v>
      </c>
      <c r="J121" s="20">
        <f ca="1">IF(staff[[#This Row],[Tenure]]&gt;2,3%,2%)*staff[[#This Row],[Salary]]</f>
        <v>1247.0999999999999</v>
      </c>
      <c r="K121" s="25">
        <f>_xlfn.XLOOKUP(staff[[#This Row],[Rating]],$Q$2:$Q$6,$R$2:$R$6)</f>
        <v>3</v>
      </c>
      <c r="L121"/>
    </row>
    <row r="122" spans="1:12" x14ac:dyDescent="0.25">
      <c r="A122" t="s">
        <v>140</v>
      </c>
      <c r="B122" t="s">
        <v>15</v>
      </c>
      <c r="C122" t="s">
        <v>12</v>
      </c>
      <c r="D122">
        <v>30</v>
      </c>
      <c r="E122" s="2">
        <v>44800</v>
      </c>
      <c r="F122" s="3">
        <v>112570</v>
      </c>
      <c r="G122" t="s">
        <v>13</v>
      </c>
      <c r="H122" s="25" t="s">
        <v>220</v>
      </c>
      <c r="I122" s="4">
        <f ca="1">(TODAY()-staff[[#This Row],[Date Joined]])/365</f>
        <v>1.4219178082191781</v>
      </c>
      <c r="J122" s="20">
        <f ca="1">IF(staff[[#This Row],[Tenure]]&gt;2,3%,2%)*staff[[#This Row],[Salary]]</f>
        <v>2251.4</v>
      </c>
      <c r="K122" s="25">
        <f>_xlfn.XLOOKUP(staff[[#This Row],[Rating]],$Q$2:$Q$6,$R$2:$R$6)</f>
        <v>3</v>
      </c>
      <c r="L122"/>
    </row>
    <row r="123" spans="1:12" x14ac:dyDescent="0.25">
      <c r="A123" t="s">
        <v>141</v>
      </c>
      <c r="B123" t="s">
        <v>8</v>
      </c>
      <c r="C123" t="s">
        <v>12</v>
      </c>
      <c r="D123">
        <v>26</v>
      </c>
      <c r="E123" s="2">
        <v>44164</v>
      </c>
      <c r="F123" s="3">
        <v>47360</v>
      </c>
      <c r="G123" t="s">
        <v>13</v>
      </c>
      <c r="H123" s="25" t="s">
        <v>220</v>
      </c>
      <c r="I123" s="4">
        <f ca="1">(TODAY()-staff[[#This Row],[Date Joined]])/365</f>
        <v>3.1643835616438358</v>
      </c>
      <c r="J123" s="20">
        <f ca="1">IF(staff[[#This Row],[Tenure]]&gt;2,3%,2%)*staff[[#This Row],[Salary]]</f>
        <v>1420.8</v>
      </c>
      <c r="K123" s="25">
        <f>_xlfn.XLOOKUP(staff[[#This Row],[Rating]],$Q$2:$Q$6,$R$2:$R$6)</f>
        <v>3</v>
      </c>
      <c r="L123"/>
    </row>
    <row r="124" spans="1:12" x14ac:dyDescent="0.25">
      <c r="A124" t="s">
        <v>142</v>
      </c>
      <c r="B124" t="s">
        <v>15</v>
      </c>
      <c r="C124" t="s">
        <v>17</v>
      </c>
      <c r="D124">
        <v>21</v>
      </c>
      <c r="E124" s="2">
        <v>44256</v>
      </c>
      <c r="F124" s="3">
        <v>65920</v>
      </c>
      <c r="G124" t="s">
        <v>13</v>
      </c>
      <c r="H124" s="25" t="s">
        <v>220</v>
      </c>
      <c r="I124" s="4">
        <f ca="1">(TODAY()-staff[[#This Row],[Date Joined]])/365</f>
        <v>2.9123287671232876</v>
      </c>
      <c r="J124" s="20">
        <f ca="1">IF(staff[[#This Row],[Tenure]]&gt;2,3%,2%)*staff[[#This Row],[Salary]]</f>
        <v>1977.6</v>
      </c>
      <c r="K124" s="25">
        <f>_xlfn.XLOOKUP(staff[[#This Row],[Rating]],$Q$2:$Q$6,$R$2:$R$6)</f>
        <v>3</v>
      </c>
      <c r="L124"/>
    </row>
    <row r="125" spans="1:12" x14ac:dyDescent="0.25">
      <c r="A125" t="s">
        <v>143</v>
      </c>
      <c r="B125" t="s">
        <v>15</v>
      </c>
      <c r="C125" t="s">
        <v>12</v>
      </c>
      <c r="D125">
        <v>28</v>
      </c>
      <c r="E125" s="2">
        <v>44571</v>
      </c>
      <c r="F125" s="3">
        <v>99970</v>
      </c>
      <c r="G125" t="s">
        <v>13</v>
      </c>
      <c r="H125" s="25" t="s">
        <v>220</v>
      </c>
      <c r="I125" s="4">
        <f ca="1">(TODAY()-staff[[#This Row],[Date Joined]])/365</f>
        <v>2.0493150684931507</v>
      </c>
      <c r="J125" s="20">
        <f ca="1">IF(staff[[#This Row],[Tenure]]&gt;2,3%,2%)*staff[[#This Row],[Salary]]</f>
        <v>2999.1</v>
      </c>
      <c r="K125" s="25">
        <f>_xlfn.XLOOKUP(staff[[#This Row],[Rating]],$Q$2:$Q$6,$R$2:$R$6)</f>
        <v>3</v>
      </c>
      <c r="L125"/>
    </row>
    <row r="126" spans="1:12" x14ac:dyDescent="0.25">
      <c r="A126" t="s">
        <v>144</v>
      </c>
      <c r="B126" t="s">
        <v>15</v>
      </c>
      <c r="C126" t="s">
        <v>23</v>
      </c>
      <c r="D126">
        <v>25</v>
      </c>
      <c r="E126" s="2">
        <v>44633</v>
      </c>
      <c r="F126" s="3">
        <v>80700</v>
      </c>
      <c r="G126" t="s">
        <v>10</v>
      </c>
      <c r="H126" s="25" t="s">
        <v>220</v>
      </c>
      <c r="I126" s="4">
        <f ca="1">(TODAY()-staff[[#This Row],[Date Joined]])/365</f>
        <v>1.8794520547945206</v>
      </c>
      <c r="J126" s="20">
        <f ca="1">IF(staff[[#This Row],[Tenure]]&gt;2,3%,2%)*staff[[#This Row],[Salary]]</f>
        <v>1614</v>
      </c>
      <c r="K126" s="25">
        <f>_xlfn.XLOOKUP(staff[[#This Row],[Rating]],$Q$2:$Q$6,$R$2:$R$6)</f>
        <v>4</v>
      </c>
      <c r="L126"/>
    </row>
    <row r="127" spans="1:12" x14ac:dyDescent="0.25">
      <c r="A127" t="s">
        <v>145</v>
      </c>
      <c r="B127" t="s">
        <v>8</v>
      </c>
      <c r="C127" t="s">
        <v>17</v>
      </c>
      <c r="D127">
        <v>24</v>
      </c>
      <c r="E127" s="2">
        <v>44375</v>
      </c>
      <c r="F127" s="3">
        <v>52610</v>
      </c>
      <c r="G127" t="s">
        <v>18</v>
      </c>
      <c r="H127" s="25" t="s">
        <v>220</v>
      </c>
      <c r="I127" s="4">
        <f ca="1">(TODAY()-staff[[#This Row],[Date Joined]])/365</f>
        <v>2.5863013698630137</v>
      </c>
      <c r="J127" s="20">
        <f ca="1">IF(staff[[#This Row],[Tenure]]&gt;2,3%,2%)*staff[[#This Row],[Salary]]</f>
        <v>1578.3</v>
      </c>
      <c r="K127" s="25">
        <f>_xlfn.XLOOKUP(staff[[#This Row],[Rating]],$Q$2:$Q$6,$R$2:$R$6)</f>
        <v>2</v>
      </c>
      <c r="L127"/>
    </row>
    <row r="128" spans="1:12" x14ac:dyDescent="0.25">
      <c r="A128" t="s">
        <v>146</v>
      </c>
      <c r="B128" t="s">
        <v>8</v>
      </c>
      <c r="C128" t="s">
        <v>23</v>
      </c>
      <c r="D128">
        <v>29</v>
      </c>
      <c r="E128" s="2">
        <v>44119</v>
      </c>
      <c r="F128" s="3">
        <v>112110</v>
      </c>
      <c r="G128" t="s">
        <v>18</v>
      </c>
      <c r="H128" s="25" t="s">
        <v>220</v>
      </c>
      <c r="I128" s="4">
        <f ca="1">(TODAY()-staff[[#This Row],[Date Joined]])/365</f>
        <v>3.2876712328767121</v>
      </c>
      <c r="J128" s="20">
        <f ca="1">IF(staff[[#This Row],[Tenure]]&gt;2,3%,2%)*staff[[#This Row],[Salary]]</f>
        <v>3363.2999999999997</v>
      </c>
      <c r="K128" s="25">
        <f>_xlfn.XLOOKUP(staff[[#This Row],[Rating]],$Q$2:$Q$6,$R$2:$R$6)</f>
        <v>2</v>
      </c>
      <c r="L128"/>
    </row>
    <row r="129" spans="1:12" x14ac:dyDescent="0.25">
      <c r="A129" t="s">
        <v>147</v>
      </c>
      <c r="B129" t="s">
        <v>15</v>
      </c>
      <c r="C129" t="s">
        <v>26</v>
      </c>
      <c r="D129">
        <v>27</v>
      </c>
      <c r="E129" s="2">
        <v>44061</v>
      </c>
      <c r="F129" s="3">
        <v>119110</v>
      </c>
      <c r="G129" t="s">
        <v>13</v>
      </c>
      <c r="H129" s="25" t="s">
        <v>220</v>
      </c>
      <c r="I129" s="4">
        <f ca="1">(TODAY()-staff[[#This Row],[Date Joined]])/365</f>
        <v>3.4465753424657533</v>
      </c>
      <c r="J129" s="20">
        <f ca="1">IF(staff[[#This Row],[Tenure]]&gt;2,3%,2%)*staff[[#This Row],[Salary]]</f>
        <v>3573.2999999999997</v>
      </c>
      <c r="K129" s="25">
        <f>_xlfn.XLOOKUP(staff[[#This Row],[Rating]],$Q$2:$Q$6,$R$2:$R$6)</f>
        <v>3</v>
      </c>
      <c r="L129"/>
    </row>
    <row r="130" spans="1:12" x14ac:dyDescent="0.25">
      <c r="A130" t="s">
        <v>148</v>
      </c>
      <c r="B130" t="s">
        <v>8</v>
      </c>
      <c r="C130" t="s">
        <v>9</v>
      </c>
      <c r="D130">
        <v>22</v>
      </c>
      <c r="E130" s="2">
        <v>44384</v>
      </c>
      <c r="F130" s="3">
        <v>112780</v>
      </c>
      <c r="G130" t="s">
        <v>10</v>
      </c>
      <c r="H130" s="25" t="s">
        <v>220</v>
      </c>
      <c r="I130" s="4">
        <f ca="1">(TODAY()-staff[[#This Row],[Date Joined]])/365</f>
        <v>2.5616438356164384</v>
      </c>
      <c r="J130" s="20">
        <f ca="1">IF(staff[[#This Row],[Tenure]]&gt;2,3%,2%)*staff[[#This Row],[Salary]]</f>
        <v>3383.4</v>
      </c>
      <c r="K130" s="25">
        <f>_xlfn.XLOOKUP(staff[[#This Row],[Rating]],$Q$2:$Q$6,$R$2:$R$6)</f>
        <v>4</v>
      </c>
      <c r="L130"/>
    </row>
    <row r="131" spans="1:12" x14ac:dyDescent="0.25">
      <c r="A131" t="s">
        <v>149</v>
      </c>
      <c r="B131" t="s">
        <v>15</v>
      </c>
      <c r="C131" t="s">
        <v>12</v>
      </c>
      <c r="D131">
        <v>36</v>
      </c>
      <c r="E131" s="2">
        <v>44023</v>
      </c>
      <c r="F131" s="3">
        <v>114890</v>
      </c>
      <c r="G131" t="s">
        <v>13</v>
      </c>
      <c r="H131" s="25" t="s">
        <v>220</v>
      </c>
      <c r="I131" s="4">
        <f ca="1">(TODAY()-staff[[#This Row],[Date Joined]])/365</f>
        <v>3.5506849315068494</v>
      </c>
      <c r="J131" s="20">
        <f ca="1">IF(staff[[#This Row],[Tenure]]&gt;2,3%,2%)*staff[[#This Row],[Salary]]</f>
        <v>3446.7</v>
      </c>
      <c r="K131" s="25">
        <f>_xlfn.XLOOKUP(staff[[#This Row],[Rating]],$Q$2:$Q$6,$R$2:$R$6)</f>
        <v>3</v>
      </c>
      <c r="L131"/>
    </row>
    <row r="132" spans="1:12" x14ac:dyDescent="0.25">
      <c r="A132" t="s">
        <v>150</v>
      </c>
      <c r="B132" t="s">
        <v>8</v>
      </c>
      <c r="C132" t="s">
        <v>17</v>
      </c>
      <c r="D132">
        <v>27</v>
      </c>
      <c r="E132" s="2">
        <v>44506</v>
      </c>
      <c r="F132" s="3">
        <v>48980</v>
      </c>
      <c r="G132" t="s">
        <v>13</v>
      </c>
      <c r="H132" s="25" t="s">
        <v>220</v>
      </c>
      <c r="I132" s="4">
        <f ca="1">(TODAY()-staff[[#This Row],[Date Joined]])/365</f>
        <v>2.2273972602739724</v>
      </c>
      <c r="J132" s="20">
        <f ca="1">IF(staff[[#This Row],[Tenure]]&gt;2,3%,2%)*staff[[#This Row],[Salary]]</f>
        <v>1469.3999999999999</v>
      </c>
      <c r="K132" s="25">
        <f>_xlfn.XLOOKUP(staff[[#This Row],[Rating]],$Q$2:$Q$6,$R$2:$R$6)</f>
        <v>3</v>
      </c>
      <c r="L132"/>
    </row>
    <row r="133" spans="1:12" x14ac:dyDescent="0.25">
      <c r="A133" t="s">
        <v>151</v>
      </c>
      <c r="B133" t="s">
        <v>8</v>
      </c>
      <c r="C133" t="s">
        <v>26</v>
      </c>
      <c r="D133">
        <v>21</v>
      </c>
      <c r="E133" s="2">
        <v>44180</v>
      </c>
      <c r="F133" s="3">
        <v>75880</v>
      </c>
      <c r="G133" t="s">
        <v>13</v>
      </c>
      <c r="H133" s="25" t="s">
        <v>220</v>
      </c>
      <c r="I133" s="4">
        <f ca="1">(TODAY()-staff[[#This Row],[Date Joined]])/365</f>
        <v>3.1205479452054794</v>
      </c>
      <c r="J133" s="20">
        <f ca="1">IF(staff[[#This Row],[Tenure]]&gt;2,3%,2%)*staff[[#This Row],[Salary]]</f>
        <v>2276.4</v>
      </c>
      <c r="K133" s="25">
        <f>_xlfn.XLOOKUP(staff[[#This Row],[Rating]],$Q$2:$Q$6,$R$2:$R$6)</f>
        <v>3</v>
      </c>
      <c r="L133"/>
    </row>
    <row r="134" spans="1:12" x14ac:dyDescent="0.25">
      <c r="A134" t="s">
        <v>152</v>
      </c>
      <c r="B134" t="s">
        <v>15</v>
      </c>
      <c r="C134" t="s">
        <v>9</v>
      </c>
      <c r="D134">
        <v>28</v>
      </c>
      <c r="E134" s="2">
        <v>44296</v>
      </c>
      <c r="F134" s="3">
        <v>53240</v>
      </c>
      <c r="G134" t="s">
        <v>13</v>
      </c>
      <c r="H134" s="25" t="s">
        <v>220</v>
      </c>
      <c r="I134" s="4">
        <f ca="1">(TODAY()-staff[[#This Row],[Date Joined]])/365</f>
        <v>2.8027397260273972</v>
      </c>
      <c r="J134" s="20">
        <f ca="1">IF(staff[[#This Row],[Tenure]]&gt;2,3%,2%)*staff[[#This Row],[Salary]]</f>
        <v>1597.2</v>
      </c>
      <c r="K134" s="25">
        <f>_xlfn.XLOOKUP(staff[[#This Row],[Rating]],$Q$2:$Q$6,$R$2:$R$6)</f>
        <v>3</v>
      </c>
      <c r="L134"/>
    </row>
    <row r="135" spans="1:12" x14ac:dyDescent="0.25">
      <c r="A135" t="s">
        <v>153</v>
      </c>
      <c r="B135" t="s">
        <v>15</v>
      </c>
      <c r="C135" t="s">
        <v>17</v>
      </c>
      <c r="D135">
        <v>34</v>
      </c>
      <c r="E135" s="2">
        <v>44397</v>
      </c>
      <c r="F135" s="3">
        <v>85000</v>
      </c>
      <c r="G135" t="s">
        <v>13</v>
      </c>
      <c r="H135" s="25" t="s">
        <v>220</v>
      </c>
      <c r="I135" s="4">
        <f ca="1">(TODAY()-staff[[#This Row],[Date Joined]])/365</f>
        <v>2.526027397260274</v>
      </c>
      <c r="J135" s="20">
        <f ca="1">IF(staff[[#This Row],[Tenure]]&gt;2,3%,2%)*staff[[#This Row],[Salary]]</f>
        <v>2550</v>
      </c>
      <c r="K135" s="25">
        <f>_xlfn.XLOOKUP(staff[[#This Row],[Rating]],$Q$2:$Q$6,$R$2:$R$6)</f>
        <v>3</v>
      </c>
      <c r="L135"/>
    </row>
    <row r="136" spans="1:12" x14ac:dyDescent="0.25">
      <c r="A136" t="s">
        <v>154</v>
      </c>
      <c r="B136" t="s">
        <v>15</v>
      </c>
      <c r="C136" t="s">
        <v>23</v>
      </c>
      <c r="D136">
        <v>21</v>
      </c>
      <c r="E136" s="2">
        <v>44619</v>
      </c>
      <c r="F136" s="3">
        <v>33920</v>
      </c>
      <c r="G136" t="s">
        <v>13</v>
      </c>
      <c r="H136" s="25" t="s">
        <v>220</v>
      </c>
      <c r="I136" s="4">
        <f ca="1">(TODAY()-staff[[#This Row],[Date Joined]])/365</f>
        <v>1.9178082191780821</v>
      </c>
      <c r="J136" s="20">
        <f ca="1">IF(staff[[#This Row],[Tenure]]&gt;2,3%,2%)*staff[[#This Row],[Salary]]</f>
        <v>678.4</v>
      </c>
      <c r="K136" s="25">
        <f>_xlfn.XLOOKUP(staff[[#This Row],[Rating]],$Q$2:$Q$6,$R$2:$R$6)</f>
        <v>3</v>
      </c>
      <c r="L136"/>
    </row>
    <row r="137" spans="1:12" x14ac:dyDescent="0.25">
      <c r="A137" t="s">
        <v>155</v>
      </c>
      <c r="B137" t="s">
        <v>15</v>
      </c>
      <c r="C137" t="s">
        <v>23</v>
      </c>
      <c r="D137">
        <v>33</v>
      </c>
      <c r="E137" s="2">
        <v>44253</v>
      </c>
      <c r="F137" s="3">
        <v>75280</v>
      </c>
      <c r="G137" t="s">
        <v>13</v>
      </c>
      <c r="H137" s="25" t="s">
        <v>220</v>
      </c>
      <c r="I137" s="4">
        <f ca="1">(TODAY()-staff[[#This Row],[Date Joined]])/365</f>
        <v>2.9205479452054797</v>
      </c>
      <c r="J137" s="20">
        <f ca="1">IF(staff[[#This Row],[Tenure]]&gt;2,3%,2%)*staff[[#This Row],[Salary]]</f>
        <v>2258.4</v>
      </c>
      <c r="K137" s="25">
        <f>_xlfn.XLOOKUP(staff[[#This Row],[Rating]],$Q$2:$Q$6,$R$2:$R$6)</f>
        <v>3</v>
      </c>
      <c r="L137"/>
    </row>
    <row r="138" spans="1:12" x14ac:dyDescent="0.25">
      <c r="A138" t="s">
        <v>156</v>
      </c>
      <c r="B138" t="s">
        <v>15</v>
      </c>
      <c r="C138" t="s">
        <v>17</v>
      </c>
      <c r="D138">
        <v>34</v>
      </c>
      <c r="E138" s="2">
        <v>44594</v>
      </c>
      <c r="F138" s="3">
        <v>58940</v>
      </c>
      <c r="G138" t="s">
        <v>13</v>
      </c>
      <c r="H138" s="25" t="s">
        <v>220</v>
      </c>
      <c r="I138" s="4">
        <f ca="1">(TODAY()-staff[[#This Row],[Date Joined]])/365</f>
        <v>1.9863013698630136</v>
      </c>
      <c r="J138" s="20">
        <f ca="1">IF(staff[[#This Row],[Tenure]]&gt;2,3%,2%)*staff[[#This Row],[Salary]]</f>
        <v>1178.8</v>
      </c>
      <c r="K138" s="25">
        <f>_xlfn.XLOOKUP(staff[[#This Row],[Rating]],$Q$2:$Q$6,$R$2:$R$6)</f>
        <v>3</v>
      </c>
      <c r="L138"/>
    </row>
    <row r="139" spans="1:12" x14ac:dyDescent="0.25">
      <c r="A139" t="s">
        <v>157</v>
      </c>
      <c r="B139" t="s">
        <v>15</v>
      </c>
      <c r="C139" t="s">
        <v>12</v>
      </c>
      <c r="D139">
        <v>28</v>
      </c>
      <c r="E139" s="2">
        <v>44425</v>
      </c>
      <c r="F139" s="3">
        <v>104770</v>
      </c>
      <c r="G139" t="s">
        <v>13</v>
      </c>
      <c r="H139" s="25" t="s">
        <v>220</v>
      </c>
      <c r="I139" s="4">
        <f ca="1">(TODAY()-staff[[#This Row],[Date Joined]])/365</f>
        <v>2.4493150684931506</v>
      </c>
      <c r="J139" s="20">
        <f ca="1">IF(staff[[#This Row],[Tenure]]&gt;2,3%,2%)*staff[[#This Row],[Salary]]</f>
        <v>3143.1</v>
      </c>
      <c r="K139" s="25">
        <f>_xlfn.XLOOKUP(staff[[#This Row],[Rating]],$Q$2:$Q$6,$R$2:$R$6)</f>
        <v>3</v>
      </c>
      <c r="L139"/>
    </row>
    <row r="140" spans="1:12" x14ac:dyDescent="0.25">
      <c r="A140" t="s">
        <v>158</v>
      </c>
      <c r="B140" t="s">
        <v>8</v>
      </c>
      <c r="C140" t="s">
        <v>12</v>
      </c>
      <c r="D140">
        <v>21</v>
      </c>
      <c r="E140" s="2">
        <v>44701</v>
      </c>
      <c r="F140" s="3">
        <v>57090</v>
      </c>
      <c r="G140" t="s">
        <v>13</v>
      </c>
      <c r="H140" s="25" t="s">
        <v>220</v>
      </c>
      <c r="I140" s="4">
        <f ca="1">(TODAY()-staff[[#This Row],[Date Joined]])/365</f>
        <v>1.6931506849315068</v>
      </c>
      <c r="J140" s="20">
        <f ca="1">IF(staff[[#This Row],[Tenure]]&gt;2,3%,2%)*staff[[#This Row],[Salary]]</f>
        <v>1141.8</v>
      </c>
      <c r="K140" s="25">
        <f>_xlfn.XLOOKUP(staff[[#This Row],[Rating]],$Q$2:$Q$6,$R$2:$R$6)</f>
        <v>3</v>
      </c>
      <c r="L140"/>
    </row>
    <row r="141" spans="1:12" x14ac:dyDescent="0.25">
      <c r="A141" t="s">
        <v>159</v>
      </c>
      <c r="B141" t="s">
        <v>8</v>
      </c>
      <c r="C141" t="s">
        <v>17</v>
      </c>
      <c r="D141">
        <v>27</v>
      </c>
      <c r="E141" s="2">
        <v>44174</v>
      </c>
      <c r="F141" s="3">
        <v>91650</v>
      </c>
      <c r="G141" t="s">
        <v>10</v>
      </c>
      <c r="H141" s="25" t="s">
        <v>220</v>
      </c>
      <c r="I141" s="4">
        <f ca="1">(TODAY()-staff[[#This Row],[Date Joined]])/365</f>
        <v>3.1369863013698631</v>
      </c>
      <c r="J141" s="20">
        <f ca="1">IF(staff[[#This Row],[Tenure]]&gt;2,3%,2%)*staff[[#This Row],[Salary]]</f>
        <v>2749.5</v>
      </c>
      <c r="K141" s="25">
        <f>_xlfn.XLOOKUP(staff[[#This Row],[Rating]],$Q$2:$Q$6,$R$2:$R$6)</f>
        <v>4</v>
      </c>
      <c r="L141"/>
    </row>
    <row r="142" spans="1:12" x14ac:dyDescent="0.25">
      <c r="A142" t="s">
        <v>160</v>
      </c>
      <c r="B142" t="s">
        <v>8</v>
      </c>
      <c r="C142" t="s">
        <v>17</v>
      </c>
      <c r="D142">
        <v>42</v>
      </c>
      <c r="E142" s="2">
        <v>44670</v>
      </c>
      <c r="F142" s="3">
        <v>70270</v>
      </c>
      <c r="G142" t="s">
        <v>18</v>
      </c>
      <c r="H142" s="25" t="s">
        <v>220</v>
      </c>
      <c r="I142" s="4">
        <f ca="1">(TODAY()-staff[[#This Row],[Date Joined]])/365</f>
        <v>1.7780821917808218</v>
      </c>
      <c r="J142" s="20">
        <f ca="1">IF(staff[[#This Row],[Tenure]]&gt;2,3%,2%)*staff[[#This Row],[Salary]]</f>
        <v>1405.4</v>
      </c>
      <c r="K142" s="25">
        <f>_xlfn.XLOOKUP(staff[[#This Row],[Rating]],$Q$2:$Q$6,$R$2:$R$6)</f>
        <v>2</v>
      </c>
      <c r="L142"/>
    </row>
    <row r="143" spans="1:12" x14ac:dyDescent="0.25">
      <c r="A143" t="s">
        <v>161</v>
      </c>
      <c r="B143" t="s">
        <v>15</v>
      </c>
      <c r="C143" t="s">
        <v>17</v>
      </c>
      <c r="D143">
        <v>28</v>
      </c>
      <c r="E143" s="2">
        <v>44124</v>
      </c>
      <c r="F143" s="3">
        <v>75970</v>
      </c>
      <c r="G143" t="s">
        <v>13</v>
      </c>
      <c r="H143" s="25" t="s">
        <v>220</v>
      </c>
      <c r="I143" s="4">
        <f ca="1">(TODAY()-staff[[#This Row],[Date Joined]])/365</f>
        <v>3.2739726027397262</v>
      </c>
      <c r="J143" s="20">
        <f ca="1">IF(staff[[#This Row],[Tenure]]&gt;2,3%,2%)*staff[[#This Row],[Salary]]</f>
        <v>2279.1</v>
      </c>
      <c r="K143" s="25">
        <f>_xlfn.XLOOKUP(staff[[#This Row],[Rating]],$Q$2:$Q$6,$R$2:$R$6)</f>
        <v>3</v>
      </c>
      <c r="L143"/>
    </row>
    <row r="144" spans="1:12" x14ac:dyDescent="0.25">
      <c r="A144" t="s">
        <v>162</v>
      </c>
      <c r="B144" t="s">
        <v>211</v>
      </c>
      <c r="C144" t="s">
        <v>23</v>
      </c>
      <c r="D144">
        <v>27</v>
      </c>
      <c r="E144" s="2">
        <v>44212</v>
      </c>
      <c r="F144" s="3">
        <v>90700</v>
      </c>
      <c r="G144" t="s">
        <v>10</v>
      </c>
      <c r="H144" s="25" t="s">
        <v>220</v>
      </c>
      <c r="I144" s="4">
        <f ca="1">(TODAY()-staff[[#This Row],[Date Joined]])/365</f>
        <v>3.032876712328767</v>
      </c>
      <c r="J144" s="20">
        <f ca="1">IF(staff[[#This Row],[Tenure]]&gt;2,3%,2%)*staff[[#This Row],[Salary]]</f>
        <v>2721</v>
      </c>
      <c r="K144" s="25">
        <f>_xlfn.XLOOKUP(staff[[#This Row],[Rating]],$Q$2:$Q$6,$R$2:$R$6)</f>
        <v>4</v>
      </c>
      <c r="L144"/>
    </row>
    <row r="145" spans="1:12" x14ac:dyDescent="0.25">
      <c r="A145" t="s">
        <v>163</v>
      </c>
      <c r="B145" t="s">
        <v>8</v>
      </c>
      <c r="C145" t="s">
        <v>12</v>
      </c>
      <c r="D145">
        <v>30</v>
      </c>
      <c r="E145" s="2">
        <v>44607</v>
      </c>
      <c r="F145" s="3">
        <v>60570</v>
      </c>
      <c r="G145" t="s">
        <v>13</v>
      </c>
      <c r="H145" s="25" t="s">
        <v>220</v>
      </c>
      <c r="I145" s="4">
        <f ca="1">(TODAY()-staff[[#This Row],[Date Joined]])/365</f>
        <v>1.9506849315068493</v>
      </c>
      <c r="J145" s="20">
        <f ca="1">IF(staff[[#This Row],[Tenure]]&gt;2,3%,2%)*staff[[#This Row],[Salary]]</f>
        <v>1211.4000000000001</v>
      </c>
      <c r="K145" s="25">
        <f>_xlfn.XLOOKUP(staff[[#This Row],[Rating]],$Q$2:$Q$6,$R$2:$R$6)</f>
        <v>3</v>
      </c>
      <c r="L145"/>
    </row>
    <row r="146" spans="1:12" x14ac:dyDescent="0.25">
      <c r="A146" t="s">
        <v>164</v>
      </c>
      <c r="B146" t="s">
        <v>8</v>
      </c>
      <c r="C146" t="s">
        <v>12</v>
      </c>
      <c r="D146">
        <v>33</v>
      </c>
      <c r="E146" s="2">
        <v>44103</v>
      </c>
      <c r="F146" s="3">
        <v>115920</v>
      </c>
      <c r="G146" t="s">
        <v>13</v>
      </c>
      <c r="H146" s="25" t="s">
        <v>220</v>
      </c>
      <c r="I146" s="4">
        <f ca="1">(TODAY()-staff[[#This Row],[Date Joined]])/365</f>
        <v>3.3315068493150686</v>
      </c>
      <c r="J146" s="20">
        <f ca="1">IF(staff[[#This Row],[Tenure]]&gt;2,3%,2%)*staff[[#This Row],[Salary]]</f>
        <v>3477.6</v>
      </c>
      <c r="K146" s="25">
        <f>_xlfn.XLOOKUP(staff[[#This Row],[Rating]],$Q$2:$Q$6,$R$2:$R$6)</f>
        <v>3</v>
      </c>
      <c r="L146"/>
    </row>
    <row r="147" spans="1:12" x14ac:dyDescent="0.25">
      <c r="A147" t="s">
        <v>165</v>
      </c>
      <c r="B147" t="s">
        <v>15</v>
      </c>
      <c r="C147" t="s">
        <v>17</v>
      </c>
      <c r="D147">
        <v>33</v>
      </c>
      <c r="E147" s="2">
        <v>44006</v>
      </c>
      <c r="F147" s="3">
        <v>65360</v>
      </c>
      <c r="G147" t="s">
        <v>13</v>
      </c>
      <c r="H147" s="25" t="s">
        <v>220</v>
      </c>
      <c r="I147" s="4">
        <f ca="1">(TODAY()-staff[[#This Row],[Date Joined]])/365</f>
        <v>3.5972602739726027</v>
      </c>
      <c r="J147" s="20">
        <f ca="1">IF(staff[[#This Row],[Tenure]]&gt;2,3%,2%)*staff[[#This Row],[Salary]]</f>
        <v>1960.8</v>
      </c>
      <c r="K147" s="25">
        <f>_xlfn.XLOOKUP(staff[[#This Row],[Rating]],$Q$2:$Q$6,$R$2:$R$6)</f>
        <v>3</v>
      </c>
      <c r="L147"/>
    </row>
    <row r="148" spans="1:12" x14ac:dyDescent="0.25">
      <c r="A148" t="s">
        <v>166</v>
      </c>
      <c r="B148" t="s">
        <v>211</v>
      </c>
      <c r="C148" t="s">
        <v>17</v>
      </c>
      <c r="D148">
        <v>30</v>
      </c>
      <c r="E148" s="2">
        <v>44535</v>
      </c>
      <c r="F148" s="3">
        <v>64000</v>
      </c>
      <c r="G148" t="s">
        <v>13</v>
      </c>
      <c r="H148" s="25" t="s">
        <v>220</v>
      </c>
      <c r="I148" s="4">
        <f ca="1">(TODAY()-staff[[#This Row],[Date Joined]])/365</f>
        <v>2.1479452054794521</v>
      </c>
      <c r="J148" s="20">
        <f ca="1">IF(staff[[#This Row],[Tenure]]&gt;2,3%,2%)*staff[[#This Row],[Salary]]</f>
        <v>1920</v>
      </c>
      <c r="K148" s="25">
        <f>_xlfn.XLOOKUP(staff[[#This Row],[Rating]],$Q$2:$Q$6,$R$2:$R$6)</f>
        <v>3</v>
      </c>
      <c r="L148"/>
    </row>
    <row r="149" spans="1:12" x14ac:dyDescent="0.25">
      <c r="A149" t="s">
        <v>167</v>
      </c>
      <c r="B149" t="s">
        <v>15</v>
      </c>
      <c r="C149" t="s">
        <v>17</v>
      </c>
      <c r="D149">
        <v>34</v>
      </c>
      <c r="E149" s="2">
        <v>44383</v>
      </c>
      <c r="F149" s="3">
        <v>92450</v>
      </c>
      <c r="G149" t="s">
        <v>13</v>
      </c>
      <c r="H149" s="25" t="s">
        <v>220</v>
      </c>
      <c r="I149" s="4">
        <f ca="1">(TODAY()-staff[[#This Row],[Date Joined]])/365</f>
        <v>2.5643835616438357</v>
      </c>
      <c r="J149" s="20">
        <f ca="1">IF(staff[[#This Row],[Tenure]]&gt;2,3%,2%)*staff[[#This Row],[Salary]]</f>
        <v>2773.5</v>
      </c>
      <c r="K149" s="25">
        <f>_xlfn.XLOOKUP(staff[[#This Row],[Rating]],$Q$2:$Q$6,$R$2:$R$6)</f>
        <v>3</v>
      </c>
      <c r="L149"/>
    </row>
    <row r="150" spans="1:12" x14ac:dyDescent="0.25">
      <c r="A150" t="s">
        <v>168</v>
      </c>
      <c r="B150" t="s">
        <v>8</v>
      </c>
      <c r="C150" t="s">
        <v>23</v>
      </c>
      <c r="D150">
        <v>31</v>
      </c>
      <c r="E150" s="2">
        <v>44450</v>
      </c>
      <c r="F150" s="3">
        <v>48950</v>
      </c>
      <c r="G150" t="s">
        <v>13</v>
      </c>
      <c r="H150" s="25" t="s">
        <v>220</v>
      </c>
      <c r="I150" s="4">
        <f ca="1">(TODAY()-staff[[#This Row],[Date Joined]])/365</f>
        <v>2.3808219178082193</v>
      </c>
      <c r="J150" s="20">
        <f ca="1">IF(staff[[#This Row],[Tenure]]&gt;2,3%,2%)*staff[[#This Row],[Salary]]</f>
        <v>1468.5</v>
      </c>
      <c r="K150" s="25">
        <f>_xlfn.XLOOKUP(staff[[#This Row],[Rating]],$Q$2:$Q$6,$R$2:$R$6)</f>
        <v>3</v>
      </c>
      <c r="L150"/>
    </row>
    <row r="151" spans="1:12" x14ac:dyDescent="0.25">
      <c r="A151" t="s">
        <v>169</v>
      </c>
      <c r="B151" t="s">
        <v>15</v>
      </c>
      <c r="C151" t="s">
        <v>23</v>
      </c>
      <c r="D151">
        <v>27</v>
      </c>
      <c r="E151" s="2">
        <v>44625</v>
      </c>
      <c r="F151" s="3">
        <v>83750</v>
      </c>
      <c r="G151" t="s">
        <v>13</v>
      </c>
      <c r="H151" s="25" t="s">
        <v>220</v>
      </c>
      <c r="I151" s="4">
        <f ca="1">(TODAY()-staff[[#This Row],[Date Joined]])/365</f>
        <v>1.9013698630136986</v>
      </c>
      <c r="J151" s="20">
        <f ca="1">IF(staff[[#This Row],[Tenure]]&gt;2,3%,2%)*staff[[#This Row],[Salary]]</f>
        <v>1675</v>
      </c>
      <c r="K151" s="25">
        <f>_xlfn.XLOOKUP(staff[[#This Row],[Rating]],$Q$2:$Q$6,$R$2:$R$6)</f>
        <v>3</v>
      </c>
      <c r="L151"/>
    </row>
    <row r="152" spans="1:12" x14ac:dyDescent="0.25">
      <c r="A152" t="s">
        <v>170</v>
      </c>
      <c r="B152" t="s">
        <v>15</v>
      </c>
      <c r="C152" t="s">
        <v>23</v>
      </c>
      <c r="D152">
        <v>40</v>
      </c>
      <c r="E152" s="2">
        <v>44276</v>
      </c>
      <c r="F152" s="3">
        <v>87620</v>
      </c>
      <c r="G152" t="s">
        <v>13</v>
      </c>
      <c r="H152" s="25" t="s">
        <v>220</v>
      </c>
      <c r="I152" s="4">
        <f ca="1">(TODAY()-staff[[#This Row],[Date Joined]])/365</f>
        <v>2.8575342465753426</v>
      </c>
      <c r="J152" s="20">
        <f ca="1">IF(staff[[#This Row],[Tenure]]&gt;2,3%,2%)*staff[[#This Row],[Salary]]</f>
        <v>2628.6</v>
      </c>
      <c r="K152" s="25">
        <f>_xlfn.XLOOKUP(staff[[#This Row],[Rating]],$Q$2:$Q$6,$R$2:$R$6)</f>
        <v>3</v>
      </c>
      <c r="L152"/>
    </row>
    <row r="153" spans="1:12" x14ac:dyDescent="0.25">
      <c r="A153" t="s">
        <v>171</v>
      </c>
      <c r="B153" t="s">
        <v>15</v>
      </c>
      <c r="C153" t="s">
        <v>9</v>
      </c>
      <c r="D153">
        <v>20</v>
      </c>
      <c r="E153" s="2">
        <v>44476</v>
      </c>
      <c r="F153" s="3">
        <v>68900</v>
      </c>
      <c r="G153" t="s">
        <v>18</v>
      </c>
      <c r="H153" s="25" t="s">
        <v>220</v>
      </c>
      <c r="I153" s="4">
        <f ca="1">(TODAY()-staff[[#This Row],[Date Joined]])/365</f>
        <v>2.3095890410958906</v>
      </c>
      <c r="J153" s="20">
        <f ca="1">IF(staff[[#This Row],[Tenure]]&gt;2,3%,2%)*staff[[#This Row],[Salary]]</f>
        <v>2067</v>
      </c>
      <c r="K153" s="25">
        <f>_xlfn.XLOOKUP(staff[[#This Row],[Rating]],$Q$2:$Q$6,$R$2:$R$6)</f>
        <v>2</v>
      </c>
      <c r="L153"/>
    </row>
    <row r="154" spans="1:12" x14ac:dyDescent="0.25">
      <c r="A154" t="s">
        <v>172</v>
      </c>
      <c r="B154" t="s">
        <v>8</v>
      </c>
      <c r="C154" t="s">
        <v>9</v>
      </c>
      <c r="D154">
        <v>32</v>
      </c>
      <c r="E154" s="2">
        <v>44403</v>
      </c>
      <c r="F154" s="3">
        <v>53540</v>
      </c>
      <c r="G154" t="s">
        <v>13</v>
      </c>
      <c r="H154" s="25" t="s">
        <v>220</v>
      </c>
      <c r="I154" s="4">
        <f ca="1">(TODAY()-staff[[#This Row],[Date Joined]])/365</f>
        <v>2.5095890410958903</v>
      </c>
      <c r="J154" s="20">
        <f ca="1">IF(staff[[#This Row],[Tenure]]&gt;2,3%,2%)*staff[[#This Row],[Salary]]</f>
        <v>1606.2</v>
      </c>
      <c r="K154" s="25">
        <f>_xlfn.XLOOKUP(staff[[#This Row],[Rating]],$Q$2:$Q$6,$R$2:$R$6)</f>
        <v>3</v>
      </c>
      <c r="L154"/>
    </row>
    <row r="155" spans="1:12" x14ac:dyDescent="0.25">
      <c r="A155" t="s">
        <v>173</v>
      </c>
      <c r="B155" t="s">
        <v>8</v>
      </c>
      <c r="C155" t="s">
        <v>9</v>
      </c>
      <c r="D155">
        <v>28</v>
      </c>
      <c r="E155" s="2">
        <v>44758</v>
      </c>
      <c r="F155" s="3">
        <v>43510</v>
      </c>
      <c r="G155" t="s">
        <v>49</v>
      </c>
      <c r="H155" s="25" t="s">
        <v>220</v>
      </c>
      <c r="I155" s="4">
        <f ca="1">(TODAY()-staff[[#This Row],[Date Joined]])/365</f>
        <v>1.536986301369863</v>
      </c>
      <c r="J155" s="20">
        <f ca="1">IF(staff[[#This Row],[Tenure]]&gt;2,3%,2%)*staff[[#This Row],[Salary]]</f>
        <v>870.2</v>
      </c>
      <c r="K155" s="25">
        <f>_xlfn.XLOOKUP(staff[[#This Row],[Rating]],$Q$2:$Q$6,$R$2:$R$6)</f>
        <v>1</v>
      </c>
      <c r="L155"/>
    </row>
    <row r="156" spans="1:12" x14ac:dyDescent="0.25">
      <c r="A156" t="s">
        <v>174</v>
      </c>
      <c r="B156" t="s">
        <v>15</v>
      </c>
      <c r="C156" t="s">
        <v>9</v>
      </c>
      <c r="D156">
        <v>38</v>
      </c>
      <c r="E156" s="2">
        <v>44316</v>
      </c>
      <c r="F156" s="3">
        <v>109160</v>
      </c>
      <c r="G156" t="s">
        <v>43</v>
      </c>
      <c r="H156" s="25" t="s">
        <v>220</v>
      </c>
      <c r="I156" s="4">
        <f ca="1">(TODAY()-staff[[#This Row],[Date Joined]])/365</f>
        <v>2.7479452054794522</v>
      </c>
      <c r="J156" s="20">
        <f ca="1">IF(staff[[#This Row],[Tenure]]&gt;2,3%,2%)*staff[[#This Row],[Salary]]</f>
        <v>3274.7999999999997</v>
      </c>
      <c r="K156" s="25">
        <f>_xlfn.XLOOKUP(staff[[#This Row],[Rating]],$Q$2:$Q$6,$R$2:$R$6)</f>
        <v>5</v>
      </c>
      <c r="L156"/>
    </row>
    <row r="157" spans="1:12" x14ac:dyDescent="0.25">
      <c r="A157" t="s">
        <v>175</v>
      </c>
      <c r="B157" t="s">
        <v>8</v>
      </c>
      <c r="C157" t="s">
        <v>12</v>
      </c>
      <c r="D157">
        <v>40</v>
      </c>
      <c r="E157" s="2">
        <v>44204</v>
      </c>
      <c r="F157" s="3">
        <v>99750</v>
      </c>
      <c r="G157" t="s">
        <v>13</v>
      </c>
      <c r="H157" s="25" t="s">
        <v>220</v>
      </c>
      <c r="I157" s="4">
        <f ca="1">(TODAY()-staff[[#This Row],[Date Joined]])/365</f>
        <v>3.0547945205479454</v>
      </c>
      <c r="J157" s="20">
        <f ca="1">IF(staff[[#This Row],[Tenure]]&gt;2,3%,2%)*staff[[#This Row],[Salary]]</f>
        <v>2992.5</v>
      </c>
      <c r="K157" s="25">
        <f>_xlfn.XLOOKUP(staff[[#This Row],[Rating]],$Q$2:$Q$6,$R$2:$R$6)</f>
        <v>3</v>
      </c>
      <c r="L157"/>
    </row>
    <row r="158" spans="1:12" x14ac:dyDescent="0.25">
      <c r="A158" t="s">
        <v>176</v>
      </c>
      <c r="B158" t="s">
        <v>15</v>
      </c>
      <c r="C158" t="s">
        <v>23</v>
      </c>
      <c r="D158">
        <v>31</v>
      </c>
      <c r="E158" s="2">
        <v>44084</v>
      </c>
      <c r="F158" s="3">
        <v>41980</v>
      </c>
      <c r="G158" t="s">
        <v>13</v>
      </c>
      <c r="H158" s="25" t="s">
        <v>220</v>
      </c>
      <c r="I158" s="4">
        <f ca="1">(TODAY()-staff[[#This Row],[Date Joined]])/365</f>
        <v>3.3835616438356166</v>
      </c>
      <c r="J158" s="20">
        <f ca="1">IF(staff[[#This Row],[Tenure]]&gt;2,3%,2%)*staff[[#This Row],[Salary]]</f>
        <v>1259.3999999999999</v>
      </c>
      <c r="K158" s="25">
        <f>_xlfn.XLOOKUP(staff[[#This Row],[Rating]],$Q$2:$Q$6,$R$2:$R$6)</f>
        <v>3</v>
      </c>
      <c r="L158"/>
    </row>
    <row r="159" spans="1:12" x14ac:dyDescent="0.25">
      <c r="A159" t="s">
        <v>177</v>
      </c>
      <c r="B159" t="s">
        <v>8</v>
      </c>
      <c r="C159" t="s">
        <v>17</v>
      </c>
      <c r="D159">
        <v>36</v>
      </c>
      <c r="E159" s="2">
        <v>44272</v>
      </c>
      <c r="F159" s="3">
        <v>71380</v>
      </c>
      <c r="G159" t="s">
        <v>13</v>
      </c>
      <c r="H159" s="25" t="s">
        <v>220</v>
      </c>
      <c r="I159" s="4">
        <f ca="1">(TODAY()-staff[[#This Row],[Date Joined]])/365</f>
        <v>2.8684931506849316</v>
      </c>
      <c r="J159" s="20">
        <f ca="1">IF(staff[[#This Row],[Tenure]]&gt;2,3%,2%)*staff[[#This Row],[Salary]]</f>
        <v>2141.4</v>
      </c>
      <c r="K159" s="25">
        <f>_xlfn.XLOOKUP(staff[[#This Row],[Rating]],$Q$2:$Q$6,$R$2:$R$6)</f>
        <v>3</v>
      </c>
      <c r="L159"/>
    </row>
    <row r="160" spans="1:12" x14ac:dyDescent="0.25">
      <c r="A160" t="s">
        <v>178</v>
      </c>
      <c r="B160" t="s">
        <v>8</v>
      </c>
      <c r="C160" t="s">
        <v>12</v>
      </c>
      <c r="D160">
        <v>27</v>
      </c>
      <c r="E160" s="2">
        <v>44547</v>
      </c>
      <c r="F160" s="3">
        <v>113280</v>
      </c>
      <c r="G160" t="s">
        <v>49</v>
      </c>
      <c r="H160" s="25" t="s">
        <v>220</v>
      </c>
      <c r="I160" s="4">
        <f ca="1">(TODAY()-staff[[#This Row],[Date Joined]])/365</f>
        <v>2.1150684931506851</v>
      </c>
      <c r="J160" s="20">
        <f ca="1">IF(staff[[#This Row],[Tenure]]&gt;2,3%,2%)*staff[[#This Row],[Salary]]</f>
        <v>3398.4</v>
      </c>
      <c r="K160" s="25">
        <f>_xlfn.XLOOKUP(staff[[#This Row],[Rating]],$Q$2:$Q$6,$R$2:$R$6)</f>
        <v>1</v>
      </c>
      <c r="L160"/>
    </row>
    <row r="161" spans="1:12" x14ac:dyDescent="0.25">
      <c r="A161" t="s">
        <v>179</v>
      </c>
      <c r="B161" t="s">
        <v>15</v>
      </c>
      <c r="C161" t="s">
        <v>17</v>
      </c>
      <c r="D161">
        <v>33</v>
      </c>
      <c r="E161" s="2">
        <v>44747</v>
      </c>
      <c r="F161" s="3">
        <v>86570</v>
      </c>
      <c r="G161" t="s">
        <v>13</v>
      </c>
      <c r="H161" s="25" t="s">
        <v>220</v>
      </c>
      <c r="I161" s="4">
        <f ca="1">(TODAY()-staff[[#This Row],[Date Joined]])/365</f>
        <v>1.5671232876712329</v>
      </c>
      <c r="J161" s="20">
        <f ca="1">IF(staff[[#This Row],[Tenure]]&gt;2,3%,2%)*staff[[#This Row],[Salary]]</f>
        <v>1731.4</v>
      </c>
      <c r="K161" s="25">
        <f>_xlfn.XLOOKUP(staff[[#This Row],[Rating]],$Q$2:$Q$6,$R$2:$R$6)</f>
        <v>3</v>
      </c>
      <c r="L161"/>
    </row>
    <row r="162" spans="1:12" x14ac:dyDescent="0.25">
      <c r="A162" t="s">
        <v>180</v>
      </c>
      <c r="B162" t="s">
        <v>8</v>
      </c>
      <c r="C162" t="s">
        <v>12</v>
      </c>
      <c r="D162">
        <v>26</v>
      </c>
      <c r="E162" s="2">
        <v>44350</v>
      </c>
      <c r="F162" s="3">
        <v>53540</v>
      </c>
      <c r="G162" t="s">
        <v>13</v>
      </c>
      <c r="H162" s="25" t="s">
        <v>220</v>
      </c>
      <c r="I162" s="4">
        <f ca="1">(TODAY()-staff[[#This Row],[Date Joined]])/365</f>
        <v>2.6547945205479451</v>
      </c>
      <c r="J162" s="20">
        <f ca="1">IF(staff[[#This Row],[Tenure]]&gt;2,3%,2%)*staff[[#This Row],[Salary]]</f>
        <v>1606.2</v>
      </c>
      <c r="K162" s="25">
        <f>_xlfn.XLOOKUP(staff[[#This Row],[Rating]],$Q$2:$Q$6,$R$2:$R$6)</f>
        <v>3</v>
      </c>
      <c r="L162"/>
    </row>
    <row r="163" spans="1:12" x14ac:dyDescent="0.25">
      <c r="A163" t="s">
        <v>181</v>
      </c>
      <c r="B163" t="s">
        <v>8</v>
      </c>
      <c r="C163" t="s">
        <v>23</v>
      </c>
      <c r="D163">
        <v>37</v>
      </c>
      <c r="E163" s="2">
        <v>44640</v>
      </c>
      <c r="F163" s="3">
        <v>69070</v>
      </c>
      <c r="G163" t="s">
        <v>13</v>
      </c>
      <c r="H163" s="25" t="s">
        <v>220</v>
      </c>
      <c r="I163" s="4">
        <f ca="1">(TODAY()-staff[[#This Row],[Date Joined]])/365</f>
        <v>1.8602739726027397</v>
      </c>
      <c r="J163" s="20">
        <f ca="1">IF(staff[[#This Row],[Tenure]]&gt;2,3%,2%)*staff[[#This Row],[Salary]]</f>
        <v>1381.4</v>
      </c>
      <c r="K163" s="25">
        <f>_xlfn.XLOOKUP(staff[[#This Row],[Rating]],$Q$2:$Q$6,$R$2:$R$6)</f>
        <v>3</v>
      </c>
      <c r="L163"/>
    </row>
    <row r="164" spans="1:12" x14ac:dyDescent="0.25">
      <c r="A164" t="s">
        <v>182</v>
      </c>
      <c r="B164" t="s">
        <v>15</v>
      </c>
      <c r="C164" t="s">
        <v>17</v>
      </c>
      <c r="D164">
        <v>30</v>
      </c>
      <c r="E164" s="2">
        <v>44328</v>
      </c>
      <c r="F164" s="3">
        <v>67910</v>
      </c>
      <c r="G164" t="s">
        <v>18</v>
      </c>
      <c r="H164" s="25" t="s">
        <v>220</v>
      </c>
      <c r="I164" s="4">
        <f ca="1">(TODAY()-staff[[#This Row],[Date Joined]])/365</f>
        <v>2.7150684931506848</v>
      </c>
      <c r="J164" s="20">
        <f ca="1">IF(staff[[#This Row],[Tenure]]&gt;2,3%,2%)*staff[[#This Row],[Salary]]</f>
        <v>2037.3</v>
      </c>
      <c r="K164" s="25">
        <f>_xlfn.XLOOKUP(staff[[#This Row],[Rating]],$Q$2:$Q$6,$R$2:$R$6)</f>
        <v>2</v>
      </c>
      <c r="L164"/>
    </row>
    <row r="165" spans="1:12" x14ac:dyDescent="0.25">
      <c r="A165" t="s">
        <v>183</v>
      </c>
      <c r="B165" t="s">
        <v>8</v>
      </c>
      <c r="C165" t="s">
        <v>23</v>
      </c>
      <c r="D165">
        <v>30</v>
      </c>
      <c r="E165" s="2">
        <v>44214</v>
      </c>
      <c r="F165" s="3">
        <v>69120</v>
      </c>
      <c r="G165" t="s">
        <v>13</v>
      </c>
      <c r="H165" s="25" t="s">
        <v>220</v>
      </c>
      <c r="I165" s="4">
        <f ca="1">(TODAY()-staff[[#This Row],[Date Joined]])/365</f>
        <v>3.0273972602739727</v>
      </c>
      <c r="J165" s="20">
        <f ca="1">IF(staff[[#This Row],[Tenure]]&gt;2,3%,2%)*staff[[#This Row],[Salary]]</f>
        <v>2073.6</v>
      </c>
      <c r="K165" s="25">
        <f>_xlfn.XLOOKUP(staff[[#This Row],[Rating]],$Q$2:$Q$6,$R$2:$R$6)</f>
        <v>3</v>
      </c>
      <c r="L165"/>
    </row>
    <row r="166" spans="1:12" x14ac:dyDescent="0.25">
      <c r="A166" t="s">
        <v>184</v>
      </c>
      <c r="B166" t="s">
        <v>15</v>
      </c>
      <c r="C166" t="s">
        <v>17</v>
      </c>
      <c r="D166">
        <v>34</v>
      </c>
      <c r="E166" s="2">
        <v>44550</v>
      </c>
      <c r="F166" s="3">
        <v>60130</v>
      </c>
      <c r="G166" t="s">
        <v>13</v>
      </c>
      <c r="H166" s="25" t="s">
        <v>220</v>
      </c>
      <c r="I166" s="4">
        <f ca="1">(TODAY()-staff[[#This Row],[Date Joined]])/365</f>
        <v>2.106849315068493</v>
      </c>
      <c r="J166" s="20">
        <f ca="1">IF(staff[[#This Row],[Tenure]]&gt;2,3%,2%)*staff[[#This Row],[Salary]]</f>
        <v>1803.8999999999999</v>
      </c>
      <c r="K166" s="25">
        <f>_xlfn.XLOOKUP(staff[[#This Row],[Rating]],$Q$2:$Q$6,$R$2:$R$6)</f>
        <v>3</v>
      </c>
      <c r="L166"/>
    </row>
    <row r="167" spans="1:12" x14ac:dyDescent="0.25">
      <c r="A167" t="s">
        <v>185</v>
      </c>
      <c r="B167" t="s">
        <v>8</v>
      </c>
      <c r="C167" t="s">
        <v>12</v>
      </c>
      <c r="D167">
        <v>23</v>
      </c>
      <c r="E167" s="2">
        <v>44378</v>
      </c>
      <c r="F167" s="3">
        <v>106460</v>
      </c>
      <c r="G167" t="s">
        <v>13</v>
      </c>
      <c r="H167" s="25" t="s">
        <v>220</v>
      </c>
      <c r="I167" s="4">
        <f ca="1">(TODAY()-staff[[#This Row],[Date Joined]])/365</f>
        <v>2.5780821917808221</v>
      </c>
      <c r="J167" s="20">
        <f ca="1">IF(staff[[#This Row],[Tenure]]&gt;2,3%,2%)*staff[[#This Row],[Salary]]</f>
        <v>3193.7999999999997</v>
      </c>
      <c r="K167" s="25">
        <f>_xlfn.XLOOKUP(staff[[#This Row],[Rating]],$Q$2:$Q$6,$R$2:$R$6)</f>
        <v>3</v>
      </c>
      <c r="L167"/>
    </row>
    <row r="168" spans="1:12" x14ac:dyDescent="0.25">
      <c r="A168" t="s">
        <v>186</v>
      </c>
      <c r="B168" t="s">
        <v>15</v>
      </c>
      <c r="C168" t="s">
        <v>26</v>
      </c>
      <c r="D168">
        <v>37</v>
      </c>
      <c r="E168" s="2">
        <v>44389</v>
      </c>
      <c r="F168" s="3">
        <v>118100</v>
      </c>
      <c r="G168" t="s">
        <v>13</v>
      </c>
      <c r="H168" s="25" t="s">
        <v>220</v>
      </c>
      <c r="I168" s="4">
        <f ca="1">(TODAY()-staff[[#This Row],[Date Joined]])/365</f>
        <v>2.547945205479452</v>
      </c>
      <c r="J168" s="20">
        <f ca="1">IF(staff[[#This Row],[Tenure]]&gt;2,3%,2%)*staff[[#This Row],[Salary]]</f>
        <v>3543</v>
      </c>
      <c r="K168" s="25">
        <f>_xlfn.XLOOKUP(staff[[#This Row],[Rating]],$Q$2:$Q$6,$R$2:$R$6)</f>
        <v>3</v>
      </c>
      <c r="L168"/>
    </row>
    <row r="169" spans="1:12" x14ac:dyDescent="0.25">
      <c r="A169" t="s">
        <v>187</v>
      </c>
      <c r="B169" t="s">
        <v>15</v>
      </c>
      <c r="C169" t="s">
        <v>12</v>
      </c>
      <c r="D169">
        <v>36</v>
      </c>
      <c r="E169" s="2">
        <v>44468</v>
      </c>
      <c r="F169" s="3">
        <v>78390</v>
      </c>
      <c r="G169" t="s">
        <v>13</v>
      </c>
      <c r="H169" s="25" t="s">
        <v>220</v>
      </c>
      <c r="I169" s="4">
        <f ca="1">(TODAY()-staff[[#This Row],[Date Joined]])/365</f>
        <v>2.3315068493150686</v>
      </c>
      <c r="J169" s="20">
        <f ca="1">IF(staff[[#This Row],[Tenure]]&gt;2,3%,2%)*staff[[#This Row],[Salary]]</f>
        <v>2351.6999999999998</v>
      </c>
      <c r="K169" s="25">
        <f>_xlfn.XLOOKUP(staff[[#This Row],[Rating]],$Q$2:$Q$6,$R$2:$R$6)</f>
        <v>3</v>
      </c>
      <c r="L169"/>
    </row>
    <row r="170" spans="1:12" x14ac:dyDescent="0.25">
      <c r="A170" t="s">
        <v>188</v>
      </c>
      <c r="B170" t="s">
        <v>15</v>
      </c>
      <c r="C170" t="s">
        <v>12</v>
      </c>
      <c r="D170">
        <v>30</v>
      </c>
      <c r="E170" s="2">
        <v>44789</v>
      </c>
      <c r="F170" s="3">
        <v>114180</v>
      </c>
      <c r="G170" t="s">
        <v>13</v>
      </c>
      <c r="H170" s="25" t="s">
        <v>220</v>
      </c>
      <c r="I170" s="4">
        <f ca="1">(TODAY()-staff[[#This Row],[Date Joined]])/365</f>
        <v>1.452054794520548</v>
      </c>
      <c r="J170" s="20">
        <f ca="1">IF(staff[[#This Row],[Tenure]]&gt;2,3%,2%)*staff[[#This Row],[Salary]]</f>
        <v>2283.6</v>
      </c>
      <c r="K170" s="25">
        <f>_xlfn.XLOOKUP(staff[[#This Row],[Rating]],$Q$2:$Q$6,$R$2:$R$6)</f>
        <v>3</v>
      </c>
      <c r="L170"/>
    </row>
    <row r="171" spans="1:12" x14ac:dyDescent="0.25">
      <c r="A171" t="s">
        <v>189</v>
      </c>
      <c r="B171" t="s">
        <v>15</v>
      </c>
      <c r="C171" t="s">
        <v>12</v>
      </c>
      <c r="D171">
        <v>28</v>
      </c>
      <c r="E171" s="2">
        <v>44590</v>
      </c>
      <c r="F171" s="3">
        <v>104120</v>
      </c>
      <c r="G171" t="s">
        <v>13</v>
      </c>
      <c r="H171" s="25" t="s">
        <v>220</v>
      </c>
      <c r="I171" s="4">
        <f ca="1">(TODAY()-staff[[#This Row],[Date Joined]])/365</f>
        <v>1.9972602739726026</v>
      </c>
      <c r="J171" s="20">
        <f ca="1">IF(staff[[#This Row],[Tenure]]&gt;2,3%,2%)*staff[[#This Row],[Salary]]</f>
        <v>2082.4</v>
      </c>
      <c r="K171" s="25">
        <f>_xlfn.XLOOKUP(staff[[#This Row],[Rating]],$Q$2:$Q$6,$R$2:$R$6)</f>
        <v>3</v>
      </c>
      <c r="L171"/>
    </row>
    <row r="172" spans="1:12" x14ac:dyDescent="0.25">
      <c r="A172" t="s">
        <v>190</v>
      </c>
      <c r="B172" t="s">
        <v>8</v>
      </c>
      <c r="C172" t="s">
        <v>12</v>
      </c>
      <c r="D172">
        <v>30</v>
      </c>
      <c r="E172" s="2">
        <v>44640</v>
      </c>
      <c r="F172" s="3">
        <v>67950</v>
      </c>
      <c r="G172" t="s">
        <v>13</v>
      </c>
      <c r="H172" s="25" t="s">
        <v>220</v>
      </c>
      <c r="I172" s="4">
        <f ca="1">(TODAY()-staff[[#This Row],[Date Joined]])/365</f>
        <v>1.8602739726027397</v>
      </c>
      <c r="J172" s="20">
        <f ca="1">IF(staff[[#This Row],[Tenure]]&gt;2,3%,2%)*staff[[#This Row],[Salary]]</f>
        <v>1359</v>
      </c>
      <c r="K172" s="25">
        <f>_xlfn.XLOOKUP(staff[[#This Row],[Rating]],$Q$2:$Q$6,$R$2:$R$6)</f>
        <v>3</v>
      </c>
      <c r="L172"/>
    </row>
    <row r="173" spans="1:12" x14ac:dyDescent="0.25">
      <c r="A173" t="s">
        <v>191</v>
      </c>
      <c r="B173" t="s">
        <v>15</v>
      </c>
      <c r="C173" t="s">
        <v>23</v>
      </c>
      <c r="D173">
        <v>29</v>
      </c>
      <c r="E173" s="2">
        <v>43962</v>
      </c>
      <c r="F173" s="3">
        <v>34980</v>
      </c>
      <c r="G173" t="s">
        <v>13</v>
      </c>
      <c r="H173" s="25" t="s">
        <v>220</v>
      </c>
      <c r="I173" s="4">
        <f ca="1">(TODAY()-staff[[#This Row],[Date Joined]])/365</f>
        <v>3.7178082191780821</v>
      </c>
      <c r="J173" s="20">
        <f ca="1">IF(staff[[#This Row],[Tenure]]&gt;2,3%,2%)*staff[[#This Row],[Salary]]</f>
        <v>1049.3999999999999</v>
      </c>
      <c r="K173" s="25">
        <f>_xlfn.XLOOKUP(staff[[#This Row],[Rating]],$Q$2:$Q$6,$R$2:$R$6)</f>
        <v>3</v>
      </c>
      <c r="L173"/>
    </row>
    <row r="174" spans="1:12" x14ac:dyDescent="0.25">
      <c r="A174" t="s">
        <v>192</v>
      </c>
      <c r="B174" t="s">
        <v>15</v>
      </c>
      <c r="C174" t="s">
        <v>23</v>
      </c>
      <c r="D174">
        <v>24</v>
      </c>
      <c r="E174" s="2">
        <v>44087</v>
      </c>
      <c r="F174" s="3">
        <v>62780</v>
      </c>
      <c r="G174" t="s">
        <v>13</v>
      </c>
      <c r="H174" s="25" t="s">
        <v>220</v>
      </c>
      <c r="I174" s="4">
        <f ca="1">(TODAY()-staff[[#This Row],[Date Joined]])/365</f>
        <v>3.3753424657534246</v>
      </c>
      <c r="J174" s="20">
        <f ca="1">IF(staff[[#This Row],[Tenure]]&gt;2,3%,2%)*staff[[#This Row],[Salary]]</f>
        <v>1883.3999999999999</v>
      </c>
      <c r="K174" s="25">
        <f>_xlfn.XLOOKUP(staff[[#This Row],[Rating]],$Q$2:$Q$6,$R$2:$R$6)</f>
        <v>3</v>
      </c>
      <c r="L174"/>
    </row>
    <row r="175" spans="1:12" x14ac:dyDescent="0.25">
      <c r="A175" t="s">
        <v>193</v>
      </c>
      <c r="B175" t="s">
        <v>8</v>
      </c>
      <c r="C175" t="s">
        <v>23</v>
      </c>
      <c r="D175">
        <v>20</v>
      </c>
      <c r="E175" s="2">
        <v>44397</v>
      </c>
      <c r="F175" s="3">
        <v>107700</v>
      </c>
      <c r="G175" t="s">
        <v>13</v>
      </c>
      <c r="H175" s="25" t="s">
        <v>220</v>
      </c>
      <c r="I175" s="4">
        <f ca="1">(TODAY()-staff[[#This Row],[Date Joined]])/365</f>
        <v>2.526027397260274</v>
      </c>
      <c r="J175" s="20">
        <f ca="1">IF(staff[[#This Row],[Tenure]]&gt;2,3%,2%)*staff[[#This Row],[Salary]]</f>
        <v>3231</v>
      </c>
      <c r="K175" s="25">
        <f>_xlfn.XLOOKUP(staff[[#This Row],[Rating]],$Q$2:$Q$6,$R$2:$R$6)</f>
        <v>3</v>
      </c>
      <c r="L175"/>
    </row>
    <row r="176" spans="1:12" x14ac:dyDescent="0.25">
      <c r="A176" t="s">
        <v>194</v>
      </c>
      <c r="B176" t="s">
        <v>8</v>
      </c>
      <c r="C176" t="s">
        <v>9</v>
      </c>
      <c r="D176">
        <v>25</v>
      </c>
      <c r="E176" s="2">
        <v>44322</v>
      </c>
      <c r="F176" s="3">
        <v>65700</v>
      </c>
      <c r="G176" t="s">
        <v>13</v>
      </c>
      <c r="H176" s="25" t="s">
        <v>220</v>
      </c>
      <c r="I176" s="4">
        <f ca="1">(TODAY()-staff[[#This Row],[Date Joined]])/365</f>
        <v>2.7315068493150685</v>
      </c>
      <c r="J176" s="20">
        <f ca="1">IF(staff[[#This Row],[Tenure]]&gt;2,3%,2%)*staff[[#This Row],[Salary]]</f>
        <v>1971</v>
      </c>
      <c r="K176" s="25">
        <f>_xlfn.XLOOKUP(staff[[#This Row],[Rating]],$Q$2:$Q$6,$R$2:$R$6)</f>
        <v>3</v>
      </c>
      <c r="L176"/>
    </row>
    <row r="177" spans="1:12" x14ac:dyDescent="0.25">
      <c r="A177" t="s">
        <v>195</v>
      </c>
      <c r="B177" t="s">
        <v>15</v>
      </c>
      <c r="C177" t="s">
        <v>23</v>
      </c>
      <c r="D177">
        <v>33</v>
      </c>
      <c r="E177" s="2">
        <v>44313</v>
      </c>
      <c r="F177" s="3">
        <v>75480</v>
      </c>
      <c r="G177" t="s">
        <v>49</v>
      </c>
      <c r="H177" s="25" t="s">
        <v>220</v>
      </c>
      <c r="I177" s="4">
        <f ca="1">(TODAY()-staff[[#This Row],[Date Joined]])/365</f>
        <v>2.7561643835616438</v>
      </c>
      <c r="J177" s="20">
        <f ca="1">IF(staff[[#This Row],[Tenure]]&gt;2,3%,2%)*staff[[#This Row],[Salary]]</f>
        <v>2264.4</v>
      </c>
      <c r="K177" s="25">
        <f>_xlfn.XLOOKUP(staff[[#This Row],[Rating]],$Q$2:$Q$6,$R$2:$R$6)</f>
        <v>1</v>
      </c>
      <c r="L177"/>
    </row>
    <row r="178" spans="1:12" x14ac:dyDescent="0.25">
      <c r="A178" t="s">
        <v>196</v>
      </c>
      <c r="B178" t="s">
        <v>8</v>
      </c>
      <c r="C178" t="s">
        <v>23</v>
      </c>
      <c r="D178">
        <v>33</v>
      </c>
      <c r="E178" s="2">
        <v>44448</v>
      </c>
      <c r="F178" s="3">
        <v>53870</v>
      </c>
      <c r="G178" t="s">
        <v>13</v>
      </c>
      <c r="H178" s="25" t="s">
        <v>220</v>
      </c>
      <c r="I178" s="4">
        <f ca="1">(TODAY()-staff[[#This Row],[Date Joined]])/365</f>
        <v>2.3863013698630136</v>
      </c>
      <c r="J178" s="20">
        <f ca="1">IF(staff[[#This Row],[Tenure]]&gt;2,3%,2%)*staff[[#This Row],[Salary]]</f>
        <v>1616.1</v>
      </c>
      <c r="K178" s="25">
        <f>_xlfn.XLOOKUP(staff[[#This Row],[Rating]],$Q$2:$Q$6,$R$2:$R$6)</f>
        <v>3</v>
      </c>
      <c r="L178"/>
    </row>
    <row r="179" spans="1:12" x14ac:dyDescent="0.25">
      <c r="A179" t="s">
        <v>197</v>
      </c>
      <c r="B179" t="s">
        <v>15</v>
      </c>
      <c r="C179" t="s">
        <v>9</v>
      </c>
      <c r="D179">
        <v>36</v>
      </c>
      <c r="E179" s="2">
        <v>44433</v>
      </c>
      <c r="F179" s="3">
        <v>78540</v>
      </c>
      <c r="G179" t="s">
        <v>13</v>
      </c>
      <c r="H179" s="25" t="s">
        <v>220</v>
      </c>
      <c r="I179" s="4">
        <f ca="1">(TODAY()-staff[[#This Row],[Date Joined]])/365</f>
        <v>2.4273972602739726</v>
      </c>
      <c r="J179" s="20">
        <f ca="1">IF(staff[[#This Row],[Tenure]]&gt;2,3%,2%)*staff[[#This Row],[Salary]]</f>
        <v>2356.1999999999998</v>
      </c>
      <c r="K179" s="25">
        <f>_xlfn.XLOOKUP(staff[[#This Row],[Rating]],$Q$2:$Q$6,$R$2:$R$6)</f>
        <v>3</v>
      </c>
      <c r="L179"/>
    </row>
    <row r="180" spans="1:12" x14ac:dyDescent="0.25">
      <c r="A180" t="s">
        <v>198</v>
      </c>
      <c r="B180" t="s">
        <v>8</v>
      </c>
      <c r="C180" t="s">
        <v>12</v>
      </c>
      <c r="D180">
        <v>19</v>
      </c>
      <c r="E180" s="2">
        <v>44218</v>
      </c>
      <c r="F180" s="3">
        <v>58960</v>
      </c>
      <c r="G180" t="s">
        <v>13</v>
      </c>
      <c r="H180" s="25" t="s">
        <v>220</v>
      </c>
      <c r="I180" s="4">
        <f ca="1">(TODAY()-staff[[#This Row],[Date Joined]])/365</f>
        <v>3.0164383561643837</v>
      </c>
      <c r="J180" s="20">
        <f ca="1">IF(staff[[#This Row],[Tenure]]&gt;2,3%,2%)*staff[[#This Row],[Salary]]</f>
        <v>1768.8</v>
      </c>
      <c r="K180" s="25">
        <f>_xlfn.XLOOKUP(staff[[#This Row],[Rating]],$Q$2:$Q$6,$R$2:$R$6)</f>
        <v>3</v>
      </c>
      <c r="L180"/>
    </row>
    <row r="181" spans="1:12" x14ac:dyDescent="0.25">
      <c r="A181" t="s">
        <v>199</v>
      </c>
      <c r="B181" t="s">
        <v>8</v>
      </c>
      <c r="C181" t="s">
        <v>12</v>
      </c>
      <c r="D181">
        <v>46</v>
      </c>
      <c r="E181" s="2">
        <v>44697</v>
      </c>
      <c r="F181" s="3">
        <v>70610</v>
      </c>
      <c r="G181" t="s">
        <v>13</v>
      </c>
      <c r="H181" s="25" t="s">
        <v>220</v>
      </c>
      <c r="I181" s="4">
        <f ca="1">(TODAY()-staff[[#This Row],[Date Joined]])/365</f>
        <v>1.704109589041096</v>
      </c>
      <c r="J181" s="20">
        <f ca="1">IF(staff[[#This Row],[Tenure]]&gt;2,3%,2%)*staff[[#This Row],[Salary]]</f>
        <v>1412.2</v>
      </c>
      <c r="K181" s="25">
        <f>_xlfn.XLOOKUP(staff[[#This Row],[Rating]],$Q$2:$Q$6,$R$2:$R$6)</f>
        <v>3</v>
      </c>
      <c r="L181"/>
    </row>
    <row r="182" spans="1:12" x14ac:dyDescent="0.25">
      <c r="A182" t="s">
        <v>200</v>
      </c>
      <c r="B182" t="s">
        <v>8</v>
      </c>
      <c r="C182" t="s">
        <v>17</v>
      </c>
      <c r="D182">
        <v>33</v>
      </c>
      <c r="E182" s="2">
        <v>44181</v>
      </c>
      <c r="F182" s="3">
        <v>59430</v>
      </c>
      <c r="G182" t="s">
        <v>13</v>
      </c>
      <c r="H182" s="25" t="s">
        <v>220</v>
      </c>
      <c r="I182" s="4">
        <f ca="1">(TODAY()-staff[[#This Row],[Date Joined]])/365</f>
        <v>3.117808219178082</v>
      </c>
      <c r="J182" s="20">
        <f ca="1">IF(staff[[#This Row],[Tenure]]&gt;2,3%,2%)*staff[[#This Row],[Salary]]</f>
        <v>1782.8999999999999</v>
      </c>
      <c r="K182" s="25">
        <f>_xlfn.XLOOKUP(staff[[#This Row],[Rating]],$Q$2:$Q$6,$R$2:$R$6)</f>
        <v>3</v>
      </c>
      <c r="L182"/>
    </row>
    <row r="183" spans="1:12" x14ac:dyDescent="0.25">
      <c r="A183" t="s">
        <v>201</v>
      </c>
      <c r="B183" t="s">
        <v>8</v>
      </c>
      <c r="C183" t="s">
        <v>12</v>
      </c>
      <c r="D183">
        <v>33</v>
      </c>
      <c r="E183" s="2">
        <v>44640</v>
      </c>
      <c r="F183" s="3">
        <v>48530</v>
      </c>
      <c r="G183" t="s">
        <v>10</v>
      </c>
      <c r="H183" s="25" t="s">
        <v>220</v>
      </c>
      <c r="I183" s="4">
        <f ca="1">(TODAY()-staff[[#This Row],[Date Joined]])/365</f>
        <v>1.8602739726027397</v>
      </c>
      <c r="J183" s="20">
        <f ca="1">IF(staff[[#This Row],[Tenure]]&gt;2,3%,2%)*staff[[#This Row],[Salary]]</f>
        <v>970.6</v>
      </c>
      <c r="K183" s="25">
        <f>_xlfn.XLOOKUP(staff[[#This Row],[Rating]],$Q$2:$Q$6,$R$2:$R$6)</f>
        <v>4</v>
      </c>
      <c r="L183"/>
    </row>
    <row r="184" spans="1:12" x14ac:dyDescent="0.25">
      <c r="A184" t="s">
        <v>202</v>
      </c>
      <c r="B184" t="s">
        <v>15</v>
      </c>
      <c r="C184" t="s">
        <v>23</v>
      </c>
      <c r="D184">
        <v>33</v>
      </c>
      <c r="E184" s="2">
        <v>44129</v>
      </c>
      <c r="F184" s="3">
        <v>96140</v>
      </c>
      <c r="G184" t="s">
        <v>13</v>
      </c>
      <c r="H184" s="25" t="s">
        <v>220</v>
      </c>
      <c r="I184" s="4">
        <f ca="1">(TODAY()-staff[[#This Row],[Date Joined]])/365</f>
        <v>3.2602739726027399</v>
      </c>
      <c r="J184" s="20">
        <f ca="1">IF(staff[[#This Row],[Tenure]]&gt;2,3%,2%)*staff[[#This Row],[Salary]]</f>
        <v>2884.2</v>
      </c>
      <c r="K184" s="25">
        <f>_xlfn.XLOOKUP(staff[[#This Row],[Rating]],$Q$2:$Q$6,$R$2:$R$6)</f>
        <v>3</v>
      </c>
    </row>
  </sheetData>
  <conditionalFormatting sqref="F1:F1048576">
    <cfRule type="colorScale" priority="2">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85F83-3E45-4ABB-A640-D9702380E3D9}">
  <sheetPr>
    <tabColor theme="9" tint="0.59999389629810485"/>
  </sheetPr>
  <dimension ref="A1"/>
  <sheetViews>
    <sheetView workbookViewId="0">
      <selection activeCell="P17" sqref="P17"/>
    </sheetView>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0E383-77B1-489B-99A7-377F08CE5595}">
  <sheetPr>
    <tabColor theme="5" tint="-0.249977111117893"/>
  </sheetPr>
  <dimension ref="B3:C9"/>
  <sheetViews>
    <sheetView workbookViewId="0">
      <selection activeCell="C19" sqref="C18:C19"/>
    </sheetView>
  </sheetViews>
  <sheetFormatPr defaultRowHeight="15" x14ac:dyDescent="0.25"/>
  <cols>
    <col min="2" max="2" width="14.28515625" bestFit="1" customWidth="1"/>
    <col min="3" max="3" width="16.42578125" bestFit="1" customWidth="1"/>
  </cols>
  <sheetData>
    <row r="3" spans="2:3" x14ac:dyDescent="0.25">
      <c r="B3" s="18" t="s">
        <v>6</v>
      </c>
      <c r="C3" t="s">
        <v>221</v>
      </c>
    </row>
    <row r="4" spans="2:3" x14ac:dyDescent="0.25">
      <c r="B4" t="s">
        <v>43</v>
      </c>
      <c r="C4" s="20">
        <v>92080</v>
      </c>
    </row>
    <row r="5" spans="2:3" x14ac:dyDescent="0.25">
      <c r="B5" t="s">
        <v>10</v>
      </c>
      <c r="C5" s="20">
        <v>75933</v>
      </c>
    </row>
    <row r="6" spans="2:3" x14ac:dyDescent="0.25">
      <c r="B6" t="s">
        <v>13</v>
      </c>
      <c r="C6" s="20">
        <v>76798.759124087592</v>
      </c>
    </row>
    <row r="7" spans="2:3" x14ac:dyDescent="0.25">
      <c r="B7" t="s">
        <v>18</v>
      </c>
      <c r="C7" s="20">
        <v>78115</v>
      </c>
    </row>
    <row r="8" spans="2:3" x14ac:dyDescent="0.25">
      <c r="B8" t="s">
        <v>49</v>
      </c>
      <c r="C8" s="20">
        <v>77423.333333333328</v>
      </c>
    </row>
    <row r="9" spans="2:3" x14ac:dyDescent="0.25">
      <c r="B9" t="s">
        <v>222</v>
      </c>
      <c r="C9" s="20">
        <v>77173.715846994543</v>
      </c>
    </row>
  </sheetData>
  <conditionalFormatting pivot="1" sqref="C4">
    <cfRule type="dataBar" priority="4">
      <dataBar>
        <cfvo type="min"/>
        <cfvo type="max"/>
        <color rgb="FF638EC6"/>
      </dataBar>
      <extLst>
        <ext xmlns:x14="http://schemas.microsoft.com/office/spreadsheetml/2009/9/main" uri="{B025F937-C7B1-47D3-B67F-A62EFF666E3E}">
          <x14:id>{2627F146-7051-428E-85DF-BF84077FCE87}</x14:id>
        </ext>
      </extLst>
    </cfRule>
  </conditionalFormatting>
  <conditionalFormatting pivot="1" sqref="C4">
    <cfRule type="dataBar" priority="3">
      <dataBar>
        <cfvo type="min"/>
        <cfvo type="max"/>
        <color rgb="FF638EC6"/>
      </dataBar>
      <extLst>
        <ext xmlns:x14="http://schemas.microsoft.com/office/spreadsheetml/2009/9/main" uri="{B025F937-C7B1-47D3-B67F-A62EFF666E3E}">
          <x14:id>{BFDDE5D7-873B-446D-BCEC-59B6FCF001B6}</x14:id>
        </ext>
      </extLst>
    </cfRule>
  </conditionalFormatting>
  <conditionalFormatting pivot="1" sqref="C4">
    <cfRule type="dataBar" priority="2">
      <dataBar>
        <cfvo type="min"/>
        <cfvo type="max"/>
        <color rgb="FF63C384"/>
      </dataBar>
      <extLst>
        <ext xmlns:x14="http://schemas.microsoft.com/office/spreadsheetml/2009/9/main" uri="{B025F937-C7B1-47D3-B67F-A62EFF666E3E}">
          <x14:id>{0C50EFFD-2122-4CC3-9EFD-30BCD1CA72EE}</x14:id>
        </ext>
      </extLst>
    </cfRule>
  </conditionalFormatting>
  <conditionalFormatting pivot="1" sqref="C4:C9">
    <cfRule type="dataBar" priority="1">
      <dataBar>
        <cfvo type="min"/>
        <cfvo type="max"/>
        <color rgb="FF63C384"/>
      </dataBar>
      <extLst>
        <ext xmlns:x14="http://schemas.microsoft.com/office/spreadsheetml/2009/9/main" uri="{B025F937-C7B1-47D3-B67F-A62EFF666E3E}">
          <x14:id>{5BAFCB4A-5E23-4CA7-A674-0EDC3644212E}</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2627F146-7051-428E-85DF-BF84077FCE87}">
            <x14:dataBar minLength="0" maxLength="100" border="1" negativeBarBorderColorSameAsPositive="0">
              <x14:cfvo type="autoMin"/>
              <x14:cfvo type="autoMax"/>
              <x14:borderColor rgb="FF638EC6"/>
              <x14:negativeFillColor rgb="FFFF0000"/>
              <x14:negativeBorderColor rgb="FFFF0000"/>
              <x14:axisColor rgb="FF000000"/>
            </x14:dataBar>
          </x14:cfRule>
          <xm:sqref>C4</xm:sqref>
        </x14:conditionalFormatting>
        <x14:conditionalFormatting xmlns:xm="http://schemas.microsoft.com/office/excel/2006/main" pivot="1">
          <x14:cfRule type="dataBar" id="{BFDDE5D7-873B-446D-BCEC-59B6FCF001B6}">
            <x14:dataBar minLength="0" maxLength="100" gradient="0">
              <x14:cfvo type="autoMin"/>
              <x14:cfvo type="autoMax"/>
              <x14:negativeFillColor rgb="FFFF0000"/>
              <x14:axisColor rgb="FF000000"/>
            </x14:dataBar>
          </x14:cfRule>
          <xm:sqref>C4</xm:sqref>
        </x14:conditionalFormatting>
        <x14:conditionalFormatting xmlns:xm="http://schemas.microsoft.com/office/excel/2006/main" pivot="1">
          <x14:cfRule type="dataBar" id="{0C50EFFD-2122-4CC3-9EFD-30BCD1CA72EE}">
            <x14:dataBar minLength="0" maxLength="100" gradient="0">
              <x14:cfvo type="autoMin"/>
              <x14:cfvo type="autoMax"/>
              <x14:negativeFillColor rgb="FFFF0000"/>
              <x14:axisColor rgb="FF000000"/>
            </x14:dataBar>
          </x14:cfRule>
          <xm:sqref>C4</xm:sqref>
        </x14:conditionalFormatting>
        <x14:conditionalFormatting xmlns:xm="http://schemas.microsoft.com/office/excel/2006/main" pivot="1">
          <x14:cfRule type="dataBar" id="{5BAFCB4A-5E23-4CA7-A674-0EDC3644212E}">
            <x14:dataBar minLength="0" maxLength="100" gradient="0">
              <x14:cfvo type="autoMin"/>
              <x14:cfvo type="autoMax"/>
              <x14:negativeFillColor rgb="FFFF0000"/>
              <x14:axisColor rgb="FF000000"/>
            </x14:dataBar>
          </x14:cfRule>
          <xm:sqref>C4:C9</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022CB-64C1-4D28-887A-ED7E701BD45A}">
  <sheetPr>
    <tabColor rgb="FF7030A0"/>
  </sheetPr>
  <dimension ref="B2:AJ61"/>
  <sheetViews>
    <sheetView topLeftCell="H1" workbookViewId="0">
      <selection activeCell="F4" sqref="F4"/>
    </sheetView>
  </sheetViews>
  <sheetFormatPr defaultRowHeight="15" x14ac:dyDescent="0.25"/>
  <cols>
    <col min="2" max="2" width="25.140625" bestFit="1" customWidth="1"/>
    <col min="3" max="3" width="22.28515625" bestFit="1" customWidth="1"/>
    <col min="4" max="4" width="12.5703125" bestFit="1" customWidth="1"/>
    <col min="5" max="5" width="3.28515625" bestFit="1" customWidth="1"/>
    <col min="6" max="6" width="18.5703125" bestFit="1" customWidth="1"/>
    <col min="7" max="7" width="13.5703125" bestFit="1" customWidth="1"/>
    <col min="8" max="8" width="14.140625" bestFit="1" customWidth="1"/>
    <col min="9" max="9" width="8.7109375" bestFit="1" customWidth="1"/>
    <col min="10" max="10" width="12.5703125" bestFit="1" customWidth="1"/>
    <col min="14" max="14" width="17.85546875" bestFit="1" customWidth="1"/>
    <col min="15" max="15" width="19.85546875" bestFit="1" customWidth="1"/>
    <col min="16" max="16" width="12.5703125" bestFit="1" customWidth="1"/>
    <col min="17" max="17" width="4.5703125" bestFit="1" customWidth="1"/>
    <col min="18" max="18" width="14.42578125" bestFit="1" customWidth="1"/>
    <col min="19" max="19" width="7.7109375" bestFit="1" customWidth="1"/>
    <col min="20" max="20" width="11.140625" bestFit="1" customWidth="1"/>
    <col min="21" max="21" width="8.7109375" bestFit="1" customWidth="1"/>
    <col min="22" max="22" width="12.5703125" bestFit="1" customWidth="1"/>
    <col min="24" max="24" width="27.7109375" bestFit="1" customWidth="1"/>
    <col min="25" max="25" width="7.42578125" bestFit="1" customWidth="1"/>
    <col min="26" max="26" width="27.7109375" bestFit="1" customWidth="1"/>
    <col min="27" max="27" width="7" customWidth="1"/>
    <col min="28" max="28" width="24.7109375" bestFit="1" customWidth="1"/>
    <col min="29" max="29" width="7.7109375" bestFit="1" customWidth="1"/>
    <col min="30" max="30" width="8.28515625" bestFit="1" customWidth="1"/>
    <col min="31" max="31" width="8.7109375" bestFit="1" customWidth="1"/>
    <col min="32" max="32" width="12.5703125" bestFit="1" customWidth="1"/>
  </cols>
  <sheetData>
    <row r="2" spans="2:36" ht="26.25" x14ac:dyDescent="0.4">
      <c r="B2" s="14" t="s">
        <v>2</v>
      </c>
      <c r="C2" s="17" t="s">
        <v>23</v>
      </c>
      <c r="D2" t="s">
        <v>223</v>
      </c>
      <c r="N2" s="14" t="s">
        <v>6</v>
      </c>
      <c r="O2" s="17" t="s">
        <v>18</v>
      </c>
      <c r="P2" t="s">
        <v>224</v>
      </c>
      <c r="X2" s="24"/>
      <c r="Y2" s="22"/>
      <c r="Z2" s="23" t="s">
        <v>225</v>
      </c>
      <c r="AA2" s="17">
        <v>1</v>
      </c>
      <c r="AB2" t="s">
        <v>226</v>
      </c>
    </row>
    <row r="4" spans="2:36" x14ac:dyDescent="0.25">
      <c r="B4" s="15" t="s">
        <v>227</v>
      </c>
      <c r="C4" s="16">
        <f>COUNTIFS(staff[Department],C2)</f>
        <v>54</v>
      </c>
      <c r="N4" s="15" t="s">
        <v>227</v>
      </c>
      <c r="O4">
        <f>COUNTIFS(staff[Rating],O2)</f>
        <v>16</v>
      </c>
    </row>
    <row r="5" spans="2:36" x14ac:dyDescent="0.25">
      <c r="B5" s="16" t="s">
        <v>0</v>
      </c>
      <c r="C5" s="16" t="s">
        <v>1</v>
      </c>
      <c r="D5" s="16" t="s">
        <v>2</v>
      </c>
      <c r="E5" s="16" t="s">
        <v>3</v>
      </c>
      <c r="F5" s="16" t="s">
        <v>228</v>
      </c>
      <c r="G5" s="16" t="s">
        <v>5</v>
      </c>
      <c r="H5" s="16" t="s">
        <v>6</v>
      </c>
      <c r="I5" s="16" t="s">
        <v>203</v>
      </c>
      <c r="J5" s="16" t="s">
        <v>204</v>
      </c>
      <c r="K5" s="16" t="s">
        <v>205</v>
      </c>
      <c r="L5" s="16" t="s">
        <v>206</v>
      </c>
      <c r="N5" s="16" t="s">
        <v>0</v>
      </c>
      <c r="O5" s="16" t="s">
        <v>1</v>
      </c>
      <c r="P5" s="16" t="s">
        <v>2</v>
      </c>
      <c r="Q5" s="16" t="s">
        <v>3</v>
      </c>
      <c r="R5" s="16" t="s">
        <v>228</v>
      </c>
      <c r="S5" s="16" t="s">
        <v>5</v>
      </c>
      <c r="T5" s="16" t="s">
        <v>6</v>
      </c>
      <c r="U5" s="16" t="s">
        <v>203</v>
      </c>
      <c r="V5" s="16" t="s">
        <v>204</v>
      </c>
      <c r="W5" s="16" t="s">
        <v>205</v>
      </c>
      <c r="X5" s="16" t="s">
        <v>206</v>
      </c>
      <c r="Z5" s="16" t="s">
        <v>0</v>
      </c>
      <c r="AA5" s="16" t="s">
        <v>1</v>
      </c>
      <c r="AB5" s="16" t="s">
        <v>2</v>
      </c>
      <c r="AC5" s="16" t="s">
        <v>3</v>
      </c>
      <c r="AD5" s="16" t="s">
        <v>228</v>
      </c>
      <c r="AE5" s="16" t="s">
        <v>5</v>
      </c>
      <c r="AF5" s="16" t="s">
        <v>6</v>
      </c>
      <c r="AG5" s="16" t="s">
        <v>203</v>
      </c>
      <c r="AH5" s="16" t="s">
        <v>204</v>
      </c>
      <c r="AI5" s="16" t="s">
        <v>205</v>
      </c>
      <c r="AJ5" s="16" t="s">
        <v>206</v>
      </c>
    </row>
    <row r="6" spans="2:36" x14ac:dyDescent="0.25">
      <c r="B6" t="str" cm="1">
        <f t="array" aca="1" ref="B6:L59" ca="1">_xlfn._xlws.SORT(_xlfn._xlws.FILTER(staff[],staff[Department]=C2),6,-1)</f>
        <v>Tawnya Tickel</v>
      </c>
      <c r="C6" t="str">
        <f ca="1"/>
        <v>Male</v>
      </c>
      <c r="D6" t="str">
        <f ca="1"/>
        <v>Website</v>
      </c>
      <c r="E6">
        <f ca="1"/>
        <v>36</v>
      </c>
      <c r="F6" s="13">
        <f ca="1"/>
        <v>44019</v>
      </c>
      <c r="G6" s="20">
        <f ca="1"/>
        <v>118840</v>
      </c>
      <c r="H6" t="str">
        <f ca="1"/>
        <v>Average</v>
      </c>
      <c r="I6" t="str">
        <f ca="1"/>
        <v>UK</v>
      </c>
      <c r="J6">
        <f ca="1"/>
        <v>3.5616438356164384</v>
      </c>
      <c r="K6">
        <f ca="1"/>
        <v>3565.2</v>
      </c>
      <c r="L6">
        <f ca="1"/>
        <v>3</v>
      </c>
      <c r="N6" t="str" cm="1">
        <f t="array" aca="1" ref="N6:X21" ca="1">_xlfn._xlws.FILTER(staff[],staff[Rating]=O2)</f>
        <v>Benny Karolovsky</v>
      </c>
      <c r="O6" t="str">
        <f ca="1"/>
        <v>others</v>
      </c>
      <c r="P6" t="str">
        <f ca="1"/>
        <v>Finance</v>
      </c>
      <c r="Q6">
        <f ca="1"/>
        <v>37</v>
      </c>
      <c r="R6">
        <f ca="1"/>
        <v>44146</v>
      </c>
      <c r="S6">
        <f ca="1"/>
        <v>115440</v>
      </c>
      <c r="T6" t="str">
        <f ca="1"/>
        <v>Poor</v>
      </c>
      <c r="U6" t="str">
        <f ca="1"/>
        <v>UK</v>
      </c>
      <c r="V6">
        <f ca="1"/>
        <v>3.2136986301369861</v>
      </c>
      <c r="W6">
        <f ca="1"/>
        <v>3463.2</v>
      </c>
      <c r="X6">
        <f ca="1"/>
        <v>2</v>
      </c>
      <c r="Z6" t="str" cm="1">
        <f t="array" aca="1" ref="Z6:AJ7" ca="1">_xlfn._xlws.FILTER(staff[],staff[Tenure]&lt;AA2)</f>
        <v>Wilone O'Kielt</v>
      </c>
      <c r="AA6" t="str">
        <f ca="1"/>
        <v>Female</v>
      </c>
      <c r="AB6" t="str">
        <f ca="1"/>
        <v>Website</v>
      </c>
      <c r="AC6">
        <f ca="1"/>
        <v>43</v>
      </c>
      <c r="AD6">
        <f ca="1"/>
        <v>45045</v>
      </c>
      <c r="AE6">
        <f ca="1"/>
        <v>114870</v>
      </c>
      <c r="AF6" t="str">
        <f ca="1"/>
        <v>Average</v>
      </c>
      <c r="AG6" t="str">
        <f ca="1"/>
        <v>UK</v>
      </c>
      <c r="AH6">
        <f ca="1"/>
        <v>0.75068493150684934</v>
      </c>
      <c r="AI6">
        <f ca="1"/>
        <v>2297.4</v>
      </c>
      <c r="AJ6">
        <f ca="1"/>
        <v>3</v>
      </c>
    </row>
    <row r="7" spans="2:36" x14ac:dyDescent="0.25">
      <c r="B7" t="str">
        <f ca="1"/>
        <v>Heer Pennathur</v>
      </c>
      <c r="C7" t="str">
        <f ca="1"/>
        <v>Male</v>
      </c>
      <c r="D7" t="str">
        <f ca="1"/>
        <v>Website</v>
      </c>
      <c r="E7">
        <f ca="1"/>
        <v>36</v>
      </c>
      <c r="F7" s="13">
        <f ca="1"/>
        <v>43958</v>
      </c>
      <c r="G7" s="20">
        <f ca="1"/>
        <v>118840</v>
      </c>
      <c r="H7" t="str">
        <f ca="1"/>
        <v>Average</v>
      </c>
      <c r="I7" t="str">
        <f ca="1"/>
        <v>India</v>
      </c>
      <c r="J7">
        <f ca="1"/>
        <v>3.7287671232876711</v>
      </c>
      <c r="K7">
        <f ca="1"/>
        <v>3565.2</v>
      </c>
      <c r="L7">
        <f ca="1"/>
        <v>3</v>
      </c>
      <c r="N7" t="str">
        <f ca="1"/>
        <v>Bev Lashley</v>
      </c>
      <c r="O7" t="str">
        <f ca="1"/>
        <v>Male</v>
      </c>
      <c r="P7" t="str">
        <f ca="1"/>
        <v>Website</v>
      </c>
      <c r="Q7">
        <f ca="1"/>
        <v>29</v>
      </c>
      <c r="R7">
        <f ca="1"/>
        <v>44180</v>
      </c>
      <c r="S7">
        <f ca="1"/>
        <v>112110</v>
      </c>
      <c r="T7" t="str">
        <f ca="1"/>
        <v>Poor</v>
      </c>
      <c r="U7" t="str">
        <f ca="1"/>
        <v>UK</v>
      </c>
      <c r="V7">
        <f ca="1"/>
        <v>3.1205479452054794</v>
      </c>
      <c r="W7">
        <f ca="1"/>
        <v>3363.2999999999997</v>
      </c>
      <c r="X7">
        <f ca="1"/>
        <v>2</v>
      </c>
      <c r="Z7" t="str">
        <f ca="1"/>
        <v>Ramnath Ravuri</v>
      </c>
      <c r="AA7" t="str">
        <f ca="1"/>
        <v>Female</v>
      </c>
      <c r="AB7" t="str">
        <f ca="1"/>
        <v>Website</v>
      </c>
      <c r="AC7">
        <f ca="1"/>
        <v>44</v>
      </c>
      <c r="AD7">
        <f ca="1"/>
        <v>44985</v>
      </c>
      <c r="AE7">
        <f ca="1"/>
        <v>114870</v>
      </c>
      <c r="AF7" t="str">
        <f ca="1"/>
        <v>Average</v>
      </c>
      <c r="AG7" t="str">
        <f ca="1"/>
        <v>India</v>
      </c>
      <c r="AH7">
        <f ca="1"/>
        <v>0.91506849315068495</v>
      </c>
      <c r="AI7">
        <f ca="1"/>
        <v>2297.4</v>
      </c>
      <c r="AJ7">
        <f ca="1"/>
        <v>3</v>
      </c>
    </row>
    <row r="8" spans="2:36" x14ac:dyDescent="0.25">
      <c r="B8" t="str">
        <f ca="1"/>
        <v>Wilone O'Kielt</v>
      </c>
      <c r="C8" t="str">
        <f ca="1"/>
        <v>Female</v>
      </c>
      <c r="D8" t="str">
        <f ca="1"/>
        <v>Website</v>
      </c>
      <c r="E8">
        <f ca="1"/>
        <v>43</v>
      </c>
      <c r="F8" s="13">
        <f ca="1"/>
        <v>45045</v>
      </c>
      <c r="G8" s="20">
        <f ca="1"/>
        <v>114870</v>
      </c>
      <c r="H8" t="str">
        <f ca="1"/>
        <v>Average</v>
      </c>
      <c r="I8" t="str">
        <f ca="1"/>
        <v>UK</v>
      </c>
      <c r="J8">
        <f ca="1"/>
        <v>0.75068493150684934</v>
      </c>
      <c r="K8">
        <f ca="1"/>
        <v>2297.4</v>
      </c>
      <c r="L8">
        <f ca="1"/>
        <v>3</v>
      </c>
      <c r="N8" t="str">
        <f ca="1"/>
        <v>Husein Augar</v>
      </c>
      <c r="O8" t="str">
        <f ca="1"/>
        <v>Female</v>
      </c>
      <c r="P8" t="str">
        <f ca="1"/>
        <v>Finance</v>
      </c>
      <c r="Q8">
        <f ca="1"/>
        <v>30</v>
      </c>
      <c r="R8">
        <f ca="1"/>
        <v>44389</v>
      </c>
      <c r="S8">
        <f ca="1"/>
        <v>67910</v>
      </c>
      <c r="T8" t="str">
        <f ca="1"/>
        <v>Poor</v>
      </c>
      <c r="U8" t="str">
        <f ca="1"/>
        <v>UK</v>
      </c>
      <c r="V8">
        <f ca="1"/>
        <v>2.547945205479452</v>
      </c>
      <c r="W8">
        <f ca="1"/>
        <v>2037.3</v>
      </c>
      <c r="X8">
        <f ca="1"/>
        <v>2</v>
      </c>
    </row>
    <row r="9" spans="2:36" x14ac:dyDescent="0.25">
      <c r="B9" t="str">
        <f ca="1"/>
        <v>Ramnath Ravuri</v>
      </c>
      <c r="C9" t="str">
        <f ca="1"/>
        <v>Female</v>
      </c>
      <c r="D9" t="str">
        <f ca="1"/>
        <v>Website</v>
      </c>
      <c r="E9">
        <f ca="1"/>
        <v>44</v>
      </c>
      <c r="F9" s="13">
        <f ca="1"/>
        <v>44985</v>
      </c>
      <c r="G9" s="20">
        <f ca="1"/>
        <v>114870</v>
      </c>
      <c r="H9" t="str">
        <f ca="1"/>
        <v>Average</v>
      </c>
      <c r="I9" t="str">
        <f ca="1"/>
        <v>India</v>
      </c>
      <c r="J9">
        <f ca="1"/>
        <v>0.91506849315068495</v>
      </c>
      <c r="K9">
        <f ca="1"/>
        <v>2297.4</v>
      </c>
      <c r="L9">
        <f ca="1"/>
        <v>3</v>
      </c>
      <c r="N9" t="str">
        <f ca="1"/>
        <v>Violante Courtonne</v>
      </c>
      <c r="O9" t="str">
        <f ca="1"/>
        <v>Female</v>
      </c>
      <c r="P9" t="str">
        <f ca="1"/>
        <v>Sales</v>
      </c>
      <c r="Q9">
        <f ca="1"/>
        <v>34</v>
      </c>
      <c r="R9">
        <f ca="1"/>
        <v>44721</v>
      </c>
      <c r="S9">
        <f ca="1"/>
        <v>49630</v>
      </c>
      <c r="T9" t="str">
        <f ca="1"/>
        <v>Poor</v>
      </c>
      <c r="U9" t="str">
        <f ca="1"/>
        <v>UK</v>
      </c>
      <c r="V9">
        <f ca="1"/>
        <v>1.6383561643835616</v>
      </c>
      <c r="W9">
        <f ca="1"/>
        <v>992.6</v>
      </c>
      <c r="X9">
        <f ca="1"/>
        <v>2</v>
      </c>
    </row>
    <row r="10" spans="2:36" x14ac:dyDescent="0.25">
      <c r="B10" t="str">
        <f ca="1"/>
        <v>Mollie Hanway</v>
      </c>
      <c r="C10" t="str">
        <f ca="1"/>
        <v>Male</v>
      </c>
      <c r="D10" t="str">
        <f ca="1"/>
        <v>Website</v>
      </c>
      <c r="E10">
        <f ca="1"/>
        <v>20</v>
      </c>
      <c r="F10" s="13">
        <f ca="1"/>
        <v>44183</v>
      </c>
      <c r="G10" s="20">
        <f ca="1"/>
        <v>112650</v>
      </c>
      <c r="H10" t="str">
        <f ca="1"/>
        <v>Average</v>
      </c>
      <c r="I10" t="str">
        <f ca="1"/>
        <v>UK</v>
      </c>
      <c r="J10">
        <f ca="1"/>
        <v>3.1123287671232878</v>
      </c>
      <c r="K10">
        <f ca="1"/>
        <v>3379.5</v>
      </c>
      <c r="L10">
        <f ca="1"/>
        <v>3</v>
      </c>
      <c r="N10" t="str">
        <f ca="1"/>
        <v>Kaye Crocroft</v>
      </c>
      <c r="O10" t="str">
        <f ca="1"/>
        <v>Male</v>
      </c>
      <c r="P10" t="str">
        <f ca="1"/>
        <v>Finance</v>
      </c>
      <c r="Q10">
        <f ca="1"/>
        <v>24</v>
      </c>
      <c r="R10">
        <f ca="1"/>
        <v>44436</v>
      </c>
      <c r="S10">
        <f ca="1"/>
        <v>52610</v>
      </c>
      <c r="T10" t="str">
        <f ca="1"/>
        <v>Poor</v>
      </c>
      <c r="U10" t="str">
        <f ca="1"/>
        <v>UK</v>
      </c>
      <c r="V10">
        <f ca="1"/>
        <v>2.419178082191781</v>
      </c>
      <c r="W10">
        <f ca="1"/>
        <v>1578.3</v>
      </c>
      <c r="X10">
        <f ca="1"/>
        <v>2</v>
      </c>
    </row>
    <row r="11" spans="2:36" x14ac:dyDescent="0.25">
      <c r="B11" t="str">
        <f ca="1"/>
        <v>Deepali Charan</v>
      </c>
      <c r="C11" t="str">
        <f ca="1"/>
        <v>Male</v>
      </c>
      <c r="D11" t="str">
        <f ca="1"/>
        <v>Website</v>
      </c>
      <c r="E11">
        <f ca="1"/>
        <v>20</v>
      </c>
      <c r="F11" s="13">
        <f ca="1"/>
        <v>44122</v>
      </c>
      <c r="G11" s="20">
        <f ca="1"/>
        <v>112650</v>
      </c>
      <c r="H11" t="str">
        <f ca="1"/>
        <v>Average</v>
      </c>
      <c r="I11" t="str">
        <f ca="1"/>
        <v>India</v>
      </c>
      <c r="J11">
        <f ca="1"/>
        <v>3.2794520547945205</v>
      </c>
      <c r="K11">
        <f ca="1"/>
        <v>3379.5</v>
      </c>
      <c r="L11">
        <f ca="1"/>
        <v>3</v>
      </c>
      <c r="N11" t="str">
        <f ca="1"/>
        <v>Hyacinthie Braybrooke</v>
      </c>
      <c r="O11" t="str">
        <f ca="1"/>
        <v>Female</v>
      </c>
      <c r="P11" t="str">
        <f ca="1"/>
        <v>Sales</v>
      </c>
      <c r="Q11">
        <f ca="1"/>
        <v>20</v>
      </c>
      <c r="R11">
        <f ca="1"/>
        <v>44537</v>
      </c>
      <c r="S11">
        <f ca="1"/>
        <v>68900</v>
      </c>
      <c r="T11" t="str">
        <f ca="1"/>
        <v>Poor</v>
      </c>
      <c r="U11" t="str">
        <f ca="1"/>
        <v>UK</v>
      </c>
      <c r="V11">
        <f ca="1"/>
        <v>2.1424657534246574</v>
      </c>
      <c r="W11">
        <f ca="1"/>
        <v>2067</v>
      </c>
      <c r="X11">
        <f ca="1"/>
        <v>2</v>
      </c>
    </row>
    <row r="12" spans="2:36" x14ac:dyDescent="0.25">
      <c r="B12" t="str">
        <f ca="1"/>
        <v>Bev Lashley</v>
      </c>
      <c r="C12" t="str">
        <f ca="1"/>
        <v>Male</v>
      </c>
      <c r="D12" t="str">
        <f ca="1"/>
        <v>Website</v>
      </c>
      <c r="E12">
        <f ca="1"/>
        <v>29</v>
      </c>
      <c r="F12" s="13">
        <f ca="1"/>
        <v>44180</v>
      </c>
      <c r="G12" s="20">
        <f ca="1"/>
        <v>112110</v>
      </c>
      <c r="H12" t="str">
        <f ca="1"/>
        <v>Poor</v>
      </c>
      <c r="I12" t="str">
        <f ca="1"/>
        <v>UK</v>
      </c>
      <c r="J12">
        <f ca="1"/>
        <v>3.1205479452054794</v>
      </c>
      <c r="K12">
        <f ca="1"/>
        <v>3363.2999999999997</v>
      </c>
      <c r="L12">
        <f ca="1"/>
        <v>2</v>
      </c>
      <c r="N12" t="str">
        <f ca="1"/>
        <v>Ches Bonnell</v>
      </c>
      <c r="O12" t="str">
        <f ca="1"/>
        <v>Male</v>
      </c>
      <c r="P12" t="str">
        <f ca="1"/>
        <v>Website</v>
      </c>
      <c r="Q12">
        <f ca="1"/>
        <v>37</v>
      </c>
      <c r="R12">
        <f ca="1"/>
        <v>44338</v>
      </c>
      <c r="S12">
        <f ca="1"/>
        <v>88050</v>
      </c>
      <c r="T12" t="str">
        <f ca="1"/>
        <v>Poor</v>
      </c>
      <c r="U12" t="str">
        <f ca="1"/>
        <v>UK</v>
      </c>
      <c r="V12">
        <f ca="1"/>
        <v>2.6876712328767125</v>
      </c>
      <c r="W12">
        <f ca="1"/>
        <v>2641.5</v>
      </c>
      <c r="X12">
        <f ca="1"/>
        <v>2</v>
      </c>
    </row>
    <row r="13" spans="2:36" x14ac:dyDescent="0.25">
      <c r="B13" t="str">
        <f ca="1"/>
        <v>Narois Motiwala</v>
      </c>
      <c r="C13" t="str">
        <f ca="1"/>
        <v>Male</v>
      </c>
      <c r="D13" t="str">
        <f ca="1"/>
        <v>Website</v>
      </c>
      <c r="E13">
        <f ca="1"/>
        <v>29</v>
      </c>
      <c r="F13" s="13">
        <f ca="1"/>
        <v>44119</v>
      </c>
      <c r="G13" s="20">
        <f ca="1"/>
        <v>112110</v>
      </c>
      <c r="H13" t="str">
        <f ca="1"/>
        <v>Poor</v>
      </c>
      <c r="I13" t="str">
        <f ca="1"/>
        <v>India</v>
      </c>
      <c r="J13">
        <f ca="1"/>
        <v>3.2876712328767121</v>
      </c>
      <c r="K13">
        <f ca="1"/>
        <v>3363.2999999999997</v>
      </c>
      <c r="L13">
        <f ca="1"/>
        <v>2</v>
      </c>
      <c r="N13" t="str">
        <f ca="1"/>
        <v>Shayne Stegel</v>
      </c>
      <c r="O13" t="str">
        <f ca="1"/>
        <v>Male</v>
      </c>
      <c r="P13" t="str">
        <f ca="1"/>
        <v>Finance</v>
      </c>
      <c r="Q13">
        <f ca="1"/>
        <v>42</v>
      </c>
      <c r="R13">
        <f ca="1"/>
        <v>44731</v>
      </c>
      <c r="S13">
        <f ca="1"/>
        <v>70270</v>
      </c>
      <c r="T13" t="str">
        <f ca="1"/>
        <v>Poor</v>
      </c>
      <c r="U13" t="str">
        <f ca="1"/>
        <v>UK</v>
      </c>
      <c r="V13">
        <f ca="1"/>
        <v>1.6109589041095891</v>
      </c>
      <c r="W13">
        <f ca="1"/>
        <v>1405.4</v>
      </c>
      <c r="X13">
        <f ca="1"/>
        <v>2</v>
      </c>
    </row>
    <row r="14" spans="2:36" x14ac:dyDescent="0.25">
      <c r="B14" t="str">
        <f ca="1"/>
        <v>Kaine Padly</v>
      </c>
      <c r="C14" t="str">
        <f ca="1"/>
        <v>Male</v>
      </c>
      <c r="D14" t="str">
        <f ca="1"/>
        <v>Website</v>
      </c>
      <c r="E14">
        <f ca="1"/>
        <v>20</v>
      </c>
      <c r="F14" s="13">
        <f ca="1"/>
        <v>44459</v>
      </c>
      <c r="G14" s="20">
        <f ca="1"/>
        <v>107700</v>
      </c>
      <c r="H14" t="str">
        <f ca="1"/>
        <v>Average</v>
      </c>
      <c r="I14" t="str">
        <f ca="1"/>
        <v>UK</v>
      </c>
      <c r="J14">
        <f ca="1"/>
        <v>2.3561643835616439</v>
      </c>
      <c r="K14">
        <f ca="1"/>
        <v>3231</v>
      </c>
      <c r="L14">
        <f ca="1"/>
        <v>3</v>
      </c>
      <c r="N14" t="str">
        <f ca="1"/>
        <v>Sahila Chandrasekhar</v>
      </c>
      <c r="O14" t="str">
        <f ca="1"/>
        <v>others</v>
      </c>
      <c r="P14" t="str">
        <f ca="1"/>
        <v>Finance</v>
      </c>
      <c r="Q14">
        <f ca="1"/>
        <v>37</v>
      </c>
      <c r="R14">
        <f ca="1"/>
        <v>44085</v>
      </c>
      <c r="S14">
        <f ca="1"/>
        <v>115440</v>
      </c>
      <c r="T14" t="str">
        <f ca="1"/>
        <v>Poor</v>
      </c>
      <c r="U14" t="str">
        <f ca="1"/>
        <v>India</v>
      </c>
      <c r="V14">
        <f ca="1"/>
        <v>3.3808219178082193</v>
      </c>
      <c r="W14">
        <f ca="1"/>
        <v>3463.2</v>
      </c>
      <c r="X14">
        <f ca="1"/>
        <v>2</v>
      </c>
    </row>
    <row r="15" spans="2:36" x14ac:dyDescent="0.25">
      <c r="B15" t="str">
        <f ca="1"/>
        <v>Hridaynath Tendulkar</v>
      </c>
      <c r="C15" t="str">
        <f ca="1"/>
        <v>Male</v>
      </c>
      <c r="D15" t="str">
        <f ca="1"/>
        <v>Website</v>
      </c>
      <c r="E15">
        <f ca="1"/>
        <v>20</v>
      </c>
      <c r="F15" s="13">
        <f ca="1"/>
        <v>44397</v>
      </c>
      <c r="G15" s="20">
        <f ca="1"/>
        <v>107700</v>
      </c>
      <c r="H15" t="str">
        <f ca="1"/>
        <v>Average</v>
      </c>
      <c r="I15" t="str">
        <f ca="1"/>
        <v>India</v>
      </c>
      <c r="J15">
        <f ca="1"/>
        <v>2.526027397260274</v>
      </c>
      <c r="K15">
        <f ca="1"/>
        <v>3231</v>
      </c>
      <c r="L15">
        <f ca="1"/>
        <v>3</v>
      </c>
      <c r="N15" t="str">
        <f ca="1"/>
        <v>Daruka Ghazali</v>
      </c>
      <c r="O15" t="str">
        <f ca="1"/>
        <v>Female</v>
      </c>
      <c r="P15" t="str">
        <f ca="1"/>
        <v>Sales</v>
      </c>
      <c r="Q15">
        <f ca="1"/>
        <v>34</v>
      </c>
      <c r="R15">
        <f ca="1"/>
        <v>44660</v>
      </c>
      <c r="S15">
        <f ca="1"/>
        <v>49630</v>
      </c>
      <c r="T15" t="str">
        <f ca="1"/>
        <v>Poor</v>
      </c>
      <c r="U15" t="str">
        <f ca="1"/>
        <v>India</v>
      </c>
      <c r="V15">
        <f ca="1"/>
        <v>1.8054794520547945</v>
      </c>
      <c r="W15">
        <f ca="1"/>
        <v>992.6</v>
      </c>
      <c r="X15">
        <f ca="1"/>
        <v>2</v>
      </c>
    </row>
    <row r="16" spans="2:36" x14ac:dyDescent="0.25">
      <c r="B16" t="str">
        <f ca="1"/>
        <v>Caro Chappel</v>
      </c>
      <c r="C16" t="str">
        <f ca="1"/>
        <v>Female</v>
      </c>
      <c r="D16" t="str">
        <f ca="1"/>
        <v>Website</v>
      </c>
      <c r="E16">
        <f ca="1"/>
        <v>40</v>
      </c>
      <c r="F16" s="13">
        <f ca="1"/>
        <v>44381</v>
      </c>
      <c r="G16" s="20">
        <f ca="1"/>
        <v>104410</v>
      </c>
      <c r="H16" t="str">
        <f ca="1"/>
        <v>Average</v>
      </c>
      <c r="I16" t="str">
        <f ca="1"/>
        <v>UK</v>
      </c>
      <c r="J16">
        <f ca="1"/>
        <v>2.56986301369863</v>
      </c>
      <c r="K16">
        <f ca="1"/>
        <v>3132.2999999999997</v>
      </c>
      <c r="L16">
        <f ca="1"/>
        <v>3</v>
      </c>
      <c r="N16" t="str">
        <f ca="1"/>
        <v>Gangadutt Ragha</v>
      </c>
      <c r="O16" t="str">
        <f ca="1"/>
        <v>Male</v>
      </c>
      <c r="P16" t="str">
        <f ca="1"/>
        <v>Website</v>
      </c>
      <c r="Q16">
        <f ca="1"/>
        <v>37</v>
      </c>
      <c r="R16">
        <f ca="1"/>
        <v>44277</v>
      </c>
      <c r="S16">
        <f ca="1"/>
        <v>88050</v>
      </c>
      <c r="T16" t="str">
        <f ca="1"/>
        <v>Poor</v>
      </c>
      <c r="U16" t="str">
        <f ca="1"/>
        <v>India</v>
      </c>
      <c r="V16">
        <f ca="1"/>
        <v>2.8547945205479452</v>
      </c>
      <c r="W16">
        <f ca="1"/>
        <v>2641.5</v>
      </c>
      <c r="X16">
        <f ca="1"/>
        <v>2</v>
      </c>
    </row>
    <row r="17" spans="2:24" x14ac:dyDescent="0.25">
      <c r="B17" t="str">
        <f ca="1"/>
        <v>Manjusri Ruchi</v>
      </c>
      <c r="C17" t="str">
        <f ca="1"/>
        <v>Female</v>
      </c>
      <c r="D17" t="str">
        <f ca="1"/>
        <v>Website</v>
      </c>
      <c r="E17">
        <f ca="1"/>
        <v>40</v>
      </c>
      <c r="F17" s="13">
        <f ca="1"/>
        <v>44320</v>
      </c>
      <c r="G17" s="20">
        <f ca="1"/>
        <v>104410</v>
      </c>
      <c r="H17" t="str">
        <f ca="1"/>
        <v>Average</v>
      </c>
      <c r="I17" t="str">
        <f ca="1"/>
        <v>India</v>
      </c>
      <c r="J17">
        <f ca="1"/>
        <v>2.7369863013698632</v>
      </c>
      <c r="K17">
        <f ca="1"/>
        <v>3132.2999999999997</v>
      </c>
      <c r="L17">
        <f ca="1"/>
        <v>3</v>
      </c>
      <c r="N17" t="str">
        <f ca="1"/>
        <v>Gumwant Veera</v>
      </c>
      <c r="O17" t="str">
        <f ca="1"/>
        <v>Male</v>
      </c>
      <c r="P17" t="str">
        <f ca="1"/>
        <v>Finance</v>
      </c>
      <c r="Q17">
        <f ca="1"/>
        <v>24</v>
      </c>
      <c r="R17">
        <f ca="1"/>
        <v>44375</v>
      </c>
      <c r="S17">
        <f ca="1"/>
        <v>52610</v>
      </c>
      <c r="T17" t="str">
        <f ca="1"/>
        <v>Poor</v>
      </c>
      <c r="U17" t="str">
        <f ca="1"/>
        <v>India</v>
      </c>
      <c r="V17">
        <f ca="1"/>
        <v>2.5863013698630137</v>
      </c>
      <c r="W17">
        <f ca="1"/>
        <v>1578.3</v>
      </c>
      <c r="X17">
        <f ca="1"/>
        <v>2</v>
      </c>
    </row>
    <row r="18" spans="2:24" x14ac:dyDescent="0.25">
      <c r="B18" t="str">
        <f ca="1"/>
        <v>Collin Jagson</v>
      </c>
      <c r="C18" t="str">
        <f ca="1"/>
        <v>Male</v>
      </c>
      <c r="D18" t="str">
        <f ca="1"/>
        <v>Website</v>
      </c>
      <c r="E18">
        <f ca="1"/>
        <v>24</v>
      </c>
      <c r="F18" s="13">
        <f ca="1"/>
        <v>44686</v>
      </c>
      <c r="G18" s="20">
        <f ca="1"/>
        <v>100420</v>
      </c>
      <c r="H18" t="str">
        <f ca="1"/>
        <v>Average</v>
      </c>
      <c r="I18" t="str">
        <f ca="1"/>
        <v>UK</v>
      </c>
      <c r="J18">
        <f ca="1"/>
        <v>1.7342465753424658</v>
      </c>
      <c r="K18">
        <f ca="1"/>
        <v>2008.4</v>
      </c>
      <c r="L18">
        <f ca="1"/>
        <v>3</v>
      </c>
      <c r="N18" t="str">
        <f ca="1"/>
        <v>Narois Motiwala</v>
      </c>
      <c r="O18" t="str">
        <f ca="1"/>
        <v>Male</v>
      </c>
      <c r="P18" t="str">
        <f ca="1"/>
        <v>Website</v>
      </c>
      <c r="Q18">
        <f ca="1"/>
        <v>29</v>
      </c>
      <c r="R18">
        <f ca="1"/>
        <v>44119</v>
      </c>
      <c r="S18">
        <f ca="1"/>
        <v>112110</v>
      </c>
      <c r="T18" t="str">
        <f ca="1"/>
        <v>Poor</v>
      </c>
      <c r="U18" t="str">
        <f ca="1"/>
        <v>India</v>
      </c>
      <c r="V18">
        <f ca="1"/>
        <v>3.2876712328767121</v>
      </c>
      <c r="W18">
        <f ca="1"/>
        <v>3363.2999999999997</v>
      </c>
      <c r="X18">
        <f ca="1"/>
        <v>2</v>
      </c>
    </row>
    <row r="19" spans="2:24" x14ac:dyDescent="0.25">
      <c r="B19" t="str">
        <f ca="1"/>
        <v>Amlankusum Rajabhushan</v>
      </c>
      <c r="C19" t="str">
        <f ca="1"/>
        <v>Male</v>
      </c>
      <c r="D19" t="str">
        <f ca="1"/>
        <v>Website</v>
      </c>
      <c r="E19">
        <f ca="1"/>
        <v>24</v>
      </c>
      <c r="F19" s="13">
        <f ca="1"/>
        <v>44625</v>
      </c>
      <c r="G19" s="20">
        <f ca="1"/>
        <v>100420</v>
      </c>
      <c r="H19" t="str">
        <f ca="1"/>
        <v>Average</v>
      </c>
      <c r="I19" t="str">
        <f ca="1"/>
        <v>India</v>
      </c>
      <c r="J19">
        <f ca="1"/>
        <v>1.9013698630136986</v>
      </c>
      <c r="K19">
        <f ca="1"/>
        <v>2008.4</v>
      </c>
      <c r="L19">
        <f ca="1"/>
        <v>3</v>
      </c>
      <c r="N19" t="str">
        <f ca="1"/>
        <v>Chandana Sannidhi Surnilla</v>
      </c>
      <c r="O19" t="str">
        <f ca="1"/>
        <v>Male</v>
      </c>
      <c r="P19" t="str">
        <f ca="1"/>
        <v>Finance</v>
      </c>
      <c r="Q19">
        <f ca="1"/>
        <v>42</v>
      </c>
      <c r="R19">
        <f ca="1"/>
        <v>44670</v>
      </c>
      <c r="S19">
        <f ca="1"/>
        <v>70270</v>
      </c>
      <c r="T19" t="str">
        <f ca="1"/>
        <v>Poor</v>
      </c>
      <c r="U19" t="str">
        <f ca="1"/>
        <v>India</v>
      </c>
      <c r="V19">
        <f ca="1"/>
        <v>1.7780821917808218</v>
      </c>
      <c r="W19">
        <f ca="1"/>
        <v>1405.4</v>
      </c>
      <c r="X19">
        <f ca="1"/>
        <v>2</v>
      </c>
    </row>
    <row r="20" spans="2:24" x14ac:dyDescent="0.25">
      <c r="B20" t="str">
        <f ca="1"/>
        <v>Torrance Collier</v>
      </c>
      <c r="C20" t="str">
        <f ca="1"/>
        <v>Female</v>
      </c>
      <c r="D20" t="str">
        <f ca="1"/>
        <v>Website</v>
      </c>
      <c r="E20">
        <f ca="1"/>
        <v>33</v>
      </c>
      <c r="F20" s="13">
        <f ca="1"/>
        <v>44190</v>
      </c>
      <c r="G20" s="20">
        <f ca="1"/>
        <v>96140</v>
      </c>
      <c r="H20" t="str">
        <f ca="1"/>
        <v>Average</v>
      </c>
      <c r="I20" t="str">
        <f ca="1"/>
        <v>UK</v>
      </c>
      <c r="J20">
        <f ca="1"/>
        <v>3.0931506849315067</v>
      </c>
      <c r="K20">
        <f ca="1"/>
        <v>2884.2</v>
      </c>
      <c r="L20">
        <f ca="1"/>
        <v>3</v>
      </c>
      <c r="N20" t="str">
        <f ca="1"/>
        <v>Devasree Fullara Saurin</v>
      </c>
      <c r="O20" t="str">
        <f ca="1"/>
        <v>Female</v>
      </c>
      <c r="P20" t="str">
        <f ca="1"/>
        <v>Sales</v>
      </c>
      <c r="Q20">
        <f ca="1"/>
        <v>20</v>
      </c>
      <c r="R20">
        <f ca="1"/>
        <v>44476</v>
      </c>
      <c r="S20">
        <f ca="1"/>
        <v>68900</v>
      </c>
      <c r="T20" t="str">
        <f ca="1"/>
        <v>Poor</v>
      </c>
      <c r="U20" t="str">
        <f ca="1"/>
        <v>India</v>
      </c>
      <c r="V20">
        <f ca="1"/>
        <v>2.3095890410958906</v>
      </c>
      <c r="W20">
        <f ca="1"/>
        <v>2067</v>
      </c>
      <c r="X20">
        <f ca="1"/>
        <v>2</v>
      </c>
    </row>
    <row r="21" spans="2:24" x14ac:dyDescent="0.25">
      <c r="B21" t="str">
        <f ca="1"/>
        <v>Sukhdev Nageshwar</v>
      </c>
      <c r="C21" t="str">
        <f ca="1"/>
        <v>Female</v>
      </c>
      <c r="D21" t="str">
        <f ca="1"/>
        <v>Website</v>
      </c>
      <c r="E21">
        <f ca="1"/>
        <v>33</v>
      </c>
      <c r="F21" s="13">
        <f ca="1"/>
        <v>44129</v>
      </c>
      <c r="G21" s="20">
        <f ca="1"/>
        <v>96140</v>
      </c>
      <c r="H21" t="str">
        <f ca="1"/>
        <v>Average</v>
      </c>
      <c r="I21" t="str">
        <f ca="1"/>
        <v>India</v>
      </c>
      <c r="J21">
        <f ca="1"/>
        <v>3.2602739726027399</v>
      </c>
      <c r="K21">
        <f ca="1"/>
        <v>2884.2</v>
      </c>
      <c r="L21">
        <f ca="1"/>
        <v>3</v>
      </c>
      <c r="N21" t="str">
        <f ca="1"/>
        <v>Kantimoy Pritish</v>
      </c>
      <c r="O21" t="str">
        <f ca="1"/>
        <v>Female</v>
      </c>
      <c r="P21" t="str">
        <f ca="1"/>
        <v>Finance</v>
      </c>
      <c r="Q21">
        <f ca="1"/>
        <v>30</v>
      </c>
      <c r="R21">
        <f ca="1"/>
        <v>44328</v>
      </c>
      <c r="S21">
        <f ca="1"/>
        <v>67910</v>
      </c>
      <c r="T21" t="str">
        <f ca="1"/>
        <v>Poor</v>
      </c>
      <c r="U21" t="str">
        <f ca="1"/>
        <v>India</v>
      </c>
      <c r="V21">
        <f ca="1"/>
        <v>2.7150684931506848</v>
      </c>
      <c r="W21">
        <f ca="1"/>
        <v>2037.3</v>
      </c>
      <c r="X21">
        <f ca="1"/>
        <v>2</v>
      </c>
    </row>
    <row r="22" spans="2:24" x14ac:dyDescent="0.25">
      <c r="B22" t="str">
        <f ca="1"/>
        <v>Madge McCloughen</v>
      </c>
      <c r="C22" t="str">
        <f ca="1"/>
        <v>others</v>
      </c>
      <c r="D22" t="str">
        <f ca="1"/>
        <v>Website</v>
      </c>
      <c r="E22">
        <f ca="1"/>
        <v>32</v>
      </c>
      <c r="F22" s="13">
        <f ca="1"/>
        <v>44774</v>
      </c>
      <c r="G22" s="20">
        <f ca="1"/>
        <v>91310</v>
      </c>
      <c r="H22" t="str">
        <f ca="1"/>
        <v>Average</v>
      </c>
      <c r="I22" t="str">
        <f ca="1"/>
        <v>UK</v>
      </c>
      <c r="J22">
        <f ca="1"/>
        <v>1.4931506849315068</v>
      </c>
      <c r="K22">
        <f ca="1"/>
        <v>1826.2</v>
      </c>
      <c r="L22">
        <f ca="1"/>
        <v>3</v>
      </c>
    </row>
    <row r="23" spans="2:24" x14ac:dyDescent="0.25">
      <c r="B23" t="str">
        <f ca="1"/>
        <v>Rukma Vinita</v>
      </c>
      <c r="C23" t="str">
        <f ca="1"/>
        <v>others</v>
      </c>
      <c r="D23" t="str">
        <f ca="1"/>
        <v>Website</v>
      </c>
      <c r="E23">
        <f ca="1"/>
        <v>32</v>
      </c>
      <c r="F23" s="13">
        <f ca="1"/>
        <v>44713</v>
      </c>
      <c r="G23" s="20">
        <f ca="1"/>
        <v>91310</v>
      </c>
      <c r="H23" t="str">
        <f ca="1"/>
        <v>Average</v>
      </c>
      <c r="I23" t="str">
        <f ca="1"/>
        <v>India</v>
      </c>
      <c r="J23">
        <f ca="1"/>
        <v>1.6602739726027398</v>
      </c>
      <c r="K23">
        <f ca="1"/>
        <v>1826.2</v>
      </c>
      <c r="L23">
        <f ca="1"/>
        <v>3</v>
      </c>
    </row>
    <row r="24" spans="2:24" x14ac:dyDescent="0.25">
      <c r="B24" t="str">
        <f ca="1"/>
        <v>Dennison Crosswaite</v>
      </c>
      <c r="C24" t="str">
        <f ca="1"/>
        <v>others</v>
      </c>
      <c r="D24" t="str">
        <f ca="1"/>
        <v>Website</v>
      </c>
      <c r="E24">
        <f ca="1"/>
        <v>26</v>
      </c>
      <c r="F24" s="13">
        <f ca="1"/>
        <v>44271</v>
      </c>
      <c r="G24" s="20">
        <f ca="1"/>
        <v>90700</v>
      </c>
      <c r="H24" t="str">
        <f ca="1"/>
        <v>Above average</v>
      </c>
      <c r="I24" t="str">
        <f ca="1"/>
        <v>UK</v>
      </c>
      <c r="J24">
        <f ca="1"/>
        <v>2.871232876712329</v>
      </c>
      <c r="K24">
        <f ca="1"/>
        <v>2721</v>
      </c>
      <c r="L24">
        <f ca="1"/>
        <v>4</v>
      </c>
    </row>
    <row r="25" spans="2:24" x14ac:dyDescent="0.25">
      <c r="B25" t="str">
        <f ca="1"/>
        <v>Karuna Pashupathy</v>
      </c>
      <c r="C25" t="str">
        <f ca="1"/>
        <v>others</v>
      </c>
      <c r="D25" t="str">
        <f ca="1"/>
        <v>Website</v>
      </c>
      <c r="E25">
        <f ca="1"/>
        <v>27</v>
      </c>
      <c r="F25" s="13">
        <f ca="1"/>
        <v>44212</v>
      </c>
      <c r="G25" s="20">
        <f ca="1"/>
        <v>90700</v>
      </c>
      <c r="H25" t="str">
        <f ca="1"/>
        <v>Above average</v>
      </c>
      <c r="I25" t="str">
        <f ca="1"/>
        <v>India</v>
      </c>
      <c r="J25">
        <f ca="1"/>
        <v>3.032876712328767</v>
      </c>
      <c r="K25">
        <f ca="1"/>
        <v>2721</v>
      </c>
      <c r="L25">
        <f ca="1"/>
        <v>4</v>
      </c>
    </row>
    <row r="26" spans="2:24" x14ac:dyDescent="0.25">
      <c r="B26" t="str">
        <f ca="1"/>
        <v>Ches Bonnell</v>
      </c>
      <c r="C26" t="str">
        <f ca="1"/>
        <v>Male</v>
      </c>
      <c r="D26" t="str">
        <f ca="1"/>
        <v>Website</v>
      </c>
      <c r="E26">
        <f ca="1"/>
        <v>37</v>
      </c>
      <c r="F26" s="13">
        <f ca="1"/>
        <v>44338</v>
      </c>
      <c r="G26" s="20">
        <f ca="1"/>
        <v>88050</v>
      </c>
      <c r="H26" t="str">
        <f ca="1"/>
        <v>Poor</v>
      </c>
      <c r="I26" t="str">
        <f ca="1"/>
        <v>UK</v>
      </c>
      <c r="J26">
        <f ca="1"/>
        <v>2.6876712328767125</v>
      </c>
      <c r="K26">
        <f ca="1"/>
        <v>2641.5</v>
      </c>
      <c r="L26">
        <f ca="1"/>
        <v>2</v>
      </c>
    </row>
    <row r="27" spans="2:24" x14ac:dyDescent="0.25">
      <c r="B27" t="str">
        <f ca="1"/>
        <v>Gangadutt Ragha</v>
      </c>
      <c r="C27" t="str">
        <f ca="1"/>
        <v>Male</v>
      </c>
      <c r="D27" t="str">
        <f ca="1"/>
        <v>Website</v>
      </c>
      <c r="E27">
        <f ca="1"/>
        <v>37</v>
      </c>
      <c r="F27" s="13">
        <f ca="1"/>
        <v>44277</v>
      </c>
      <c r="G27" s="20">
        <f ca="1"/>
        <v>88050</v>
      </c>
      <c r="H27" t="str">
        <f ca="1"/>
        <v>Poor</v>
      </c>
      <c r="I27" t="str">
        <f ca="1"/>
        <v>India</v>
      </c>
      <c r="J27">
        <f ca="1"/>
        <v>2.8547945205479452</v>
      </c>
      <c r="K27">
        <f ca="1"/>
        <v>2641.5</v>
      </c>
      <c r="L27">
        <f ca="1"/>
        <v>2</v>
      </c>
    </row>
    <row r="28" spans="2:24" x14ac:dyDescent="0.25">
      <c r="B28" t="str">
        <f ca="1"/>
        <v>Merrilee Plenty</v>
      </c>
      <c r="C28" t="str">
        <f ca="1"/>
        <v>Female</v>
      </c>
      <c r="D28" t="str">
        <f ca="1"/>
        <v>Website</v>
      </c>
      <c r="E28">
        <f ca="1"/>
        <v>40</v>
      </c>
      <c r="F28" s="13">
        <f ca="1"/>
        <v>44337</v>
      </c>
      <c r="G28" s="20">
        <f ca="1"/>
        <v>87620</v>
      </c>
      <c r="H28" t="str">
        <f ca="1"/>
        <v>Average</v>
      </c>
      <c r="I28" t="str">
        <f ca="1"/>
        <v>UK</v>
      </c>
      <c r="J28">
        <f ca="1"/>
        <v>2.6904109589041094</v>
      </c>
      <c r="K28">
        <f ca="1"/>
        <v>2628.6</v>
      </c>
      <c r="L28">
        <f ca="1"/>
        <v>3</v>
      </c>
    </row>
    <row r="29" spans="2:24" x14ac:dyDescent="0.25">
      <c r="B29" t="str">
        <f ca="1"/>
        <v>Godavari Veena</v>
      </c>
      <c r="C29" t="str">
        <f ca="1"/>
        <v>Female</v>
      </c>
      <c r="D29" t="str">
        <f ca="1"/>
        <v>Website</v>
      </c>
      <c r="E29">
        <f ca="1"/>
        <v>40</v>
      </c>
      <c r="F29" s="13">
        <f ca="1"/>
        <v>44276</v>
      </c>
      <c r="G29" s="20">
        <f ca="1"/>
        <v>87620</v>
      </c>
      <c r="H29" t="str">
        <f ca="1"/>
        <v>Average</v>
      </c>
      <c r="I29" t="str">
        <f ca="1"/>
        <v>India</v>
      </c>
      <c r="J29">
        <f ca="1"/>
        <v>2.8575342465753426</v>
      </c>
      <c r="K29">
        <f ca="1"/>
        <v>2628.6</v>
      </c>
      <c r="L29">
        <f ca="1"/>
        <v>3</v>
      </c>
    </row>
    <row r="30" spans="2:24" x14ac:dyDescent="0.25">
      <c r="B30" t="str">
        <f ca="1"/>
        <v>Agnes Collicott</v>
      </c>
      <c r="C30" t="str">
        <f ca="1"/>
        <v>Female</v>
      </c>
      <c r="D30" t="str">
        <f ca="1"/>
        <v>Website</v>
      </c>
      <c r="E30">
        <f ca="1"/>
        <v>27</v>
      </c>
      <c r="F30" s="13">
        <f ca="1"/>
        <v>44686</v>
      </c>
      <c r="G30" s="20">
        <f ca="1"/>
        <v>83750</v>
      </c>
      <c r="H30" t="str">
        <f ca="1"/>
        <v>Average</v>
      </c>
      <c r="I30" t="str">
        <f ca="1"/>
        <v>UK</v>
      </c>
      <c r="J30">
        <f ca="1"/>
        <v>1.7342465753424658</v>
      </c>
      <c r="K30">
        <f ca="1"/>
        <v>1675</v>
      </c>
      <c r="L30">
        <f ca="1"/>
        <v>3</v>
      </c>
    </row>
    <row r="31" spans="2:24" x14ac:dyDescent="0.25">
      <c r="B31" t="str">
        <f ca="1"/>
        <v>Kunja Prashanta Vibha</v>
      </c>
      <c r="C31" t="str">
        <f ca="1"/>
        <v>Female</v>
      </c>
      <c r="D31" t="str">
        <f ca="1"/>
        <v>Website</v>
      </c>
      <c r="E31">
        <f ca="1"/>
        <v>27</v>
      </c>
      <c r="F31" s="13">
        <f ca="1"/>
        <v>44625</v>
      </c>
      <c r="G31" s="20">
        <f ca="1"/>
        <v>83750</v>
      </c>
      <c r="H31" t="str">
        <f ca="1"/>
        <v>Average</v>
      </c>
      <c r="I31" t="str">
        <f ca="1"/>
        <v>India</v>
      </c>
      <c r="J31">
        <f ca="1"/>
        <v>1.9013698630136986</v>
      </c>
      <c r="K31">
        <f ca="1"/>
        <v>1675</v>
      </c>
      <c r="L31">
        <f ca="1"/>
        <v>3</v>
      </c>
    </row>
    <row r="32" spans="2:24" x14ac:dyDescent="0.25">
      <c r="B32" t="str">
        <f ca="1"/>
        <v>Van Tuxwell</v>
      </c>
      <c r="C32" t="str">
        <f ca="1"/>
        <v>Female</v>
      </c>
      <c r="D32" t="str">
        <f ca="1"/>
        <v>Website</v>
      </c>
      <c r="E32">
        <f ca="1"/>
        <v>25</v>
      </c>
      <c r="F32" s="13">
        <f ca="1"/>
        <v>44694</v>
      </c>
      <c r="G32" s="20">
        <f ca="1"/>
        <v>80700</v>
      </c>
      <c r="H32" t="str">
        <f ca="1"/>
        <v>Above average</v>
      </c>
      <c r="I32" t="str">
        <f ca="1"/>
        <v>UK</v>
      </c>
      <c r="J32">
        <f ca="1"/>
        <v>1.7123287671232876</v>
      </c>
      <c r="K32">
        <f ca="1"/>
        <v>1614</v>
      </c>
      <c r="L32">
        <f ca="1"/>
        <v>4</v>
      </c>
    </row>
    <row r="33" spans="2:12" x14ac:dyDescent="0.25">
      <c r="B33" t="str">
        <f ca="1"/>
        <v>Bhuvan Pals</v>
      </c>
      <c r="C33" t="str">
        <f ca="1"/>
        <v>Female</v>
      </c>
      <c r="D33" t="str">
        <f ca="1"/>
        <v>Website</v>
      </c>
      <c r="E33">
        <f ca="1"/>
        <v>25</v>
      </c>
      <c r="F33" s="13">
        <f ca="1"/>
        <v>44633</v>
      </c>
      <c r="G33" s="20">
        <f ca="1"/>
        <v>80700</v>
      </c>
      <c r="H33" t="str">
        <f ca="1"/>
        <v>Above average</v>
      </c>
      <c r="I33" t="str">
        <f ca="1"/>
        <v>India</v>
      </c>
      <c r="J33">
        <f ca="1"/>
        <v>1.8794520547945206</v>
      </c>
      <c r="K33">
        <f ca="1"/>
        <v>1614</v>
      </c>
      <c r="L33">
        <f ca="1"/>
        <v>4</v>
      </c>
    </row>
    <row r="34" spans="2:12" x14ac:dyDescent="0.25">
      <c r="B34" t="str">
        <f ca="1"/>
        <v>Camilla Castle</v>
      </c>
      <c r="C34" t="str">
        <f ca="1"/>
        <v>Female</v>
      </c>
      <c r="D34" t="str">
        <f ca="1"/>
        <v>Website</v>
      </c>
      <c r="E34">
        <f ca="1"/>
        <v>33</v>
      </c>
      <c r="F34" s="13">
        <f ca="1"/>
        <v>44374</v>
      </c>
      <c r="G34" s="20">
        <f ca="1"/>
        <v>75480</v>
      </c>
      <c r="H34" t="str">
        <f ca="1"/>
        <v>Very poor</v>
      </c>
      <c r="I34" t="str">
        <f ca="1"/>
        <v>UK</v>
      </c>
      <c r="J34">
        <f ca="1"/>
        <v>2.5890410958904111</v>
      </c>
      <c r="K34">
        <f ca="1"/>
        <v>2264.4</v>
      </c>
      <c r="L34">
        <f ca="1"/>
        <v>1</v>
      </c>
    </row>
    <row r="35" spans="2:12" x14ac:dyDescent="0.25">
      <c r="B35" t="str">
        <f ca="1"/>
        <v>Ayog Chakrabarti</v>
      </c>
      <c r="C35" t="str">
        <f ca="1"/>
        <v>Female</v>
      </c>
      <c r="D35" t="str">
        <f ca="1"/>
        <v>Website</v>
      </c>
      <c r="E35">
        <f ca="1"/>
        <v>33</v>
      </c>
      <c r="F35" s="13">
        <f ca="1"/>
        <v>44313</v>
      </c>
      <c r="G35" s="20">
        <f ca="1"/>
        <v>75480</v>
      </c>
      <c r="H35" t="str">
        <f ca="1"/>
        <v>Very poor</v>
      </c>
      <c r="I35" t="str">
        <f ca="1"/>
        <v>India</v>
      </c>
      <c r="J35">
        <f ca="1"/>
        <v>2.7561643835616438</v>
      </c>
      <c r="K35">
        <f ca="1"/>
        <v>2264.4</v>
      </c>
      <c r="L35">
        <f ca="1"/>
        <v>1</v>
      </c>
    </row>
    <row r="36" spans="2:12" x14ac:dyDescent="0.25">
      <c r="B36" t="str">
        <f ca="1"/>
        <v>Elia Cockton</v>
      </c>
      <c r="C36" t="str">
        <f ca="1"/>
        <v>Female</v>
      </c>
      <c r="D36" t="str">
        <f ca="1"/>
        <v>Website</v>
      </c>
      <c r="E36">
        <f ca="1"/>
        <v>33</v>
      </c>
      <c r="F36" s="13">
        <f ca="1"/>
        <v>44312</v>
      </c>
      <c r="G36" s="20">
        <f ca="1"/>
        <v>75280</v>
      </c>
      <c r="H36" t="str">
        <f ca="1"/>
        <v>Average</v>
      </c>
      <c r="I36" t="str">
        <f ca="1"/>
        <v>UK</v>
      </c>
      <c r="J36">
        <f ca="1"/>
        <v>2.7589041095890412</v>
      </c>
      <c r="K36">
        <f ca="1"/>
        <v>2258.4</v>
      </c>
      <c r="L36">
        <f ca="1"/>
        <v>3</v>
      </c>
    </row>
    <row r="37" spans="2:12" x14ac:dyDescent="0.25">
      <c r="B37" t="str">
        <f ca="1"/>
        <v>Hemavati Muthiah</v>
      </c>
      <c r="C37" t="str">
        <f ca="1"/>
        <v>Female</v>
      </c>
      <c r="D37" t="str">
        <f ca="1"/>
        <v>Website</v>
      </c>
      <c r="E37">
        <f ca="1"/>
        <v>33</v>
      </c>
      <c r="F37" s="13">
        <f ca="1"/>
        <v>44253</v>
      </c>
      <c r="G37" s="20">
        <f ca="1"/>
        <v>75280</v>
      </c>
      <c r="H37" t="str">
        <f ca="1"/>
        <v>Average</v>
      </c>
      <c r="I37" t="str">
        <f ca="1"/>
        <v>India</v>
      </c>
      <c r="J37">
        <f ca="1"/>
        <v>2.9205479452054797</v>
      </c>
      <c r="K37">
        <f ca="1"/>
        <v>2258.4</v>
      </c>
      <c r="L37">
        <f ca="1"/>
        <v>3</v>
      </c>
    </row>
    <row r="38" spans="2:12" x14ac:dyDescent="0.25">
      <c r="B38" t="str">
        <f ca="1"/>
        <v>Myer McCory</v>
      </c>
      <c r="C38" t="str">
        <f ca="1"/>
        <v>Male</v>
      </c>
      <c r="D38" t="str">
        <f ca="1"/>
        <v>Website</v>
      </c>
      <c r="E38">
        <f ca="1"/>
        <v>30</v>
      </c>
      <c r="F38" s="13">
        <f ca="1"/>
        <v>44850</v>
      </c>
      <c r="G38" s="20">
        <f ca="1"/>
        <v>69710</v>
      </c>
      <c r="H38" t="str">
        <f ca="1"/>
        <v>Average</v>
      </c>
      <c r="I38" t="str">
        <f ca="1"/>
        <v>UK</v>
      </c>
      <c r="J38">
        <f ca="1"/>
        <v>1.284931506849315</v>
      </c>
      <c r="K38">
        <f ca="1"/>
        <v>1394.2</v>
      </c>
      <c r="L38">
        <f ca="1"/>
        <v>3</v>
      </c>
    </row>
    <row r="39" spans="2:12" x14ac:dyDescent="0.25">
      <c r="B39" t="str">
        <f ca="1"/>
        <v>Shekhar Eswara</v>
      </c>
      <c r="C39" t="str">
        <f ca="1"/>
        <v>Male</v>
      </c>
      <c r="D39" t="str">
        <f ca="1"/>
        <v>Website</v>
      </c>
      <c r="E39">
        <f ca="1"/>
        <v>30</v>
      </c>
      <c r="F39" s="13">
        <f ca="1"/>
        <v>44789</v>
      </c>
      <c r="G39" s="20">
        <f ca="1"/>
        <v>69710</v>
      </c>
      <c r="H39" t="str">
        <f ca="1"/>
        <v>Average</v>
      </c>
      <c r="I39" t="str">
        <f ca="1"/>
        <v>India</v>
      </c>
      <c r="J39">
        <f ca="1"/>
        <v>1.452054794520548</v>
      </c>
      <c r="K39">
        <f ca="1"/>
        <v>1394.2</v>
      </c>
      <c r="L39">
        <f ca="1"/>
        <v>3</v>
      </c>
    </row>
    <row r="40" spans="2:12" x14ac:dyDescent="0.25">
      <c r="B40" t="str">
        <f ca="1"/>
        <v>Andria Kimpton</v>
      </c>
      <c r="C40" t="str">
        <f ca="1"/>
        <v>Male</v>
      </c>
      <c r="D40" t="str">
        <f ca="1"/>
        <v>Website</v>
      </c>
      <c r="E40">
        <f ca="1"/>
        <v>30</v>
      </c>
      <c r="F40" s="13">
        <f ca="1"/>
        <v>44273</v>
      </c>
      <c r="G40" s="20">
        <f ca="1"/>
        <v>69120</v>
      </c>
      <c r="H40" t="str">
        <f ca="1"/>
        <v>Average</v>
      </c>
      <c r="I40" t="str">
        <f ca="1"/>
        <v>UK</v>
      </c>
      <c r="J40">
        <f ca="1"/>
        <v>2.8657534246575342</v>
      </c>
      <c r="K40">
        <f ca="1"/>
        <v>2073.6</v>
      </c>
      <c r="L40">
        <f ca="1"/>
        <v>3</v>
      </c>
    </row>
    <row r="41" spans="2:12" x14ac:dyDescent="0.25">
      <c r="B41" t="str">
        <f ca="1"/>
        <v>Rameshwari Chikodi</v>
      </c>
      <c r="C41" t="str">
        <f ca="1"/>
        <v>Male</v>
      </c>
      <c r="D41" t="str">
        <f ca="1"/>
        <v>Website</v>
      </c>
      <c r="E41">
        <f ca="1"/>
        <v>30</v>
      </c>
      <c r="F41" s="13">
        <f ca="1"/>
        <v>44214</v>
      </c>
      <c r="G41" s="20">
        <f ca="1"/>
        <v>69120</v>
      </c>
      <c r="H41" t="str">
        <f ca="1"/>
        <v>Average</v>
      </c>
      <c r="I41" t="str">
        <f ca="1"/>
        <v>India</v>
      </c>
      <c r="J41">
        <f ca="1"/>
        <v>3.0273972602739727</v>
      </c>
      <c r="K41">
        <f ca="1"/>
        <v>2073.6</v>
      </c>
      <c r="L41">
        <f ca="1"/>
        <v>3</v>
      </c>
    </row>
    <row r="42" spans="2:12" x14ac:dyDescent="0.25">
      <c r="B42" t="str">
        <f ca="1"/>
        <v>Murry Dryburgh</v>
      </c>
      <c r="C42" t="str">
        <f ca="1"/>
        <v>Male</v>
      </c>
      <c r="D42" t="str">
        <f ca="1"/>
        <v>Website</v>
      </c>
      <c r="E42">
        <f ca="1"/>
        <v>37</v>
      </c>
      <c r="F42" s="13">
        <f ca="1"/>
        <v>44701</v>
      </c>
      <c r="G42" s="20">
        <f ca="1"/>
        <v>69070</v>
      </c>
      <c r="H42" t="str">
        <f ca="1"/>
        <v>Average</v>
      </c>
      <c r="I42" t="str">
        <f ca="1"/>
        <v>UK</v>
      </c>
      <c r="J42">
        <f ca="1"/>
        <v>1.6931506849315068</v>
      </c>
      <c r="K42">
        <f ca="1"/>
        <v>1381.4</v>
      </c>
      <c r="L42">
        <f ca="1"/>
        <v>3</v>
      </c>
    </row>
    <row r="43" spans="2:12" x14ac:dyDescent="0.25">
      <c r="B43" t="str">
        <f ca="1"/>
        <v>Jaishree Atasi Yavatkar</v>
      </c>
      <c r="C43" t="str">
        <f ca="1"/>
        <v>Male</v>
      </c>
      <c r="D43" t="str">
        <f ca="1"/>
        <v>Website</v>
      </c>
      <c r="E43">
        <f ca="1"/>
        <v>37</v>
      </c>
      <c r="F43" s="13">
        <f ca="1"/>
        <v>44640</v>
      </c>
      <c r="G43" s="20">
        <f ca="1"/>
        <v>69070</v>
      </c>
      <c r="H43" t="str">
        <f ca="1"/>
        <v>Average</v>
      </c>
      <c r="I43" t="str">
        <f ca="1"/>
        <v>India</v>
      </c>
      <c r="J43">
        <f ca="1"/>
        <v>1.8602739726027397</v>
      </c>
      <c r="K43">
        <f ca="1"/>
        <v>1381.4</v>
      </c>
      <c r="L43">
        <f ca="1"/>
        <v>3</v>
      </c>
    </row>
    <row r="44" spans="2:12" x14ac:dyDescent="0.25">
      <c r="B44" t="str">
        <f ca="1"/>
        <v>Vic Radolf</v>
      </c>
      <c r="C44" t="str">
        <f ca="1"/>
        <v>Female</v>
      </c>
      <c r="D44" t="str">
        <f ca="1"/>
        <v>Website</v>
      </c>
      <c r="E44">
        <f ca="1"/>
        <v>24</v>
      </c>
      <c r="F44" s="13">
        <f ca="1"/>
        <v>44148</v>
      </c>
      <c r="G44" s="20">
        <f ca="1"/>
        <v>62780</v>
      </c>
      <c r="H44" t="str">
        <f ca="1"/>
        <v>Average</v>
      </c>
      <c r="I44" t="str">
        <f ca="1"/>
        <v>UK</v>
      </c>
      <c r="J44">
        <f ca="1"/>
        <v>3.2082191780821918</v>
      </c>
      <c r="K44">
        <f ca="1"/>
        <v>1883.3999999999999</v>
      </c>
      <c r="L44">
        <f ca="1"/>
        <v>3</v>
      </c>
    </row>
    <row r="45" spans="2:12" x14ac:dyDescent="0.25">
      <c r="B45" t="str">
        <f ca="1"/>
        <v>Fullara Sushanti Mokate</v>
      </c>
      <c r="C45" t="str">
        <f ca="1"/>
        <v>Female</v>
      </c>
      <c r="D45" t="str">
        <f ca="1"/>
        <v>Website</v>
      </c>
      <c r="E45">
        <f ca="1"/>
        <v>24</v>
      </c>
      <c r="F45" s="13">
        <f ca="1"/>
        <v>44087</v>
      </c>
      <c r="G45" s="20">
        <f ca="1"/>
        <v>62780</v>
      </c>
      <c r="H45" t="str">
        <f ca="1"/>
        <v>Average</v>
      </c>
      <c r="I45" t="str">
        <f ca="1"/>
        <v>India</v>
      </c>
      <c r="J45">
        <f ca="1"/>
        <v>3.3753424657534246</v>
      </c>
      <c r="K45">
        <f ca="1"/>
        <v>1883.3999999999999</v>
      </c>
      <c r="L45">
        <f ca="1"/>
        <v>3</v>
      </c>
    </row>
    <row r="46" spans="2:12" x14ac:dyDescent="0.25">
      <c r="B46" t="str">
        <f ca="1"/>
        <v>Brien Boise</v>
      </c>
      <c r="C46" t="str">
        <f ca="1"/>
        <v>Female</v>
      </c>
      <c r="D46" t="str">
        <f ca="1"/>
        <v>Website</v>
      </c>
      <c r="E46">
        <f ca="1"/>
        <v>31</v>
      </c>
      <c r="F46" s="13">
        <f ca="1"/>
        <v>44663</v>
      </c>
      <c r="G46" s="20">
        <f ca="1"/>
        <v>58100</v>
      </c>
      <c r="H46" t="str">
        <f ca="1"/>
        <v>Average</v>
      </c>
      <c r="I46" t="str">
        <f ca="1"/>
        <v>UK</v>
      </c>
      <c r="J46">
        <f ca="1"/>
        <v>1.7972602739726027</v>
      </c>
      <c r="K46">
        <f ca="1"/>
        <v>1162</v>
      </c>
      <c r="L46">
        <f ca="1"/>
        <v>3</v>
      </c>
    </row>
    <row r="47" spans="2:12" x14ac:dyDescent="0.25">
      <c r="B47" t="str">
        <f ca="1"/>
        <v>Pratigya Rema</v>
      </c>
      <c r="C47" t="str">
        <f ca="1"/>
        <v>Female</v>
      </c>
      <c r="D47" t="str">
        <f ca="1"/>
        <v>Website</v>
      </c>
      <c r="E47">
        <f ca="1"/>
        <v>31</v>
      </c>
      <c r="F47" s="13">
        <f ca="1"/>
        <v>44604</v>
      </c>
      <c r="G47" s="20">
        <f ca="1"/>
        <v>58100</v>
      </c>
      <c r="H47" t="str">
        <f ca="1"/>
        <v>Average</v>
      </c>
      <c r="I47" t="str">
        <f ca="1"/>
        <v>India</v>
      </c>
      <c r="J47">
        <f ca="1"/>
        <v>1.9589041095890412</v>
      </c>
      <c r="K47">
        <f ca="1"/>
        <v>1162</v>
      </c>
      <c r="L47">
        <f ca="1"/>
        <v>3</v>
      </c>
    </row>
    <row r="48" spans="2:12" x14ac:dyDescent="0.25">
      <c r="B48" t="str">
        <f ca="1"/>
        <v>William Reeveley</v>
      </c>
      <c r="C48" t="str">
        <f ca="1"/>
        <v>Male</v>
      </c>
      <c r="D48" t="str">
        <f ca="1"/>
        <v>Website</v>
      </c>
      <c r="E48">
        <f ca="1"/>
        <v>33</v>
      </c>
      <c r="F48" s="13">
        <f ca="1"/>
        <v>44509</v>
      </c>
      <c r="G48" s="20">
        <f ca="1"/>
        <v>53870</v>
      </c>
      <c r="H48" t="str">
        <f ca="1"/>
        <v>Average</v>
      </c>
      <c r="I48" t="str">
        <f ca="1"/>
        <v>UK</v>
      </c>
      <c r="J48">
        <f ca="1"/>
        <v>2.2191780821917808</v>
      </c>
      <c r="K48">
        <f ca="1"/>
        <v>1616.1</v>
      </c>
      <c r="L48">
        <f ca="1"/>
        <v>3</v>
      </c>
    </row>
    <row r="49" spans="2:12" x14ac:dyDescent="0.25">
      <c r="B49" t="str">
        <f ca="1"/>
        <v>Pragya Nilufar</v>
      </c>
      <c r="C49" t="str">
        <f ca="1"/>
        <v>Male</v>
      </c>
      <c r="D49" t="str">
        <f ca="1"/>
        <v>Website</v>
      </c>
      <c r="E49">
        <f ca="1"/>
        <v>33</v>
      </c>
      <c r="F49" s="13">
        <f ca="1"/>
        <v>44448</v>
      </c>
      <c r="G49" s="20">
        <f ca="1"/>
        <v>53870</v>
      </c>
      <c r="H49" t="str">
        <f ca="1"/>
        <v>Average</v>
      </c>
      <c r="I49" t="str">
        <f ca="1"/>
        <v>India</v>
      </c>
      <c r="J49">
        <f ca="1"/>
        <v>2.3863013698630136</v>
      </c>
      <c r="K49">
        <f ca="1"/>
        <v>1616.1</v>
      </c>
      <c r="L49">
        <f ca="1"/>
        <v>3</v>
      </c>
    </row>
    <row r="50" spans="2:12" x14ac:dyDescent="0.25">
      <c r="B50" t="str">
        <f ca="1"/>
        <v>Gunar Cockshoot</v>
      </c>
      <c r="C50" t="str">
        <f ca="1"/>
        <v>Male</v>
      </c>
      <c r="D50" t="str">
        <f ca="1"/>
        <v>Website</v>
      </c>
      <c r="E50">
        <f ca="1"/>
        <v>31</v>
      </c>
      <c r="F50" s="13">
        <f ca="1"/>
        <v>44511</v>
      </c>
      <c r="G50" s="20">
        <f ca="1"/>
        <v>48950</v>
      </c>
      <c r="H50" t="str">
        <f ca="1"/>
        <v>Average</v>
      </c>
      <c r="I50" t="str">
        <f ca="1"/>
        <v>UK</v>
      </c>
      <c r="J50">
        <f ca="1"/>
        <v>2.2136986301369861</v>
      </c>
      <c r="K50">
        <f ca="1"/>
        <v>1468.5</v>
      </c>
      <c r="L50">
        <f ca="1"/>
        <v>3</v>
      </c>
    </row>
    <row r="51" spans="2:12" x14ac:dyDescent="0.25">
      <c r="B51" t="str">
        <f ca="1"/>
        <v>Amal Nimesh</v>
      </c>
      <c r="C51" t="str">
        <f ca="1"/>
        <v>Male</v>
      </c>
      <c r="D51" t="str">
        <f ca="1"/>
        <v>Website</v>
      </c>
      <c r="E51">
        <f ca="1"/>
        <v>31</v>
      </c>
      <c r="F51" s="13">
        <f ca="1"/>
        <v>44450</v>
      </c>
      <c r="G51" s="20">
        <f ca="1"/>
        <v>48950</v>
      </c>
      <c r="H51" t="str">
        <f ca="1"/>
        <v>Average</v>
      </c>
      <c r="I51" t="str">
        <f ca="1"/>
        <v>India</v>
      </c>
      <c r="J51">
        <f ca="1"/>
        <v>2.3808219178082193</v>
      </c>
      <c r="K51">
        <f ca="1"/>
        <v>1468.5</v>
      </c>
      <c r="L51">
        <f ca="1"/>
        <v>3</v>
      </c>
    </row>
    <row r="52" spans="2:12" x14ac:dyDescent="0.25">
      <c r="B52" t="str">
        <f ca="1"/>
        <v>Kassi Jonson</v>
      </c>
      <c r="C52" t="str">
        <f ca="1"/>
        <v>Female</v>
      </c>
      <c r="D52" t="str">
        <f ca="1"/>
        <v>Website</v>
      </c>
      <c r="E52">
        <f ca="1"/>
        <v>32</v>
      </c>
      <c r="F52" s="13">
        <f ca="1"/>
        <v>44354</v>
      </c>
      <c r="G52" s="20">
        <f ca="1"/>
        <v>43840</v>
      </c>
      <c r="H52" t="str">
        <f ca="1"/>
        <v>Above average</v>
      </c>
      <c r="I52" t="str">
        <f ca="1"/>
        <v>UK</v>
      </c>
      <c r="J52">
        <f ca="1"/>
        <v>2.6438356164383561</v>
      </c>
      <c r="K52">
        <f ca="1"/>
        <v>1315.2</v>
      </c>
      <c r="L52">
        <f ca="1"/>
        <v>4</v>
      </c>
    </row>
    <row r="53" spans="2:12" x14ac:dyDescent="0.25">
      <c r="B53" t="str">
        <f ca="1"/>
        <v>Yagna Sujeev</v>
      </c>
      <c r="C53" t="str">
        <f ca="1"/>
        <v>Female</v>
      </c>
      <c r="D53" t="str">
        <f ca="1"/>
        <v>Website</v>
      </c>
      <c r="E53">
        <f ca="1"/>
        <v>32</v>
      </c>
      <c r="F53" s="13">
        <f ca="1"/>
        <v>44293</v>
      </c>
      <c r="G53" s="20">
        <f ca="1"/>
        <v>43840</v>
      </c>
      <c r="H53" t="str">
        <f ca="1"/>
        <v>Above average</v>
      </c>
      <c r="I53" t="str">
        <f ca="1"/>
        <v>India</v>
      </c>
      <c r="J53">
        <f ca="1"/>
        <v>2.8109589041095893</v>
      </c>
      <c r="K53">
        <f ca="1"/>
        <v>1315.2</v>
      </c>
      <c r="L53">
        <f ca="1"/>
        <v>4</v>
      </c>
    </row>
    <row r="54" spans="2:12" x14ac:dyDescent="0.25">
      <c r="B54" t="str">
        <f ca="1"/>
        <v>Dotty Strutley</v>
      </c>
      <c r="C54" t="str">
        <f ca="1"/>
        <v>Female</v>
      </c>
      <c r="D54" t="str">
        <f ca="1"/>
        <v>Website</v>
      </c>
      <c r="E54">
        <f ca="1"/>
        <v>31</v>
      </c>
      <c r="F54" s="13">
        <f ca="1"/>
        <v>44145</v>
      </c>
      <c r="G54" s="20">
        <f ca="1"/>
        <v>41980</v>
      </c>
      <c r="H54" t="str">
        <f ca="1"/>
        <v>Average</v>
      </c>
      <c r="I54" t="str">
        <f ca="1"/>
        <v>UK</v>
      </c>
      <c r="J54">
        <f ca="1"/>
        <v>3.2164383561643834</v>
      </c>
      <c r="K54">
        <f ca="1"/>
        <v>1259.3999999999999</v>
      </c>
      <c r="L54">
        <f ca="1"/>
        <v>3</v>
      </c>
    </row>
    <row r="55" spans="2:12" x14ac:dyDescent="0.25">
      <c r="B55" t="str">
        <f ca="1"/>
        <v>Jagajeet Viraj</v>
      </c>
      <c r="C55" t="str">
        <f ca="1"/>
        <v>Female</v>
      </c>
      <c r="D55" t="str">
        <f ca="1"/>
        <v>Website</v>
      </c>
      <c r="E55">
        <f ca="1"/>
        <v>31</v>
      </c>
      <c r="F55" s="13">
        <f ca="1"/>
        <v>44084</v>
      </c>
      <c r="G55" s="20">
        <f ca="1"/>
        <v>41980</v>
      </c>
      <c r="H55" t="str">
        <f ca="1"/>
        <v>Average</v>
      </c>
      <c r="I55" t="str">
        <f ca="1"/>
        <v>India</v>
      </c>
      <c r="J55">
        <f ca="1"/>
        <v>3.3835616438356166</v>
      </c>
      <c r="K55">
        <f ca="1"/>
        <v>1259.3999999999999</v>
      </c>
      <c r="L55">
        <f ca="1"/>
        <v>3</v>
      </c>
    </row>
    <row r="56" spans="2:12" x14ac:dyDescent="0.25">
      <c r="B56" t="str">
        <f ca="1"/>
        <v>Niall Selesnick</v>
      </c>
      <c r="C56" t="str">
        <f ca="1"/>
        <v>Female</v>
      </c>
      <c r="D56" t="str">
        <f ca="1"/>
        <v>Website</v>
      </c>
      <c r="E56">
        <f ca="1"/>
        <v>29</v>
      </c>
      <c r="F56" s="13">
        <f ca="1"/>
        <v>44023</v>
      </c>
      <c r="G56" s="20">
        <f ca="1"/>
        <v>34980</v>
      </c>
      <c r="H56" t="str">
        <f ca="1"/>
        <v>Average</v>
      </c>
      <c r="I56" t="str">
        <f ca="1"/>
        <v>UK</v>
      </c>
      <c r="J56">
        <f ca="1"/>
        <v>3.5506849315068494</v>
      </c>
      <c r="K56">
        <f ca="1"/>
        <v>1049.3999999999999</v>
      </c>
      <c r="L56">
        <f ca="1"/>
        <v>3</v>
      </c>
    </row>
    <row r="57" spans="2:12" x14ac:dyDescent="0.25">
      <c r="B57" t="str">
        <f ca="1"/>
        <v>Suchira Bhanupriya Tapti</v>
      </c>
      <c r="C57" t="str">
        <f ca="1"/>
        <v>Female</v>
      </c>
      <c r="D57" t="str">
        <f ca="1"/>
        <v>Website</v>
      </c>
      <c r="E57">
        <f ca="1"/>
        <v>29</v>
      </c>
      <c r="F57" s="13">
        <f ca="1"/>
        <v>43962</v>
      </c>
      <c r="G57" s="20">
        <f ca="1"/>
        <v>34980</v>
      </c>
      <c r="H57" t="str">
        <f ca="1"/>
        <v>Average</v>
      </c>
      <c r="I57" t="str">
        <f ca="1"/>
        <v>India</v>
      </c>
      <c r="J57">
        <f ca="1"/>
        <v>3.7178082191780821</v>
      </c>
      <c r="K57">
        <f ca="1"/>
        <v>1049.3999999999999</v>
      </c>
      <c r="L57">
        <f ca="1"/>
        <v>3</v>
      </c>
    </row>
    <row r="58" spans="2:12" x14ac:dyDescent="0.25">
      <c r="B58" t="str">
        <f ca="1"/>
        <v>Gretchen Callow</v>
      </c>
      <c r="C58" t="str">
        <f ca="1"/>
        <v>Female</v>
      </c>
      <c r="D58" t="str">
        <f ca="1"/>
        <v>Website</v>
      </c>
      <c r="E58">
        <f ca="1"/>
        <v>21</v>
      </c>
      <c r="F58" s="13">
        <f ca="1"/>
        <v>44678</v>
      </c>
      <c r="G58" s="20">
        <f ca="1"/>
        <v>33920</v>
      </c>
      <c r="H58" t="str">
        <f ca="1"/>
        <v>Average</v>
      </c>
      <c r="I58" t="str">
        <f ca="1"/>
        <v>UK</v>
      </c>
      <c r="J58">
        <f ca="1"/>
        <v>1.7561643835616438</v>
      </c>
      <c r="K58">
        <f ca="1"/>
        <v>678.4</v>
      </c>
      <c r="L58">
        <f ca="1"/>
        <v>3</v>
      </c>
    </row>
    <row r="59" spans="2:12" x14ac:dyDescent="0.25">
      <c r="B59" t="str">
        <f ca="1"/>
        <v>Shubhra Potla</v>
      </c>
      <c r="C59" t="str">
        <f ca="1"/>
        <v>Female</v>
      </c>
      <c r="D59" t="str">
        <f ca="1"/>
        <v>Website</v>
      </c>
      <c r="E59">
        <f ca="1"/>
        <v>21</v>
      </c>
      <c r="F59" s="13">
        <f ca="1"/>
        <v>44619</v>
      </c>
      <c r="G59" s="20">
        <f ca="1"/>
        <v>33920</v>
      </c>
      <c r="H59" t="str">
        <f ca="1"/>
        <v>Average</v>
      </c>
      <c r="I59" t="str">
        <f ca="1"/>
        <v>India</v>
      </c>
      <c r="J59">
        <f ca="1"/>
        <v>1.9178082191780821</v>
      </c>
      <c r="K59">
        <f ca="1"/>
        <v>678.4</v>
      </c>
      <c r="L59">
        <f ca="1"/>
        <v>3</v>
      </c>
    </row>
    <row r="60" spans="2:12" x14ac:dyDescent="0.25">
      <c r="F60" s="13"/>
      <c r="G60" s="20"/>
    </row>
    <row r="61" spans="2:12" x14ac:dyDescent="0.25">
      <c r="G61"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9C1E8-4453-47C8-BC96-D97232144E03}">
  <sheetPr>
    <tabColor theme="5"/>
  </sheetPr>
  <dimension ref="B3:F8"/>
  <sheetViews>
    <sheetView workbookViewId="0">
      <selection activeCell="H17" sqref="H17"/>
    </sheetView>
  </sheetViews>
  <sheetFormatPr defaultRowHeight="15" x14ac:dyDescent="0.25"/>
  <cols>
    <col min="2" max="2" width="17.5703125" bestFit="1" customWidth="1"/>
    <col min="3" max="6" width="11.28515625" bestFit="1" customWidth="1"/>
    <col min="7" max="35" width="11.42578125" bestFit="1" customWidth="1"/>
    <col min="36" max="45" width="13.28515625" bestFit="1" customWidth="1"/>
    <col min="46" max="46" width="12.5703125" bestFit="1" customWidth="1"/>
    <col min="47" max="78" width="11.42578125" bestFit="1" customWidth="1"/>
    <col min="79" max="89" width="13.28515625" bestFit="1" customWidth="1"/>
    <col min="90" max="90" width="12.5703125" bestFit="1" customWidth="1"/>
    <col min="91" max="94" width="11.42578125" bestFit="1" customWidth="1"/>
    <col min="95" max="95" width="13.28515625" bestFit="1" customWidth="1"/>
    <col min="96" max="96" width="11.85546875" bestFit="1" customWidth="1"/>
    <col min="97" max="97" width="11.7109375" bestFit="1" customWidth="1"/>
  </cols>
  <sheetData>
    <row r="3" spans="2:6" x14ac:dyDescent="0.25">
      <c r="C3" s="18" t="s">
        <v>1</v>
      </c>
    </row>
    <row r="4" spans="2:6" x14ac:dyDescent="0.25">
      <c r="B4" s="18" t="s">
        <v>229</v>
      </c>
      <c r="C4" t="s">
        <v>15</v>
      </c>
      <c r="D4" t="s">
        <v>8</v>
      </c>
      <c r="E4" t="s">
        <v>211</v>
      </c>
      <c r="F4" t="s">
        <v>222</v>
      </c>
    </row>
    <row r="5" spans="2:6" x14ac:dyDescent="0.25">
      <c r="B5" t="s">
        <v>230</v>
      </c>
      <c r="C5" s="25">
        <v>43</v>
      </c>
      <c r="D5" s="25">
        <v>44</v>
      </c>
      <c r="E5" s="25">
        <v>4</v>
      </c>
      <c r="F5" s="25">
        <v>91</v>
      </c>
    </row>
    <row r="6" spans="2:6" x14ac:dyDescent="0.25">
      <c r="B6" t="s">
        <v>231</v>
      </c>
      <c r="C6" s="19">
        <v>31.395348837209301</v>
      </c>
      <c r="D6" s="19">
        <v>29.34090909090909</v>
      </c>
      <c r="E6" s="19">
        <v>31.25</v>
      </c>
      <c r="F6" s="19">
        <v>30.395604395604394</v>
      </c>
    </row>
    <row r="7" spans="2:6" x14ac:dyDescent="0.25">
      <c r="B7" t="s">
        <v>221</v>
      </c>
      <c r="C7" s="20">
        <v>78284.186046511633</v>
      </c>
      <c r="D7" s="20">
        <v>74486.363636363632</v>
      </c>
      <c r="E7" s="20">
        <v>90362.5</v>
      </c>
      <c r="F7" s="20">
        <v>76978.791208791212</v>
      </c>
    </row>
    <row r="8" spans="2:6" x14ac:dyDescent="0.25">
      <c r="B8" t="s">
        <v>232</v>
      </c>
      <c r="C8" s="19">
        <v>2.3464797706275888</v>
      </c>
      <c r="D8" s="19">
        <v>2.3435242839352433</v>
      </c>
      <c r="E8" s="19">
        <v>2.3890410958904109</v>
      </c>
      <c r="F8" s="19">
        <v>2.3469215715791063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E98C5-1B1D-4165-B214-DDC43133579D}">
  <sheetPr>
    <tabColor theme="0" tint="-0.34998626667073579"/>
  </sheetPr>
  <dimension ref="C7:AA168"/>
  <sheetViews>
    <sheetView zoomScale="136" zoomScaleNormal="136" workbookViewId="0">
      <selection activeCell="X7" sqref="X7"/>
    </sheetView>
  </sheetViews>
  <sheetFormatPr defaultRowHeight="15" x14ac:dyDescent="0.25"/>
  <cols>
    <col min="1" max="1" width="14.7109375" bestFit="1" customWidth="1"/>
    <col min="3" max="3" width="13.7109375" bestFit="1" customWidth="1"/>
    <col min="4" max="5" width="14.42578125" bestFit="1" customWidth="1"/>
    <col min="24" max="24" width="3.140625" bestFit="1" customWidth="1"/>
    <col min="26" max="26" width="11.85546875" bestFit="1" customWidth="1"/>
    <col min="27" max="27" width="13.28515625" bestFit="1" customWidth="1"/>
  </cols>
  <sheetData>
    <row r="7" spans="3:27" x14ac:dyDescent="0.25">
      <c r="C7" s="18" t="s">
        <v>4</v>
      </c>
      <c r="D7" t="s">
        <v>233</v>
      </c>
      <c r="Y7" s="16" t="s">
        <v>234</v>
      </c>
      <c r="Z7" s="16" t="s">
        <v>235</v>
      </c>
      <c r="AA7" s="16" t="s">
        <v>236</v>
      </c>
    </row>
    <row r="8" spans="3:27" x14ac:dyDescent="0.25">
      <c r="C8" s="2">
        <v>44446</v>
      </c>
      <c r="D8" s="25">
        <v>1</v>
      </c>
      <c r="X8" cm="1">
        <f t="array" ref="X8:X43">_xlfn.SEQUENCE(36)</f>
        <v>1</v>
      </c>
      <c r="Y8" s="1" cm="1">
        <f t="array" ref="Y8:Y43">EDATE(DATE(2020,4,1),_xlfn.ANCHORARRAY(X8) + 0)</f>
        <v>43952</v>
      </c>
      <c r="Z8">
        <f>COUNTIFS(staff[Date Joined],"&gt;="&amp;Y8,staff[Date Joined],"&lt;="&amp;EOMONTH(Y8,0))</f>
        <v>3</v>
      </c>
      <c r="AA8">
        <f>SUM($Z$8:Z8)</f>
        <v>3</v>
      </c>
    </row>
    <row r="9" spans="3:27" x14ac:dyDescent="0.25">
      <c r="C9" s="2">
        <v>44758</v>
      </c>
      <c r="D9" s="25">
        <v>3</v>
      </c>
      <c r="X9">
        <v>2</v>
      </c>
      <c r="Y9" s="1">
        <v>43983</v>
      </c>
      <c r="Z9">
        <f>COUNTIFS(staff[Date Joined],"&gt;="&amp;Y9,staff[Date Joined],"&lt;="&amp;EOMONTH(Y9,0))</f>
        <v>1</v>
      </c>
      <c r="AA9">
        <f>SUM($Z$8:Z9)</f>
        <v>4</v>
      </c>
    </row>
    <row r="10" spans="3:27" x14ac:dyDescent="0.25">
      <c r="C10" s="2">
        <v>44357</v>
      </c>
      <c r="D10" s="25">
        <v>4</v>
      </c>
      <c r="X10">
        <v>3</v>
      </c>
      <c r="Y10" s="1">
        <v>44013</v>
      </c>
      <c r="Z10">
        <f>COUNTIFS(staff[Date Joined],"&gt;="&amp;Y10,staff[Date Joined],"&lt;="&amp;EOMONTH(Y10,0))</f>
        <v>5</v>
      </c>
      <c r="AA10">
        <f>SUM($Z$8:Z10)</f>
        <v>9</v>
      </c>
    </row>
    <row r="11" spans="3:27" x14ac:dyDescent="0.25">
      <c r="C11" s="2">
        <v>44146</v>
      </c>
      <c r="D11" s="25">
        <v>5</v>
      </c>
      <c r="X11">
        <v>4</v>
      </c>
      <c r="Y11" s="1">
        <v>44044</v>
      </c>
      <c r="Z11">
        <f>COUNTIFS(staff[Date Joined],"&gt;="&amp;Y11,staff[Date Joined],"&lt;="&amp;EOMONTH(Y11,0))</f>
        <v>3</v>
      </c>
      <c r="AA11">
        <f>SUM($Z$8:Z11)</f>
        <v>12</v>
      </c>
    </row>
    <row r="12" spans="3:27" x14ac:dyDescent="0.25">
      <c r="C12" s="2">
        <v>44465</v>
      </c>
      <c r="D12" s="25">
        <v>6</v>
      </c>
      <c r="X12">
        <v>5</v>
      </c>
      <c r="Y12" s="1">
        <v>44075</v>
      </c>
      <c r="Z12">
        <f>COUNTIFS(staff[Date Joined],"&gt;="&amp;Y12,staff[Date Joined],"&lt;="&amp;EOMONTH(Y12,0))</f>
        <v>6</v>
      </c>
      <c r="AA12">
        <f>SUM($Z$8:Z12)</f>
        <v>18</v>
      </c>
    </row>
    <row r="13" spans="3:27" x14ac:dyDescent="0.25">
      <c r="C13" s="2">
        <v>44861</v>
      </c>
      <c r="D13" s="25">
        <v>7</v>
      </c>
      <c r="X13">
        <v>6</v>
      </c>
      <c r="Y13" s="1">
        <v>44105</v>
      </c>
      <c r="Z13">
        <f>COUNTIFS(staff[Date Joined],"&gt;="&amp;Y13,staff[Date Joined],"&lt;="&amp;EOMONTH(Y13,0))</f>
        <v>6</v>
      </c>
      <c r="AA13">
        <f>SUM($Z$8:Z13)</f>
        <v>24</v>
      </c>
    </row>
    <row r="14" spans="3:27" x14ac:dyDescent="0.25">
      <c r="C14" s="2">
        <v>44701</v>
      </c>
      <c r="D14" s="25">
        <v>11</v>
      </c>
      <c r="X14">
        <v>7</v>
      </c>
      <c r="Y14" s="1">
        <v>44136</v>
      </c>
      <c r="Z14">
        <f>COUNTIFS(staff[Date Joined],"&gt;="&amp;Y14,staff[Date Joined],"&lt;="&amp;EOMONTH(Y14,0))</f>
        <v>6</v>
      </c>
      <c r="AA14">
        <f>SUM($Z$8:Z14)</f>
        <v>30</v>
      </c>
    </row>
    <row r="15" spans="3:27" x14ac:dyDescent="0.25">
      <c r="C15" s="2">
        <v>44148</v>
      </c>
      <c r="D15" s="25">
        <v>12</v>
      </c>
      <c r="X15">
        <v>8</v>
      </c>
      <c r="Y15" s="1">
        <v>44166</v>
      </c>
      <c r="Z15">
        <f>COUNTIFS(staff[Date Joined],"&gt;="&amp;Y15,staff[Date Joined],"&lt;="&amp;EOMONTH(Y15,0))</f>
        <v>7</v>
      </c>
      <c r="AA15">
        <f>SUM($Z$8:Z15)</f>
        <v>37</v>
      </c>
    </row>
    <row r="16" spans="3:27" x14ac:dyDescent="0.25">
      <c r="C16" s="2">
        <v>44509</v>
      </c>
      <c r="D16" s="25">
        <v>13</v>
      </c>
      <c r="X16">
        <v>9</v>
      </c>
      <c r="Y16" s="1">
        <v>44197</v>
      </c>
      <c r="Z16">
        <f>COUNTIFS(staff[Date Joined],"&gt;="&amp;Y16,staff[Date Joined],"&lt;="&amp;EOMONTH(Y16,0))</f>
        <v>6</v>
      </c>
      <c r="AA16">
        <f>SUM($Z$8:Z16)</f>
        <v>43</v>
      </c>
    </row>
    <row r="17" spans="3:27" x14ac:dyDescent="0.25">
      <c r="C17" s="2">
        <v>44122</v>
      </c>
      <c r="D17" s="25">
        <v>15</v>
      </c>
      <c r="X17">
        <v>10</v>
      </c>
      <c r="Y17" s="1">
        <v>44228</v>
      </c>
      <c r="Z17">
        <f>COUNTIFS(staff[Date Joined],"&gt;="&amp;Y17,staff[Date Joined],"&lt;="&amp;EOMONTH(Y17,0))</f>
        <v>4</v>
      </c>
      <c r="AA17">
        <f>SUM($Z$8:Z17)</f>
        <v>47</v>
      </c>
    </row>
    <row r="18" spans="3:27" x14ac:dyDescent="0.25">
      <c r="C18" s="2">
        <v>44180</v>
      </c>
      <c r="D18" s="25">
        <v>17</v>
      </c>
      <c r="X18">
        <v>11</v>
      </c>
      <c r="Y18" s="1">
        <v>44256</v>
      </c>
      <c r="Z18">
        <f>COUNTIFS(staff[Date Joined],"&gt;="&amp;Y18,staff[Date Joined],"&lt;="&amp;EOMONTH(Y18,0))</f>
        <v>9</v>
      </c>
      <c r="AA18">
        <f>SUM($Z$8:Z18)</f>
        <v>56</v>
      </c>
    </row>
    <row r="19" spans="3:27" x14ac:dyDescent="0.25">
      <c r="C19" s="2">
        <v>44383</v>
      </c>
      <c r="D19" s="25">
        <v>19</v>
      </c>
      <c r="X19">
        <v>12</v>
      </c>
      <c r="Y19" s="1">
        <v>44287</v>
      </c>
      <c r="Z19">
        <f>COUNTIFS(staff[Date Joined],"&gt;="&amp;Y19,staff[Date Joined],"&lt;="&amp;EOMONTH(Y19,0))</f>
        <v>5</v>
      </c>
      <c r="AA19">
        <f>SUM($Z$8:Z19)</f>
        <v>61</v>
      </c>
    </row>
    <row r="20" spans="3:27" x14ac:dyDescent="0.25">
      <c r="C20" s="2">
        <v>44459</v>
      </c>
      <c r="D20" s="25">
        <v>21</v>
      </c>
      <c r="X20">
        <v>13</v>
      </c>
      <c r="Y20" s="1">
        <v>44317</v>
      </c>
      <c r="Z20">
        <f>COUNTIFS(staff[Date Joined],"&gt;="&amp;Y20,staff[Date Joined],"&lt;="&amp;EOMONTH(Y20,0))</f>
        <v>10</v>
      </c>
      <c r="AA20">
        <f>SUM($Z$8:Z20)</f>
        <v>71</v>
      </c>
    </row>
    <row r="21" spans="3:27" x14ac:dyDescent="0.25">
      <c r="C21" s="2">
        <v>44354</v>
      </c>
      <c r="D21" s="25">
        <v>22</v>
      </c>
      <c r="X21">
        <v>14</v>
      </c>
      <c r="Y21" s="1">
        <v>44348</v>
      </c>
      <c r="Z21">
        <f>COUNTIFS(staff[Date Joined],"&gt;="&amp;Y21,staff[Date Joined],"&lt;="&amp;EOMONTH(Y21,0))</f>
        <v>6</v>
      </c>
      <c r="AA21">
        <f>SUM($Z$8:Z21)</f>
        <v>77</v>
      </c>
    </row>
    <row r="22" spans="3:27" x14ac:dyDescent="0.25">
      <c r="C22" s="2">
        <v>44263</v>
      </c>
      <c r="D22" s="25">
        <v>23</v>
      </c>
      <c r="X22">
        <v>15</v>
      </c>
      <c r="Y22" s="1">
        <v>44378</v>
      </c>
      <c r="Z22">
        <f>COUNTIFS(staff[Date Joined],"&gt;="&amp;Y22,staff[Date Joined],"&lt;="&amp;EOMONTH(Y22,0))</f>
        <v>13</v>
      </c>
      <c r="AA22">
        <f>SUM($Z$8:Z22)</f>
        <v>90</v>
      </c>
    </row>
    <row r="23" spans="3:27" x14ac:dyDescent="0.25">
      <c r="C23" s="2">
        <v>44104</v>
      </c>
      <c r="D23" s="25">
        <v>24</v>
      </c>
      <c r="X23">
        <v>16</v>
      </c>
      <c r="Y23" s="1">
        <v>44409</v>
      </c>
      <c r="Z23">
        <f>COUNTIFS(staff[Date Joined],"&gt;="&amp;Y23,staff[Date Joined],"&lt;="&amp;EOMONTH(Y23,0))</f>
        <v>4</v>
      </c>
      <c r="AA23">
        <f>SUM($Z$8:Z23)</f>
        <v>94</v>
      </c>
    </row>
    <row r="24" spans="3:27" x14ac:dyDescent="0.25">
      <c r="C24" s="2">
        <v>44762</v>
      </c>
      <c r="D24" s="25">
        <v>25</v>
      </c>
      <c r="X24">
        <v>17</v>
      </c>
      <c r="Y24" s="1">
        <v>44440</v>
      </c>
      <c r="Z24">
        <f>COUNTIFS(staff[Date Joined],"&gt;="&amp;Y24,staff[Date Joined],"&lt;="&amp;EOMONTH(Y24,0))</f>
        <v>11</v>
      </c>
      <c r="AA24">
        <f>SUM($Z$8:Z24)</f>
        <v>105</v>
      </c>
    </row>
    <row r="25" spans="3:27" x14ac:dyDescent="0.25">
      <c r="C25" s="2">
        <v>44145</v>
      </c>
      <c r="D25" s="25">
        <v>26</v>
      </c>
      <c r="X25">
        <v>18</v>
      </c>
      <c r="Y25" s="1">
        <v>44470</v>
      </c>
      <c r="Z25">
        <f>COUNTIFS(staff[Date Joined],"&gt;="&amp;Y25,staff[Date Joined],"&lt;="&amp;EOMONTH(Y25,0))</f>
        <v>3</v>
      </c>
      <c r="AA25">
        <f>SUM($Z$8:Z25)</f>
        <v>108</v>
      </c>
    </row>
    <row r="26" spans="3:27" x14ac:dyDescent="0.25">
      <c r="C26" s="2">
        <v>44242</v>
      </c>
      <c r="D26" s="25">
        <v>27</v>
      </c>
      <c r="X26">
        <v>19</v>
      </c>
      <c r="Y26" s="1">
        <v>44501</v>
      </c>
      <c r="Z26">
        <f>COUNTIFS(staff[Date Joined],"&gt;="&amp;Y26,staff[Date Joined],"&lt;="&amp;EOMONTH(Y26,0))</f>
        <v>4</v>
      </c>
      <c r="AA26">
        <f>SUM($Z$8:Z26)</f>
        <v>112</v>
      </c>
    </row>
    <row r="27" spans="3:27" x14ac:dyDescent="0.25">
      <c r="C27" s="2">
        <v>44653</v>
      </c>
      <c r="D27" s="25">
        <v>28</v>
      </c>
      <c r="X27">
        <v>20</v>
      </c>
      <c r="Y27" s="1">
        <v>44531</v>
      </c>
      <c r="Z27">
        <f>COUNTIFS(staff[Date Joined],"&gt;="&amp;Y27,staff[Date Joined],"&lt;="&amp;EOMONTH(Y27,0))</f>
        <v>7</v>
      </c>
      <c r="AA27">
        <f>SUM($Z$8:Z27)</f>
        <v>119</v>
      </c>
    </row>
    <row r="28" spans="3:27" x14ac:dyDescent="0.25">
      <c r="C28" s="2">
        <v>44389</v>
      </c>
      <c r="D28" s="25">
        <v>30</v>
      </c>
      <c r="X28">
        <v>21</v>
      </c>
      <c r="Y28" s="1">
        <v>44562</v>
      </c>
      <c r="Z28">
        <f>COUNTIFS(staff[Date Joined],"&gt;="&amp;Y28,staff[Date Joined],"&lt;="&amp;EOMONTH(Y28,0))</f>
        <v>3</v>
      </c>
      <c r="AA28">
        <f>SUM($Z$8:Z28)</f>
        <v>122</v>
      </c>
    </row>
    <row r="29" spans="3:27" x14ac:dyDescent="0.25">
      <c r="C29" s="2">
        <v>44663</v>
      </c>
      <c r="D29" s="25">
        <v>32</v>
      </c>
      <c r="X29">
        <v>22</v>
      </c>
      <c r="Y29" s="1">
        <v>44593</v>
      </c>
      <c r="Z29">
        <f>COUNTIFS(staff[Date Joined],"&gt;="&amp;Y29,staff[Date Joined],"&lt;="&amp;EOMONTH(Y29,0))</f>
        <v>10</v>
      </c>
      <c r="AA29">
        <f>SUM($Z$8:Z29)</f>
        <v>132</v>
      </c>
    </row>
    <row r="30" spans="3:27" x14ac:dyDescent="0.25">
      <c r="C30" s="2">
        <v>44567</v>
      </c>
      <c r="D30" s="25">
        <v>33</v>
      </c>
      <c r="X30">
        <v>23</v>
      </c>
      <c r="Y30" s="1">
        <v>44621</v>
      </c>
      <c r="Z30">
        <f>COUNTIFS(staff[Date Joined],"&gt;="&amp;Y30,staff[Date Joined],"&lt;="&amp;EOMONTH(Y30,0))</f>
        <v>9</v>
      </c>
      <c r="AA30">
        <f>SUM($Z$8:Z30)</f>
        <v>141</v>
      </c>
    </row>
    <row r="31" spans="3:27" x14ac:dyDescent="0.25">
      <c r="C31" s="2">
        <v>44597</v>
      </c>
      <c r="D31" s="25">
        <v>34</v>
      </c>
      <c r="X31">
        <v>24</v>
      </c>
      <c r="Y31" s="1">
        <v>44652</v>
      </c>
      <c r="Z31">
        <f>COUNTIFS(staff[Date Joined],"&gt;="&amp;Y31,staff[Date Joined],"&lt;="&amp;EOMONTH(Y31,0))</f>
        <v>9</v>
      </c>
      <c r="AA31">
        <f>SUM($Z$8:Z31)</f>
        <v>150</v>
      </c>
    </row>
    <row r="32" spans="3:27" x14ac:dyDescent="0.25">
      <c r="C32" s="2">
        <v>44779</v>
      </c>
      <c r="D32" s="25">
        <v>35</v>
      </c>
      <c r="X32">
        <v>25</v>
      </c>
      <c r="Y32" s="1">
        <v>44682</v>
      </c>
      <c r="Z32">
        <f>COUNTIFS(staff[Date Joined],"&gt;="&amp;Y32,staff[Date Joined],"&lt;="&amp;EOMONTH(Y32,0))</f>
        <v>9</v>
      </c>
      <c r="AA32">
        <f>SUM($Z$8:Z32)</f>
        <v>159</v>
      </c>
    </row>
    <row r="33" spans="3:27" x14ac:dyDescent="0.25">
      <c r="C33" s="2">
        <v>44337</v>
      </c>
      <c r="D33" s="25">
        <v>36</v>
      </c>
      <c r="X33">
        <v>26</v>
      </c>
      <c r="Y33" s="1">
        <v>44713</v>
      </c>
      <c r="Z33">
        <f>COUNTIFS(staff[Date Joined],"&gt;="&amp;Y33,staff[Date Joined],"&lt;="&amp;EOMONTH(Y33,0))</f>
        <v>7</v>
      </c>
      <c r="AA33">
        <f>SUM($Z$8:Z33)</f>
        <v>166</v>
      </c>
    </row>
    <row r="34" spans="3:27" x14ac:dyDescent="0.25">
      <c r="C34" s="2">
        <v>44023</v>
      </c>
      <c r="D34" s="25">
        <v>38</v>
      </c>
      <c r="X34">
        <v>27</v>
      </c>
      <c r="Y34" s="1">
        <v>44743</v>
      </c>
      <c r="Z34">
        <f>COUNTIFS(staff[Date Joined],"&gt;="&amp;Y34,staff[Date Joined],"&lt;="&amp;EOMONTH(Y34,0))</f>
        <v>5</v>
      </c>
      <c r="AA34">
        <f>SUM($Z$8:Z34)</f>
        <v>171</v>
      </c>
    </row>
    <row r="35" spans="3:27" x14ac:dyDescent="0.25">
      <c r="C35" s="2">
        <v>44185</v>
      </c>
      <c r="D35" s="25">
        <v>39</v>
      </c>
      <c r="X35">
        <v>28</v>
      </c>
      <c r="Y35" s="1">
        <v>44774</v>
      </c>
      <c r="Z35">
        <f>COUNTIFS(staff[Date Joined],"&gt;="&amp;Y35,staff[Date Joined],"&lt;="&amp;EOMONTH(Y35,0))</f>
        <v>5</v>
      </c>
      <c r="AA35">
        <f>SUM($Z$8:Z35)</f>
        <v>176</v>
      </c>
    </row>
    <row r="36" spans="3:27" x14ac:dyDescent="0.25">
      <c r="C36" s="2">
        <v>44612</v>
      </c>
      <c r="D36" s="25">
        <v>40</v>
      </c>
      <c r="X36">
        <v>29</v>
      </c>
      <c r="Y36" s="1">
        <v>44805</v>
      </c>
      <c r="Z36">
        <f>COUNTIFS(staff[Date Joined],"&gt;="&amp;Y36,staff[Date Joined],"&lt;="&amp;EOMONTH(Y36,0))</f>
        <v>2</v>
      </c>
      <c r="AA36">
        <f>SUM($Z$8:Z36)</f>
        <v>178</v>
      </c>
    </row>
    <row r="37" spans="3:27" x14ac:dyDescent="0.25">
      <c r="C37" s="2">
        <v>44374</v>
      </c>
      <c r="D37" s="25">
        <v>41</v>
      </c>
      <c r="X37">
        <v>30</v>
      </c>
      <c r="Y37" s="1">
        <v>44835</v>
      </c>
      <c r="Z37">
        <f>COUNTIFS(staff[Date Joined],"&gt;="&amp;Y37,staff[Date Joined],"&lt;="&amp;EOMONTH(Y37,0))</f>
        <v>3</v>
      </c>
      <c r="AA37">
        <f>SUM($Z$8:Z37)</f>
        <v>181</v>
      </c>
    </row>
    <row r="38" spans="3:27" x14ac:dyDescent="0.25">
      <c r="C38" s="2">
        <v>44164</v>
      </c>
      <c r="D38" s="25">
        <v>43</v>
      </c>
      <c r="X38">
        <v>31</v>
      </c>
      <c r="Y38" s="1">
        <v>44866</v>
      </c>
      <c r="Z38">
        <f>COUNTIFS(staff[Date Joined],"&gt;="&amp;Y38,staff[Date Joined],"&lt;="&amp;EOMONTH(Y38,0))</f>
        <v>0</v>
      </c>
      <c r="AA38">
        <f>SUM($Z$8:Z38)</f>
        <v>181</v>
      </c>
    </row>
    <row r="39" spans="3:27" x14ac:dyDescent="0.25">
      <c r="C39" s="2">
        <v>44494</v>
      </c>
      <c r="D39" s="25">
        <v>44</v>
      </c>
      <c r="X39">
        <v>32</v>
      </c>
      <c r="Y39" s="1">
        <v>44896</v>
      </c>
      <c r="Z39">
        <f>COUNTIFS(staff[Date Joined],"&gt;="&amp;Y39,staff[Date Joined],"&lt;="&amp;EOMONTH(Y39,0))</f>
        <v>0</v>
      </c>
      <c r="AA39">
        <f>SUM($Z$8:Z39)</f>
        <v>181</v>
      </c>
    </row>
    <row r="40" spans="3:27" x14ac:dyDescent="0.25">
      <c r="C40" s="2">
        <v>44726</v>
      </c>
      <c r="D40" s="25">
        <v>45</v>
      </c>
      <c r="X40">
        <v>33</v>
      </c>
      <c r="Y40" s="1">
        <v>44927</v>
      </c>
      <c r="Z40">
        <f>COUNTIFS(staff[Date Joined],"&gt;="&amp;Y40,staff[Date Joined],"&lt;="&amp;EOMONTH(Y40,0))</f>
        <v>0</v>
      </c>
      <c r="AA40">
        <f>SUM($Z$8:Z40)</f>
        <v>181</v>
      </c>
    </row>
    <row r="41" spans="3:27" x14ac:dyDescent="0.25">
      <c r="C41" s="2">
        <v>44721</v>
      </c>
      <c r="D41" s="25">
        <v>46</v>
      </c>
      <c r="X41">
        <v>34</v>
      </c>
      <c r="Y41" s="1">
        <v>44958</v>
      </c>
      <c r="Z41">
        <f>COUNTIFS(staff[Date Joined],"&gt;="&amp;Y41,staff[Date Joined],"&lt;="&amp;EOMONTH(Y41,0))</f>
        <v>1</v>
      </c>
      <c r="AA41">
        <f>SUM($Z$8:Z41)</f>
        <v>182</v>
      </c>
    </row>
    <row r="42" spans="3:27" x14ac:dyDescent="0.25">
      <c r="C42" s="2">
        <v>44630</v>
      </c>
      <c r="D42" s="25">
        <v>47</v>
      </c>
      <c r="X42">
        <v>35</v>
      </c>
      <c r="Y42" s="1">
        <v>44986</v>
      </c>
      <c r="Z42">
        <f>COUNTIFS(staff[Date Joined],"&gt;="&amp;Y42,staff[Date Joined],"&lt;="&amp;EOMONTH(Y42,0))</f>
        <v>0</v>
      </c>
      <c r="AA42">
        <f>SUM($Z$8:Z42)</f>
        <v>182</v>
      </c>
    </row>
    <row r="43" spans="3:27" x14ac:dyDescent="0.25">
      <c r="C43" s="2">
        <v>44190</v>
      </c>
      <c r="D43" s="25">
        <v>48</v>
      </c>
      <c r="X43">
        <v>36</v>
      </c>
      <c r="Y43" s="1">
        <v>45017</v>
      </c>
      <c r="Z43">
        <f>COUNTIFS(staff[Date Joined],"&gt;="&amp;Y43,staff[Date Joined],"&lt;="&amp;EOMONTH(Y43,0))</f>
        <v>1</v>
      </c>
      <c r="AA43">
        <f>SUM($Z$8:Z43)</f>
        <v>183</v>
      </c>
    </row>
    <row r="44" spans="3:27" x14ac:dyDescent="0.25">
      <c r="C44" s="2">
        <v>44724</v>
      </c>
      <c r="D44" s="25">
        <v>49</v>
      </c>
    </row>
    <row r="45" spans="3:27" x14ac:dyDescent="0.25">
      <c r="C45" s="2">
        <v>44511</v>
      </c>
      <c r="D45" s="25">
        <v>50</v>
      </c>
    </row>
    <row r="46" spans="3:27" x14ac:dyDescent="0.25">
      <c r="C46" s="2">
        <v>44436</v>
      </c>
      <c r="D46" s="25">
        <v>51</v>
      </c>
    </row>
    <row r="47" spans="3:27" x14ac:dyDescent="0.25">
      <c r="C47" s="2">
        <v>44529</v>
      </c>
      <c r="D47" s="25">
        <v>52</v>
      </c>
    </row>
    <row r="48" spans="3:27" x14ac:dyDescent="0.25">
      <c r="C48" s="2">
        <v>44809</v>
      </c>
      <c r="D48" s="25">
        <v>53</v>
      </c>
    </row>
    <row r="49" spans="3:4" x14ac:dyDescent="0.25">
      <c r="C49" s="2">
        <v>44686</v>
      </c>
      <c r="D49" s="25">
        <v>55</v>
      </c>
    </row>
    <row r="50" spans="3:4" x14ac:dyDescent="0.25">
      <c r="C50" s="2">
        <v>44445</v>
      </c>
      <c r="D50" s="25">
        <v>56</v>
      </c>
    </row>
    <row r="51" spans="3:4" x14ac:dyDescent="0.25">
      <c r="C51" s="2">
        <v>44183</v>
      </c>
      <c r="D51" s="25">
        <v>57</v>
      </c>
    </row>
    <row r="52" spans="3:4" x14ac:dyDescent="0.25">
      <c r="C52" s="2">
        <v>44744</v>
      </c>
      <c r="D52" s="25">
        <v>58</v>
      </c>
    </row>
    <row r="53" spans="3:4" x14ac:dyDescent="0.25">
      <c r="C53" s="2">
        <v>44537</v>
      </c>
      <c r="D53" s="25">
        <v>59</v>
      </c>
    </row>
    <row r="54" spans="3:4" x14ac:dyDescent="0.25">
      <c r="C54" s="2">
        <v>44694</v>
      </c>
      <c r="D54" s="25">
        <v>60</v>
      </c>
    </row>
    <row r="55" spans="3:4" x14ac:dyDescent="0.25">
      <c r="C55" s="2">
        <v>44277</v>
      </c>
      <c r="D55" s="25">
        <v>62</v>
      </c>
    </row>
    <row r="56" spans="3:4" x14ac:dyDescent="0.25">
      <c r="C56" s="2">
        <v>44019</v>
      </c>
      <c r="D56" s="25">
        <v>63</v>
      </c>
    </row>
    <row r="57" spans="3:4" x14ac:dyDescent="0.25">
      <c r="C57" s="2">
        <v>44041</v>
      </c>
      <c r="D57" s="25">
        <v>64</v>
      </c>
    </row>
    <row r="58" spans="3:4" x14ac:dyDescent="0.25">
      <c r="C58" s="2">
        <v>44400</v>
      </c>
      <c r="D58" s="25">
        <v>65</v>
      </c>
    </row>
    <row r="59" spans="3:4" x14ac:dyDescent="0.25">
      <c r="C59" s="2">
        <v>44085</v>
      </c>
      <c r="D59" s="25">
        <v>67</v>
      </c>
    </row>
    <row r="60" spans="3:4" x14ac:dyDescent="0.25">
      <c r="C60" s="2">
        <v>44850</v>
      </c>
      <c r="D60" s="25">
        <v>69</v>
      </c>
    </row>
    <row r="61" spans="3:4" x14ac:dyDescent="0.25">
      <c r="C61" s="2">
        <v>44333</v>
      </c>
      <c r="D61" s="25">
        <v>70</v>
      </c>
    </row>
    <row r="62" spans="3:4" x14ac:dyDescent="0.25">
      <c r="C62" s="2">
        <v>44377</v>
      </c>
      <c r="D62" s="25">
        <v>71</v>
      </c>
    </row>
    <row r="63" spans="3:4" x14ac:dyDescent="0.25">
      <c r="C63" s="2">
        <v>44609</v>
      </c>
      <c r="D63" s="25">
        <v>72</v>
      </c>
    </row>
    <row r="64" spans="3:4" x14ac:dyDescent="0.25">
      <c r="C64" s="2">
        <v>44273</v>
      </c>
      <c r="D64" s="25">
        <v>73</v>
      </c>
    </row>
    <row r="65" spans="3:4" x14ac:dyDescent="0.25">
      <c r="C65" s="2">
        <v>44451</v>
      </c>
      <c r="D65" s="25">
        <v>74</v>
      </c>
    </row>
    <row r="66" spans="3:4" x14ac:dyDescent="0.25">
      <c r="C66" s="2">
        <v>44450</v>
      </c>
      <c r="D66" s="25">
        <v>76</v>
      </c>
    </row>
    <row r="67" spans="3:4" x14ac:dyDescent="0.25">
      <c r="C67" s="2">
        <v>45045</v>
      </c>
      <c r="D67" s="25">
        <v>77</v>
      </c>
    </row>
    <row r="68" spans="3:4" x14ac:dyDescent="0.25">
      <c r="C68" s="2">
        <v>44774</v>
      </c>
      <c r="D68" s="25">
        <v>78</v>
      </c>
    </row>
    <row r="69" spans="3:4" x14ac:dyDescent="0.25">
      <c r="C69" s="2">
        <v>44486</v>
      </c>
      <c r="D69" s="25">
        <v>79</v>
      </c>
    </row>
    <row r="70" spans="3:4" x14ac:dyDescent="0.25">
      <c r="C70" s="2">
        <v>44134</v>
      </c>
      <c r="D70" s="25">
        <v>80</v>
      </c>
    </row>
    <row r="71" spans="3:4" x14ac:dyDescent="0.25">
      <c r="C71" s="2">
        <v>44271</v>
      </c>
      <c r="D71" s="25">
        <v>81</v>
      </c>
    </row>
    <row r="72" spans="3:4" x14ac:dyDescent="0.25">
      <c r="C72" s="2">
        <v>44329</v>
      </c>
      <c r="D72" s="25">
        <v>82</v>
      </c>
    </row>
    <row r="73" spans="3:4" x14ac:dyDescent="0.25">
      <c r="C73" s="2">
        <v>44205</v>
      </c>
      <c r="D73" s="25">
        <v>83</v>
      </c>
    </row>
    <row r="74" spans="3:4" x14ac:dyDescent="0.25">
      <c r="C74" s="2">
        <v>44317</v>
      </c>
      <c r="D74" s="25">
        <v>84</v>
      </c>
    </row>
    <row r="75" spans="3:4" x14ac:dyDescent="0.25">
      <c r="C75" s="2">
        <v>44225</v>
      </c>
      <c r="D75" s="25">
        <v>85</v>
      </c>
    </row>
    <row r="76" spans="3:4" x14ac:dyDescent="0.25">
      <c r="C76" s="2">
        <v>44666</v>
      </c>
      <c r="D76" s="25">
        <v>87</v>
      </c>
    </row>
    <row r="77" spans="3:4" x14ac:dyDescent="0.25">
      <c r="C77" s="2">
        <v>44649</v>
      </c>
      <c r="D77" s="25">
        <v>88</v>
      </c>
    </row>
    <row r="78" spans="3:4" x14ac:dyDescent="0.25">
      <c r="C78" s="2">
        <v>44338</v>
      </c>
      <c r="D78" s="25">
        <v>89</v>
      </c>
    </row>
    <row r="79" spans="3:4" x14ac:dyDescent="0.25">
      <c r="C79" s="2">
        <v>44678</v>
      </c>
      <c r="D79" s="25">
        <v>90</v>
      </c>
    </row>
    <row r="80" spans="3:4" x14ac:dyDescent="0.25">
      <c r="C80" s="2">
        <v>44440</v>
      </c>
      <c r="D80" s="25">
        <v>91</v>
      </c>
    </row>
    <row r="81" spans="3:4" x14ac:dyDescent="0.25">
      <c r="C81" s="2">
        <v>44727</v>
      </c>
      <c r="D81" s="25">
        <v>92</v>
      </c>
    </row>
    <row r="82" spans="3:4" x14ac:dyDescent="0.25">
      <c r="C82" s="2">
        <v>44236</v>
      </c>
      <c r="D82" s="25">
        <v>93</v>
      </c>
    </row>
    <row r="83" spans="3:4" x14ac:dyDescent="0.25">
      <c r="C83" s="2">
        <v>44620</v>
      </c>
      <c r="D83" s="25">
        <v>94</v>
      </c>
    </row>
    <row r="84" spans="3:4" x14ac:dyDescent="0.25">
      <c r="C84" s="2">
        <v>44381</v>
      </c>
      <c r="D84" s="25">
        <v>95</v>
      </c>
    </row>
    <row r="85" spans="3:4" x14ac:dyDescent="0.25">
      <c r="C85" s="2">
        <v>44606</v>
      </c>
      <c r="D85" s="25">
        <v>96</v>
      </c>
    </row>
    <row r="86" spans="3:4" x14ac:dyDescent="0.25">
      <c r="C86" s="2">
        <v>44820</v>
      </c>
      <c r="D86" s="25">
        <v>97</v>
      </c>
    </row>
    <row r="87" spans="3:4" x14ac:dyDescent="0.25">
      <c r="C87" s="2">
        <v>44243</v>
      </c>
      <c r="D87" s="25">
        <v>98</v>
      </c>
    </row>
    <row r="88" spans="3:4" x14ac:dyDescent="0.25">
      <c r="C88" s="2">
        <v>44067</v>
      </c>
      <c r="D88" s="25">
        <v>99</v>
      </c>
    </row>
    <row r="89" spans="3:4" x14ac:dyDescent="0.25">
      <c r="C89" s="2">
        <v>44611</v>
      </c>
      <c r="D89" s="25">
        <v>100</v>
      </c>
    </row>
    <row r="90" spans="3:4" x14ac:dyDescent="0.25">
      <c r="C90" s="2">
        <v>44312</v>
      </c>
      <c r="D90" s="25">
        <v>101</v>
      </c>
    </row>
    <row r="91" spans="3:4" x14ac:dyDescent="0.25">
      <c r="C91" s="2">
        <v>44385</v>
      </c>
      <c r="D91" s="25">
        <v>102</v>
      </c>
    </row>
    <row r="92" spans="3:4" x14ac:dyDescent="0.25">
      <c r="C92" s="2">
        <v>44731</v>
      </c>
      <c r="D92" s="25">
        <v>103</v>
      </c>
    </row>
    <row r="93" spans="3:4" x14ac:dyDescent="0.25">
      <c r="C93" s="2">
        <v>44411</v>
      </c>
      <c r="D93" s="25">
        <v>104</v>
      </c>
    </row>
    <row r="94" spans="3:4" x14ac:dyDescent="0.25">
      <c r="C94" s="2">
        <v>44293</v>
      </c>
      <c r="D94" s="25">
        <v>105</v>
      </c>
    </row>
    <row r="95" spans="3:4" x14ac:dyDescent="0.25">
      <c r="C95" s="2">
        <v>44339</v>
      </c>
      <c r="D95" s="25">
        <v>106</v>
      </c>
    </row>
    <row r="96" spans="3:4" x14ac:dyDescent="0.25">
      <c r="C96" s="2">
        <v>44268</v>
      </c>
      <c r="D96" s="25">
        <v>107</v>
      </c>
    </row>
    <row r="97" spans="3:4" x14ac:dyDescent="0.25">
      <c r="C97" s="2">
        <v>44144</v>
      </c>
      <c r="D97" s="25">
        <v>108</v>
      </c>
    </row>
    <row r="98" spans="3:4" x14ac:dyDescent="0.25">
      <c r="C98" s="2">
        <v>44713</v>
      </c>
      <c r="D98" s="25">
        <v>109</v>
      </c>
    </row>
    <row r="99" spans="3:4" x14ac:dyDescent="0.25">
      <c r="C99" s="2">
        <v>44324</v>
      </c>
      <c r="D99" s="25">
        <v>110</v>
      </c>
    </row>
    <row r="100" spans="3:4" x14ac:dyDescent="0.25">
      <c r="C100" s="2">
        <v>44665</v>
      </c>
      <c r="D100" s="25">
        <v>111</v>
      </c>
    </row>
    <row r="101" spans="3:4" x14ac:dyDescent="0.25">
      <c r="C101" s="2">
        <v>44320</v>
      </c>
      <c r="D101" s="25">
        <v>112</v>
      </c>
    </row>
    <row r="102" spans="3:4" x14ac:dyDescent="0.25">
      <c r="C102" s="2">
        <v>44544</v>
      </c>
      <c r="D102" s="25">
        <v>113</v>
      </c>
    </row>
    <row r="103" spans="3:4" x14ac:dyDescent="0.25">
      <c r="C103" s="2">
        <v>43980</v>
      </c>
      <c r="D103" s="25">
        <v>114</v>
      </c>
    </row>
    <row r="104" spans="3:4" x14ac:dyDescent="0.25">
      <c r="C104" s="2">
        <v>44042</v>
      </c>
      <c r="D104" s="25">
        <v>115</v>
      </c>
    </row>
    <row r="105" spans="3:4" x14ac:dyDescent="0.25">
      <c r="C105" s="2">
        <v>44642</v>
      </c>
      <c r="D105" s="25">
        <v>116</v>
      </c>
    </row>
    <row r="106" spans="3:4" x14ac:dyDescent="0.25">
      <c r="C106" s="2">
        <v>44660</v>
      </c>
      <c r="D106" s="25">
        <v>117</v>
      </c>
    </row>
    <row r="107" spans="3:4" x14ac:dyDescent="0.25">
      <c r="C107" s="2">
        <v>43958</v>
      </c>
      <c r="D107" s="25">
        <v>118</v>
      </c>
    </row>
    <row r="108" spans="3:4" x14ac:dyDescent="0.25">
      <c r="C108" s="2">
        <v>44789</v>
      </c>
      <c r="D108" s="25">
        <v>120</v>
      </c>
    </row>
    <row r="109" spans="3:4" x14ac:dyDescent="0.25">
      <c r="C109" s="2">
        <v>44683</v>
      </c>
      <c r="D109" s="25">
        <v>121</v>
      </c>
    </row>
    <row r="110" spans="3:4" x14ac:dyDescent="0.25">
      <c r="C110" s="2">
        <v>44388</v>
      </c>
      <c r="D110" s="25">
        <v>122</v>
      </c>
    </row>
    <row r="111" spans="3:4" x14ac:dyDescent="0.25">
      <c r="C111" s="2">
        <v>44073</v>
      </c>
      <c r="D111" s="25">
        <v>123</v>
      </c>
    </row>
    <row r="112" spans="3:4" x14ac:dyDescent="0.25">
      <c r="C112" s="2">
        <v>44558</v>
      </c>
      <c r="D112" s="25">
        <v>124</v>
      </c>
    </row>
    <row r="113" spans="3:4" x14ac:dyDescent="0.25">
      <c r="C113" s="2">
        <v>44718</v>
      </c>
      <c r="D113" s="25">
        <v>125</v>
      </c>
    </row>
    <row r="114" spans="3:4" x14ac:dyDescent="0.25">
      <c r="C114" s="2">
        <v>44625</v>
      </c>
      <c r="D114" s="25">
        <v>127</v>
      </c>
    </row>
    <row r="115" spans="3:4" x14ac:dyDescent="0.25">
      <c r="C115" s="2">
        <v>44604</v>
      </c>
      <c r="D115" s="25">
        <v>128</v>
      </c>
    </row>
    <row r="116" spans="3:4" x14ac:dyDescent="0.25">
      <c r="C116" s="2">
        <v>44985</v>
      </c>
      <c r="D116" s="25">
        <v>129</v>
      </c>
    </row>
    <row r="117" spans="3:4" x14ac:dyDescent="0.25">
      <c r="C117" s="2">
        <v>44549</v>
      </c>
      <c r="D117" s="25">
        <v>130</v>
      </c>
    </row>
    <row r="118" spans="3:4" x14ac:dyDescent="0.25">
      <c r="C118" s="2">
        <v>44800</v>
      </c>
      <c r="D118" s="25">
        <v>131</v>
      </c>
    </row>
    <row r="119" spans="3:4" x14ac:dyDescent="0.25">
      <c r="C119" s="2">
        <v>44256</v>
      </c>
      <c r="D119" s="25">
        <v>132</v>
      </c>
    </row>
    <row r="120" spans="3:4" x14ac:dyDescent="0.25">
      <c r="C120" s="2">
        <v>44571</v>
      </c>
      <c r="D120" s="25">
        <v>133</v>
      </c>
    </row>
    <row r="121" spans="3:4" x14ac:dyDescent="0.25">
      <c r="C121" s="2">
        <v>44633</v>
      </c>
      <c r="D121" s="25">
        <v>134</v>
      </c>
    </row>
    <row r="122" spans="3:4" x14ac:dyDescent="0.25">
      <c r="C122" s="2">
        <v>44375</v>
      </c>
      <c r="D122" s="25">
        <v>135</v>
      </c>
    </row>
    <row r="123" spans="3:4" x14ac:dyDescent="0.25">
      <c r="C123" s="2">
        <v>44119</v>
      </c>
      <c r="D123" s="25">
        <v>136</v>
      </c>
    </row>
    <row r="124" spans="3:4" x14ac:dyDescent="0.25">
      <c r="C124" s="2">
        <v>44061</v>
      </c>
      <c r="D124" s="25">
        <v>137</v>
      </c>
    </row>
    <row r="125" spans="3:4" x14ac:dyDescent="0.25">
      <c r="C125" s="2">
        <v>44384</v>
      </c>
      <c r="D125" s="25">
        <v>138</v>
      </c>
    </row>
    <row r="126" spans="3:4" x14ac:dyDescent="0.25">
      <c r="C126" s="2">
        <v>44506</v>
      </c>
      <c r="D126" s="25">
        <v>139</v>
      </c>
    </row>
    <row r="127" spans="3:4" x14ac:dyDescent="0.25">
      <c r="C127" s="2">
        <v>44296</v>
      </c>
      <c r="D127" s="25">
        <v>140</v>
      </c>
    </row>
    <row r="128" spans="3:4" x14ac:dyDescent="0.25">
      <c r="C128" s="2">
        <v>44397</v>
      </c>
      <c r="D128" s="25">
        <v>142</v>
      </c>
    </row>
    <row r="129" spans="3:4" x14ac:dyDescent="0.25">
      <c r="C129" s="2">
        <v>44619</v>
      </c>
      <c r="D129" s="25">
        <v>143</v>
      </c>
    </row>
    <row r="130" spans="3:4" x14ac:dyDescent="0.25">
      <c r="C130" s="2">
        <v>44253</v>
      </c>
      <c r="D130" s="25">
        <v>144</v>
      </c>
    </row>
    <row r="131" spans="3:4" x14ac:dyDescent="0.25">
      <c r="C131" s="2">
        <v>44594</v>
      </c>
      <c r="D131" s="25">
        <v>145</v>
      </c>
    </row>
    <row r="132" spans="3:4" x14ac:dyDescent="0.25">
      <c r="C132" s="2">
        <v>44425</v>
      </c>
      <c r="D132" s="25">
        <v>146</v>
      </c>
    </row>
    <row r="133" spans="3:4" x14ac:dyDescent="0.25">
      <c r="C133" s="2">
        <v>44174</v>
      </c>
      <c r="D133" s="25">
        <v>147</v>
      </c>
    </row>
    <row r="134" spans="3:4" x14ac:dyDescent="0.25">
      <c r="C134" s="2">
        <v>44670</v>
      </c>
      <c r="D134" s="25">
        <v>148</v>
      </c>
    </row>
    <row r="135" spans="3:4" x14ac:dyDescent="0.25">
      <c r="C135" s="2">
        <v>44124</v>
      </c>
      <c r="D135" s="25">
        <v>149</v>
      </c>
    </row>
    <row r="136" spans="3:4" x14ac:dyDescent="0.25">
      <c r="C136" s="2">
        <v>44212</v>
      </c>
      <c r="D136" s="25">
        <v>150</v>
      </c>
    </row>
    <row r="137" spans="3:4" x14ac:dyDescent="0.25">
      <c r="C137" s="2">
        <v>44607</v>
      </c>
      <c r="D137" s="25">
        <v>151</v>
      </c>
    </row>
    <row r="138" spans="3:4" x14ac:dyDescent="0.25">
      <c r="C138" s="2">
        <v>44103</v>
      </c>
      <c r="D138" s="25">
        <v>152</v>
      </c>
    </row>
    <row r="139" spans="3:4" x14ac:dyDescent="0.25">
      <c r="C139" s="2">
        <v>44006</v>
      </c>
      <c r="D139" s="25">
        <v>153</v>
      </c>
    </row>
    <row r="140" spans="3:4" x14ac:dyDescent="0.25">
      <c r="C140" s="2">
        <v>44535</v>
      </c>
      <c r="D140" s="25">
        <v>154</v>
      </c>
    </row>
    <row r="141" spans="3:4" x14ac:dyDescent="0.25">
      <c r="C141" s="2">
        <v>44276</v>
      </c>
      <c r="D141" s="25">
        <v>155</v>
      </c>
    </row>
    <row r="142" spans="3:4" x14ac:dyDescent="0.25">
      <c r="C142" s="2">
        <v>44476</v>
      </c>
      <c r="D142" s="25">
        <v>156</v>
      </c>
    </row>
    <row r="143" spans="3:4" x14ac:dyDescent="0.25">
      <c r="C143" s="2">
        <v>44403</v>
      </c>
      <c r="D143" s="25">
        <v>157</v>
      </c>
    </row>
    <row r="144" spans="3:4" x14ac:dyDescent="0.25">
      <c r="C144" s="2">
        <v>44316</v>
      </c>
      <c r="D144" s="25">
        <v>158</v>
      </c>
    </row>
    <row r="145" spans="3:4" x14ac:dyDescent="0.25">
      <c r="C145" s="2">
        <v>44204</v>
      </c>
      <c r="D145" s="25">
        <v>159</v>
      </c>
    </row>
    <row r="146" spans="3:4" x14ac:dyDescent="0.25">
      <c r="C146" s="2">
        <v>44084</v>
      </c>
      <c r="D146" s="25">
        <v>160</v>
      </c>
    </row>
    <row r="147" spans="3:4" x14ac:dyDescent="0.25">
      <c r="C147" s="2">
        <v>44272</v>
      </c>
      <c r="D147" s="25">
        <v>161</v>
      </c>
    </row>
    <row r="148" spans="3:4" x14ac:dyDescent="0.25">
      <c r="C148" s="2">
        <v>44547</v>
      </c>
      <c r="D148" s="25">
        <v>162</v>
      </c>
    </row>
    <row r="149" spans="3:4" x14ac:dyDescent="0.25">
      <c r="C149" s="2">
        <v>44747</v>
      </c>
      <c r="D149" s="25">
        <v>163</v>
      </c>
    </row>
    <row r="150" spans="3:4" x14ac:dyDescent="0.25">
      <c r="C150" s="2">
        <v>44350</v>
      </c>
      <c r="D150" s="25">
        <v>164</v>
      </c>
    </row>
    <row r="151" spans="3:4" x14ac:dyDescent="0.25">
      <c r="C151" s="2">
        <v>44640</v>
      </c>
      <c r="D151" s="25">
        <v>167</v>
      </c>
    </row>
    <row r="152" spans="3:4" x14ac:dyDescent="0.25">
      <c r="C152" s="2">
        <v>44328</v>
      </c>
      <c r="D152" s="25">
        <v>168</v>
      </c>
    </row>
    <row r="153" spans="3:4" x14ac:dyDescent="0.25">
      <c r="C153" s="2">
        <v>44214</v>
      </c>
      <c r="D153" s="25">
        <v>169</v>
      </c>
    </row>
    <row r="154" spans="3:4" x14ac:dyDescent="0.25">
      <c r="C154" s="2">
        <v>44550</v>
      </c>
      <c r="D154" s="25">
        <v>170</v>
      </c>
    </row>
    <row r="155" spans="3:4" x14ac:dyDescent="0.25">
      <c r="C155" s="2">
        <v>44378</v>
      </c>
      <c r="D155" s="25">
        <v>171</v>
      </c>
    </row>
    <row r="156" spans="3:4" x14ac:dyDescent="0.25">
      <c r="C156" s="2">
        <v>44468</v>
      </c>
      <c r="D156" s="25">
        <v>172</v>
      </c>
    </row>
    <row r="157" spans="3:4" x14ac:dyDescent="0.25">
      <c r="C157" s="2">
        <v>44590</v>
      </c>
      <c r="D157" s="25">
        <v>173</v>
      </c>
    </row>
    <row r="158" spans="3:4" x14ac:dyDescent="0.25">
      <c r="C158" s="2">
        <v>43962</v>
      </c>
      <c r="D158" s="25">
        <v>174</v>
      </c>
    </row>
    <row r="159" spans="3:4" x14ac:dyDescent="0.25">
      <c r="C159" s="2">
        <v>44087</v>
      </c>
      <c r="D159" s="25">
        <v>175</v>
      </c>
    </row>
    <row r="160" spans="3:4" x14ac:dyDescent="0.25">
      <c r="C160" s="2">
        <v>44322</v>
      </c>
      <c r="D160" s="25">
        <v>176</v>
      </c>
    </row>
    <row r="161" spans="3:4" x14ac:dyDescent="0.25">
      <c r="C161" s="2">
        <v>44313</v>
      </c>
      <c r="D161" s="25">
        <v>177</v>
      </c>
    </row>
    <row r="162" spans="3:4" x14ac:dyDescent="0.25">
      <c r="C162" s="2">
        <v>44448</v>
      </c>
      <c r="D162" s="25">
        <v>178</v>
      </c>
    </row>
    <row r="163" spans="3:4" x14ac:dyDescent="0.25">
      <c r="C163" s="2">
        <v>44433</v>
      </c>
      <c r="D163" s="25">
        <v>179</v>
      </c>
    </row>
    <row r="164" spans="3:4" x14ac:dyDescent="0.25">
      <c r="C164" s="2">
        <v>44218</v>
      </c>
      <c r="D164" s="25">
        <v>180</v>
      </c>
    </row>
    <row r="165" spans="3:4" x14ac:dyDescent="0.25">
      <c r="C165" s="2">
        <v>44697</v>
      </c>
      <c r="D165" s="25">
        <v>181</v>
      </c>
    </row>
    <row r="166" spans="3:4" x14ac:dyDescent="0.25">
      <c r="C166" s="2">
        <v>44181</v>
      </c>
      <c r="D166" s="25">
        <v>182</v>
      </c>
    </row>
    <row r="167" spans="3:4" x14ac:dyDescent="0.25">
      <c r="C167" s="2">
        <v>44129</v>
      </c>
      <c r="D167" s="25">
        <v>183</v>
      </c>
    </row>
    <row r="168" spans="3:4" x14ac:dyDescent="0.25">
      <c r="C168" t="s">
        <v>222</v>
      </c>
      <c r="D168" s="25"/>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D1729-DED7-4BA0-9C1A-5B325C3E05E2}">
  <sheetPr>
    <tabColor theme="9"/>
  </sheetPr>
  <dimension ref="C3:J11"/>
  <sheetViews>
    <sheetView workbookViewId="0">
      <selection activeCell="J6" sqref="J6"/>
    </sheetView>
  </sheetViews>
  <sheetFormatPr defaultRowHeight="15" x14ac:dyDescent="0.25"/>
  <cols>
    <col min="3" max="3" width="13.140625" bestFit="1" customWidth="1"/>
    <col min="4" max="4" width="14.42578125" bestFit="1" customWidth="1"/>
    <col min="5" max="5" width="3.42578125" bestFit="1" customWidth="1"/>
    <col min="6" max="6" width="12.5703125" bestFit="1" customWidth="1"/>
    <col min="7" max="7" width="5.5703125" bestFit="1" customWidth="1"/>
    <col min="8" max="8" width="8.5703125" bestFit="1" customWidth="1"/>
    <col min="9" max="9" width="13.140625" bestFit="1" customWidth="1"/>
    <col min="10" max="10" width="14.42578125" bestFit="1" customWidth="1"/>
  </cols>
  <sheetData>
    <row r="3" spans="3:10" x14ac:dyDescent="0.25">
      <c r="C3" s="18" t="s">
        <v>203</v>
      </c>
      <c r="D3" t="s" vm="1">
        <v>220</v>
      </c>
      <c r="I3" s="18" t="s">
        <v>203</v>
      </c>
      <c r="J3" t="s" vm="2">
        <v>241</v>
      </c>
    </row>
    <row r="5" spans="3:10" x14ac:dyDescent="0.25">
      <c r="C5" s="18" t="s">
        <v>237</v>
      </c>
      <c r="D5" t="s">
        <v>233</v>
      </c>
      <c r="I5" s="18" t="s">
        <v>237</v>
      </c>
      <c r="J5" t="s">
        <v>233</v>
      </c>
    </row>
    <row r="6" spans="3:10" x14ac:dyDescent="0.25">
      <c r="C6" s="34" t="s">
        <v>12</v>
      </c>
      <c r="D6" s="25">
        <v>28</v>
      </c>
      <c r="I6" s="34" t="s">
        <v>12</v>
      </c>
      <c r="J6" s="25">
        <v>55</v>
      </c>
    </row>
    <row r="7" spans="3:10" x14ac:dyDescent="0.25">
      <c r="C7" s="34" t="s">
        <v>23</v>
      </c>
      <c r="D7" s="25">
        <v>27</v>
      </c>
      <c r="I7" s="34" t="s">
        <v>23</v>
      </c>
      <c r="J7" s="25">
        <v>54</v>
      </c>
    </row>
    <row r="8" spans="3:10" x14ac:dyDescent="0.25">
      <c r="C8" s="34" t="s">
        <v>17</v>
      </c>
      <c r="D8" s="25">
        <v>19</v>
      </c>
      <c r="I8" s="34" t="s">
        <v>17</v>
      </c>
      <c r="J8" s="25">
        <v>38</v>
      </c>
    </row>
    <row r="9" spans="3:10" x14ac:dyDescent="0.25">
      <c r="C9" s="34" t="s">
        <v>9</v>
      </c>
      <c r="D9" s="25">
        <v>14</v>
      </c>
      <c r="I9" s="34" t="s">
        <v>9</v>
      </c>
      <c r="J9" s="25">
        <v>28</v>
      </c>
    </row>
    <row r="10" spans="3:10" x14ac:dyDescent="0.25">
      <c r="C10" s="34" t="s">
        <v>26</v>
      </c>
      <c r="D10" s="25">
        <v>4</v>
      </c>
      <c r="I10" s="34" t="s">
        <v>26</v>
      </c>
      <c r="J10" s="25">
        <v>8</v>
      </c>
    </row>
    <row r="11" spans="3:10" x14ac:dyDescent="0.25">
      <c r="C11" s="34" t="s">
        <v>222</v>
      </c>
      <c r="D11" s="25">
        <v>92</v>
      </c>
      <c r="I11" s="34" t="s">
        <v>222</v>
      </c>
      <c r="J11" s="25">
        <v>183</v>
      </c>
    </row>
  </sheetData>
  <pageMargins left="0.7" right="0.7" top="0.75" bottom="0.75" header="0.3" footer="0.3"/>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0EAF3-3C35-45D9-8B42-B0EC4B3474D6}">
  <sheetPr>
    <tabColor rgb="FFFFFF00"/>
  </sheetPr>
  <dimension ref="C2:P6"/>
  <sheetViews>
    <sheetView showGridLines="0" zoomScale="80" zoomScaleNormal="80" workbookViewId="0">
      <selection activeCell="R13" sqref="R13"/>
    </sheetView>
  </sheetViews>
  <sheetFormatPr defaultRowHeight="15" x14ac:dyDescent="0.25"/>
  <cols>
    <col min="3" max="3" width="29" customWidth="1"/>
    <col min="4" max="4" width="3.140625" customWidth="1"/>
    <col min="5" max="5" width="28.5703125" customWidth="1"/>
    <col min="6" max="6" width="3" customWidth="1"/>
    <col min="7" max="7" width="26.5703125" customWidth="1"/>
    <col min="12" max="12" width="28.140625" customWidth="1"/>
    <col min="13" max="13" width="3.140625" customWidth="1"/>
    <col min="14" max="14" width="27.28515625" customWidth="1"/>
    <col min="15" max="15" width="3" customWidth="1"/>
    <col min="16" max="16" width="27.85546875" customWidth="1"/>
  </cols>
  <sheetData>
    <row r="2" spans="3:16" ht="36" x14ac:dyDescent="0.55000000000000004">
      <c r="C2" s="36" t="s">
        <v>239</v>
      </c>
      <c r="D2" s="36"/>
      <c r="E2" s="36"/>
      <c r="F2" s="36"/>
      <c r="G2" s="36"/>
      <c r="L2" s="37" t="s">
        <v>240</v>
      </c>
      <c r="M2" s="37"/>
      <c r="N2" s="37"/>
      <c r="O2" s="37"/>
      <c r="P2" s="37"/>
    </row>
    <row r="4" spans="3:16" ht="81.75" customHeight="1" x14ac:dyDescent="0.25">
      <c r="C4" s="28">
        <f>COUNTIFS(staff[Country],"India")</f>
        <v>92</v>
      </c>
      <c r="D4" s="26"/>
      <c r="E4" s="29">
        <f>COUNTIFS(staff[Country],"India", staff[Gender],"Female")/C4</f>
        <v>0.46739130434782611</v>
      </c>
      <c r="F4" s="26"/>
      <c r="G4" s="30">
        <f>AVERAGEIFS(staff[Salary],staff[Country],"India")</f>
        <v>77366.521739130432</v>
      </c>
      <c r="L4" s="31">
        <f>COUNTIFS(staff[Country],"UK")</f>
        <v>91</v>
      </c>
      <c r="M4" s="27"/>
      <c r="N4" s="32">
        <f>COUNTIFS(staff[Country],"UK", staff[Gender],"Female")/L4</f>
        <v>0.47252747252747251</v>
      </c>
      <c r="O4" s="27"/>
      <c r="P4" s="33">
        <f>AVERAGEIFS(staff[Salary],staff[Country],"UK")</f>
        <v>76978.791208791212</v>
      </c>
    </row>
    <row r="6" spans="3:16" ht="23.25" x14ac:dyDescent="0.35">
      <c r="C6" s="35" t="s">
        <v>238</v>
      </c>
      <c r="D6" s="35"/>
      <c r="E6" s="35"/>
      <c r="F6" s="35"/>
      <c r="G6" s="35"/>
      <c r="H6" s="35"/>
      <c r="I6" s="35"/>
      <c r="J6" s="35"/>
      <c r="K6" s="35"/>
      <c r="L6" s="35"/>
      <c r="M6" s="35"/>
      <c r="N6" s="35"/>
      <c r="O6" s="35"/>
      <c r="P6" s="35"/>
    </row>
  </sheetData>
  <mergeCells count="3">
    <mergeCell ref="C6:P6"/>
    <mergeCell ref="C2:G2"/>
    <mergeCell ref="L2:P2"/>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1554C03C-5A43-44F1-8E2C-F093A4F73FBC}">
  <ds:schemaRefs/>
</ds:datastoreItem>
</file>

<file path=customXml/itemProps2.xml><?xml version="1.0" encoding="utf-8"?>
<ds:datastoreItem xmlns:ds="http://schemas.openxmlformats.org/officeDocument/2006/customXml" ds:itemID="{2980B68D-6237-447E-9D25-E210AA6743FA}">
  <ds:schemaRefs/>
</ds:datastoreItem>
</file>

<file path=customXml/itemProps3.xml><?xml version="1.0" encoding="utf-8"?>
<ds:datastoreItem xmlns:ds="http://schemas.openxmlformats.org/officeDocument/2006/customXml" ds:itemID="{5174C258-53D6-4595-87D1-3F4D3F03A306}">
  <ds:schemaRefs/>
</ds:datastoreItem>
</file>

<file path=customXml/itemProps4.xml><?xml version="1.0" encoding="utf-8"?>
<ds:datastoreItem xmlns:ds="http://schemas.openxmlformats.org/officeDocument/2006/customXml" ds:itemID="{6EF0F40C-66CD-4D10-8BF0-1EC6AFEE2491}">
  <ds:schemaRefs/>
</ds:datastoreItem>
</file>

<file path=customXml/itemProps5.xml><?xml version="1.0" encoding="utf-8"?>
<ds:datastoreItem xmlns:ds="http://schemas.openxmlformats.org/officeDocument/2006/customXml" ds:itemID="{31D4BF02-F6DD-4141-9063-1FEAC52A8754}">
  <ds:schemaRefs/>
</ds:datastoreItem>
</file>

<file path=customXml/itemProps6.xml><?xml version="1.0" encoding="utf-8"?>
<ds:datastoreItem xmlns:ds="http://schemas.openxmlformats.org/officeDocument/2006/customXml" ds:itemID="{FC10E032-AADE-4705-9182-B5FD085D4971}">
  <ds:schemaRefs/>
</ds:datastoreItem>
</file>

<file path=customXml/itemProps7.xml><?xml version="1.0" encoding="utf-8"?>
<ds:datastoreItem xmlns:ds="http://schemas.openxmlformats.org/officeDocument/2006/customXml" ds:itemID="{7A25E327-1010-49A5-B7ED-B393B0FDD1AE}">
  <ds:schemaRefs/>
</ds:datastoreItem>
</file>

<file path=customXml/itemProps8.xml><?xml version="1.0" encoding="utf-8"?>
<ds:datastoreItem xmlns:ds="http://schemas.openxmlformats.org/officeDocument/2006/customXml" ds:itemID="{1F96EA9A-0AB5-4329-9594-98433556DBB2}">
  <ds:schemaRefs/>
</ds:datastoreItem>
</file>

<file path=customXml/itemProps9.xml><?xml version="1.0" encoding="utf-8"?>
<ds:datastoreItem xmlns:ds="http://schemas.openxmlformats.org/officeDocument/2006/customXml" ds:itemID="{43F2700F-DF5B-43B2-A54B-D286CEE45C2B}">
  <ds:schemaRefs/>
</ds:datastoreItem>
</file>

<file path=customXml/itemProps10.xml><?xml version="1.0" encoding="utf-8"?>
<ds:datastoreItem xmlns:ds="http://schemas.openxmlformats.org/officeDocument/2006/customXml" ds:itemID="{2C7F112E-8CDF-41AF-BA3B-43556092C7A0}">
  <ds:schemaRefs/>
</ds:datastoreItem>
</file>

<file path=customXml/itemProps11.xml><?xml version="1.0" encoding="utf-8"?>
<ds:datastoreItem xmlns:ds="http://schemas.openxmlformats.org/officeDocument/2006/customXml" ds:itemID="{3C44A7D5-3558-4888-B138-9324D7273CE9}">
  <ds:schemaRefs/>
</ds:datastoreItem>
</file>

<file path=customXml/itemProps12.xml><?xml version="1.0" encoding="utf-8"?>
<ds:datastoreItem xmlns:ds="http://schemas.openxmlformats.org/officeDocument/2006/customXml" ds:itemID="{847F7799-0062-466C-A336-2E60C1D74150}">
  <ds:schemaRefs/>
</ds:datastoreItem>
</file>

<file path=customXml/itemProps13.xml><?xml version="1.0" encoding="utf-8"?>
<ds:datastoreItem xmlns:ds="http://schemas.openxmlformats.org/officeDocument/2006/customXml" ds:itemID="{2C6C318A-7DBA-432D-88F9-FD2B7EF84A3A}">
  <ds:schemaRefs/>
</ds:datastoreItem>
</file>

<file path=customXml/itemProps14.xml><?xml version="1.0" encoding="utf-8"?>
<ds:datastoreItem xmlns:ds="http://schemas.openxmlformats.org/officeDocument/2006/customXml" ds:itemID="{4F0781E6-85FC-46F8-94B0-0DFC1B7E4E3A}">
  <ds:schemaRefs/>
</ds:datastoreItem>
</file>

<file path=customXml/itemProps15.xml><?xml version="1.0" encoding="utf-8"?>
<ds:datastoreItem xmlns:ds="http://schemas.openxmlformats.org/officeDocument/2006/customXml" ds:itemID="{5B384066-E9F4-4362-B0AD-628D437FB57F}">
  <ds:schemaRefs/>
</ds:datastoreItem>
</file>

<file path=customXml/itemProps16.xml><?xml version="1.0" encoding="utf-8"?>
<ds:datastoreItem xmlns:ds="http://schemas.openxmlformats.org/officeDocument/2006/customXml" ds:itemID="{C7B6BCA3-3A31-42C7-A0B0-62D970BDC5AF}">
  <ds:schemaRefs/>
</ds:datastoreItem>
</file>

<file path=customXml/itemProps17.xml><?xml version="1.0" encoding="utf-8"?>
<ds:datastoreItem xmlns:ds="http://schemas.openxmlformats.org/officeDocument/2006/customXml" ds:itemID="{FAFCA49C-4B40-4307-8AF5-ECBCED4D73C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UK</vt:lpstr>
      <vt:lpstr>India</vt:lpstr>
      <vt:lpstr>All staff</vt:lpstr>
      <vt:lpstr>Salary Chart</vt:lpstr>
      <vt:lpstr>Salary vs Rating</vt:lpstr>
      <vt:lpstr>Info finder V 2</vt:lpstr>
      <vt:lpstr>Men vs Female</vt:lpstr>
      <vt:lpstr>Employee Trend</vt:lpstr>
      <vt:lpstr>Dpt Head Count</vt:lpstr>
      <vt:lpstr>Final Report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gokulponnappanpillay@gmail.com</cp:lastModifiedBy>
  <cp:revision/>
  <dcterms:created xsi:type="dcterms:W3CDTF">2024-01-13T13:47:33Z</dcterms:created>
  <dcterms:modified xsi:type="dcterms:W3CDTF">2024-01-28T16:39:41Z</dcterms:modified>
  <cp:category/>
  <cp:contentStatus/>
</cp:coreProperties>
</file>