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compas.vinz\co2mpas\"/>
    </mc:Choice>
  </mc:AlternateContent>
  <bookViews>
    <workbookView xWindow="0" yWindow="465" windowWidth="28800" windowHeight="16260"/>
  </bookViews>
  <sheets>
    <sheet name="output_report" sheetId="5" r:id="rId1"/>
    <sheet name="dice_report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5" l="1"/>
  <c r="B34" i="5"/>
  <c r="C33" i="5"/>
  <c r="B33" i="5"/>
  <c r="C32" i="5"/>
  <c r="B32" i="5"/>
  <c r="C31" i="5"/>
  <c r="B31" i="5"/>
  <c r="C27" i="5"/>
  <c r="C23" i="5"/>
  <c r="B27" i="5"/>
  <c r="B23" i="5"/>
  <c r="C26" i="5"/>
  <c r="C22" i="5"/>
  <c r="C20" i="5"/>
  <c r="B26" i="5"/>
  <c r="B22" i="5"/>
  <c r="C25" i="5"/>
  <c r="C21" i="5"/>
  <c r="B25" i="5"/>
  <c r="B21" i="5"/>
  <c r="C24" i="5"/>
  <c r="B24" i="5"/>
  <c r="B20" i="5"/>
  <c r="C20" i="4"/>
  <c r="B20" i="4"/>
  <c r="C11" i="4"/>
  <c r="B9" i="4"/>
  <c r="C46" i="5"/>
  <c r="C37" i="5"/>
  <c r="B45" i="5"/>
  <c r="B39" i="5"/>
  <c r="B9" i="5"/>
  <c r="C15" i="5"/>
  <c r="B36" i="5"/>
  <c r="C16" i="4"/>
  <c r="B3" i="4"/>
  <c r="B16" i="5"/>
  <c r="C19" i="4"/>
  <c r="B19" i="4"/>
  <c r="C10" i="4"/>
  <c r="B8" i="4"/>
  <c r="C45" i="5"/>
  <c r="C36" i="5"/>
  <c r="B48" i="5"/>
  <c r="B38" i="5"/>
  <c r="B8" i="5"/>
  <c r="C18" i="4"/>
  <c r="B18" i="4"/>
  <c r="C9" i="4"/>
  <c r="B5" i="4"/>
  <c r="C44" i="5"/>
  <c r="C16" i="5"/>
  <c r="B47" i="5"/>
  <c r="B37" i="5"/>
  <c r="B4" i="5"/>
  <c r="C17" i="4"/>
  <c r="B17" i="4"/>
  <c r="C8" i="4"/>
  <c r="B4" i="4"/>
  <c r="C43" i="5"/>
  <c r="B46" i="5"/>
  <c r="B3" i="5"/>
  <c r="B16" i="4"/>
  <c r="C6" i="4"/>
  <c r="B44" i="5"/>
  <c r="C15" i="4"/>
  <c r="B15" i="4"/>
  <c r="B6" i="4"/>
  <c r="B2" i="4"/>
  <c r="C41" i="5"/>
  <c r="C10" i="5"/>
  <c r="B43" i="5"/>
  <c r="B15" i="5"/>
  <c r="B1" i="5"/>
  <c r="C14" i="4"/>
  <c r="B14" i="4"/>
  <c r="B11" i="4"/>
  <c r="C48" i="5"/>
  <c r="C39" i="5"/>
  <c r="C9" i="5"/>
  <c r="B42" i="5"/>
  <c r="B14" i="5"/>
  <c r="C14" i="5"/>
  <c r="C13" i="4"/>
  <c r="B13" i="4"/>
  <c r="B10" i="4"/>
  <c r="C47" i="5"/>
  <c r="C38" i="5"/>
  <c r="C8" i="5"/>
  <c r="B41" i="5"/>
  <c r="B10" i="5"/>
  <c r="C42" i="5"/>
  <c r="B2" i="5"/>
</calcChain>
</file>

<file path=xl/sharedStrings.xml><?xml version="1.0" encoding="utf-8"?>
<sst xmlns="http://schemas.openxmlformats.org/spreadsheetml/2006/main" count="131" uniqueCount="54">
  <si>
    <t>Vehicle H</t>
  </si>
  <si>
    <t>Vehicle L</t>
  </si>
  <si>
    <t>units</t>
  </si>
  <si>
    <t>-</t>
  </si>
  <si>
    <t>cc</t>
  </si>
  <si>
    <t>alternator_model score</t>
  </si>
  <si>
    <t>at_model score</t>
  </si>
  <si>
    <t>clutch_torque_converter_model score</t>
  </si>
  <si>
    <t>co2_params score</t>
  </si>
  <si>
    <t>engine_cold_start_speed_model score</t>
  </si>
  <si>
    <t>engine_coolant_temperature_model score</t>
  </si>
  <si>
    <t>engine_speed_model score</t>
  </si>
  <si>
    <t>start_stop_model score</t>
  </si>
  <si>
    <t xml:space="preserve">CO2MPAS deviation </t>
  </si>
  <si>
    <t>%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</si>
  <si>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</si>
  <si>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</si>
  <si>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</si>
  <si>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</si>
  <si>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</si>
  <si>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</si>
  <si>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</si>
  <si>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</si>
  <si>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</si>
  <si>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</si>
  <si>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</si>
  <si>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</si>
  <si>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</si>
  <si>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</si>
  <si>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</si>
  <si>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</si>
  <si>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</si>
  <si>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</si>
  <si>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</si>
  <si>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</si>
  <si>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</si>
  <si>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</si>
  <si>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</si>
  <si>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</si>
  <si>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Field</t>
  </si>
  <si>
    <t>vehicle-H</t>
  </si>
  <si>
    <t>vehicle-L</t>
  </si>
  <si>
    <t>fuel_type</t>
  </si>
  <si>
    <t>engine_capacity</t>
  </si>
  <si>
    <t>gear_box_type</t>
  </si>
  <si>
    <t>engine_is_turbo</t>
  </si>
  <si>
    <t>vehicle_family_id</t>
  </si>
  <si>
    <t>CO2MPAS_version</t>
  </si>
  <si>
    <t>datetime</t>
  </si>
  <si>
    <t>TA_mode</t>
  </si>
  <si>
    <t>Model scores</t>
  </si>
  <si>
    <t>Vehile</t>
  </si>
  <si>
    <t>Vehicle</t>
  </si>
  <si>
    <t xml:space="preserve">CO2MPAS_deviation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</si>
</sst>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top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left" vertical="top"/>
      <protection hidden="1"/>
    </xf>
    <xf numFmtId="0" fontId="6" fillId="0" borderId="0" xfId="1" applyFont="1" applyFill="1" applyBorder="1" applyAlignment="1" applyProtection="1">
      <alignment horizontal="right"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0" fontId="0" fillId="0" borderId="1" xfId="0" quotePrefix="1" applyBorder="1" applyAlignment="1" applyProtection="1">
      <alignment vertical="center"/>
      <protection hidden="1"/>
    </xf>
  </cellXfs>
  <cellStyles count="2">
    <cellStyle name="Explanatory Text" xfId="1" builtinId="53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showGridLines="0" showRowColHeaders="0" tabSelected="1" showRuler="0" view="pageLayout" zoomScaleNormal="100" workbookViewId="0"/>
  </sheetViews>
  <sheetFormatPr defaultColWidth="9.28515625" defaultRowHeight="15" x14ac:dyDescent="0.25"/>
  <cols>
    <col min="1" max="1" width="35.5703125" style="5" bestFit="1" customWidth="1"/>
    <col min="2" max="2" width="9.42578125" style="5" bestFit="1" customWidth="1"/>
    <col min="3" max="3" width="9" style="5" bestFit="1" customWidth="1"/>
    <col min="4" max="4" width="10.140625" style="5" bestFit="1" customWidth="1"/>
    <col min="5" max="16384" width="9.28515625" style="5"/>
  </cols>
  <sheetData>
    <row r="1" spans="1:4" x14ac:dyDescent="0.25">
      <c r="A1" s="1" t="s">
        <v>46</v>
      </c>
      <c r="B1" s="2" t="e">
        <f ca="1">INDIRECT("summary!_info_vehicle_family_id_Value")</f>
        <v>#REF!</v>
      </c>
      <c r="C1" s="3"/>
      <c r="D1" s="4"/>
    </row>
    <row r="2" spans="1:4" x14ac:dyDescent="0.25">
      <c r="A2" s="1" t="s">
        <v>47</v>
      </c>
      <c r="B2" s="2" t="e">
        <f ca="1">INDIRECT("summary!_info_CO2MPAS_version_Value")</f>
        <v>#REF!</v>
      </c>
      <c r="C2" s="3"/>
      <c r="D2" s="3"/>
    </row>
    <row r="3" spans="1:4" x14ac:dyDescent="0.25">
      <c r="A3" s="1" t="s">
        <v>48</v>
      </c>
      <c r="B3" s="2" t="e">
        <f ca="1">INDIRECT("summary!_info_Simulation_started_Value")</f>
        <v>#REF!</v>
      </c>
      <c r="C3" s="3"/>
      <c r="D3" s="3"/>
    </row>
    <row r="4" spans="1:4" x14ac:dyDescent="0.25">
      <c r="A4" s="1" t="s">
        <v>49</v>
      </c>
      <c r="B4" s="6" t="e">
        <f ca="1">INDIRECT("summary!_info_type_approval_mode_Value")</f>
        <v>#REF!</v>
      </c>
      <c r="C4" s="3"/>
      <c r="D4" s="7"/>
    </row>
    <row r="5" spans="1:4" x14ac:dyDescent="0.25">
      <c r="A5" s="4"/>
      <c r="B5" s="4"/>
      <c r="C5" s="3"/>
      <c r="D5" s="7"/>
    </row>
    <row r="6" spans="1:4" x14ac:dyDescent="0.25">
      <c r="A6" s="4"/>
      <c r="B6" s="4"/>
      <c r="C6" s="3"/>
      <c r="D6" s="7"/>
    </row>
    <row r="7" spans="1:4" ht="18" x14ac:dyDescent="0.25">
      <c r="A7" s="22" t="s">
        <v>15</v>
      </c>
      <c r="B7" s="22" t="s">
        <v>0</v>
      </c>
      <c r="C7" s="22" t="s">
        <v>1</v>
      </c>
      <c r="D7" s="22" t="s">
        <v>2</v>
      </c>
    </row>
    <row r="8" spans="1:4" ht="18" x14ac:dyDescent="0.25">
      <c r="A8" s="16" t="s">
        <v>16</v>
      </c>
      <c r="B8" s="10" t="e">
        <f ca="1">INDIRECT("summary!_results_nedc_h_prediction_target_declared_co2_emission_declared_value__CO2g_km_")</f>
        <v>#REF!</v>
      </c>
      <c r="C8" s="10" t="e">
        <f ca="1">INDIRECT("summary!_results_nedc_l_prediction_target_declared_co2_emission_declared_value__CO2g_km_")</f>
        <v>#REF!</v>
      </c>
      <c r="D8" s="23" t="s">
        <v>17</v>
      </c>
    </row>
    <row r="9" spans="1:4" x14ac:dyDescent="0.25">
      <c r="A9" s="16" t="s">
        <v>18</v>
      </c>
      <c r="B9" s="10" t="e">
        <f ca="1">INDIRECT("summary!_results_nedc_h_prediction_output_declared_co2_emission_declared_value__CO2g_km_")</f>
        <v>#REF!</v>
      </c>
      <c r="C9" s="10" t="e">
        <f ca="1">INDIRECT("summary!_results_nedc_l_prediction_output_declared_co2_emission_declared_value__CO2g_km_")</f>
        <v>#REF!</v>
      </c>
      <c r="D9" s="23" t="s">
        <v>17</v>
      </c>
    </row>
    <row r="10" spans="1:4" x14ac:dyDescent="0.25">
      <c r="A10" s="24" t="s">
        <v>13</v>
      </c>
      <c r="B10" s="24" t="e">
        <f ca="1">(INDIRECT("summary!_comparison_declared_co2_emission_value_prediction_nedc_h_prediction_target_ratio")-1)*100</f>
        <v>#REF!</v>
      </c>
      <c r="C10" s="24" t="e">
        <f ca="1">(INDIRECT("summary!_comparison_declared_co2_emission_value_prediction_nedc_l_prediction_target_ratio")-1)*100</f>
        <v>#REF!</v>
      </c>
      <c r="D10" s="24" t="s">
        <v>14</v>
      </c>
    </row>
    <row r="11" spans="1:4" x14ac:dyDescent="0.25">
      <c r="A11" s="11" t="s">
        <v>19</v>
      </c>
      <c r="B11" s="12"/>
      <c r="C11" s="13"/>
      <c r="D11" s="7"/>
    </row>
    <row r="12" spans="1:4" x14ac:dyDescent="0.25">
      <c r="A12" s="4"/>
      <c r="B12" s="14"/>
      <c r="C12" s="3"/>
      <c r="D12" s="7"/>
    </row>
    <row r="13" spans="1:4" ht="18" x14ac:dyDescent="0.25">
      <c r="A13" s="22" t="s">
        <v>20</v>
      </c>
      <c r="B13" s="22" t="s">
        <v>0</v>
      </c>
      <c r="C13" s="22" t="s">
        <v>1</v>
      </c>
      <c r="D13" s="22" t="s">
        <v>2</v>
      </c>
    </row>
    <row r="14" spans="1:4" x14ac:dyDescent="0.25">
      <c r="A14" s="16" t="s">
        <v>21</v>
      </c>
      <c r="B14" s="8" t="e">
        <f ca="1">INDIRECT("summary!_results_nedc_h_prediction_output_co2_emission_value__CO2g_km_")</f>
        <v>#REF!</v>
      </c>
      <c r="C14" s="8" t="e">
        <f ca="1">INDIRECT("summary!_results_nedc_l_prediction_output_co2_emission_value__CO2g_km_")</f>
        <v>#REF!</v>
      </c>
      <c r="D14" s="23" t="s">
        <v>17</v>
      </c>
    </row>
    <row r="15" spans="1:4" x14ac:dyDescent="0.25">
      <c r="A15" s="16" t="s">
        <v>22</v>
      </c>
      <c r="B15" s="10" t="e">
        <f ca="1">INDIRECT("summary!_results_nedc_h_prediction_output_co2_emission_UDC__CO2g_km_")</f>
        <v>#REF!</v>
      </c>
      <c r="C15" s="10" t="e">
        <f ca="1">INDIRECT("summary!_results_nedc_l_prediction_output_co2_emission_UDC__CO2g_km_")</f>
        <v>#REF!</v>
      </c>
      <c r="D15" s="23" t="s">
        <v>17</v>
      </c>
    </row>
    <row r="16" spans="1:4" x14ac:dyDescent="0.25">
      <c r="A16" s="16" t="s">
        <v>23</v>
      </c>
      <c r="B16" s="10" t="e">
        <f ca="1">INDIRECT("summary!_results_nedc_h_prediction_output_co2_emission_EUDC__CO2g_km_")</f>
        <v>#REF!</v>
      </c>
      <c r="C16" s="10" t="e">
        <f ca="1">INDIRECT("summary!_results_nedc_l_prediction_output_co2_emission_EUDC__CO2g_km_")</f>
        <v>#REF!</v>
      </c>
      <c r="D16" s="23" t="s">
        <v>17</v>
      </c>
    </row>
    <row r="17" spans="1:4" x14ac:dyDescent="0.25">
      <c r="A17" s="20"/>
      <c r="B17" s="21"/>
      <c r="C17" s="21"/>
      <c r="D17" s="7"/>
    </row>
    <row r="18" spans="1:4" x14ac:dyDescent="0.25">
      <c r="A18" s="4"/>
      <c r="B18" s="14"/>
      <c r="C18" s="3"/>
      <c r="D18" s="7"/>
    </row>
    <row r="19" spans="1:4" x14ac:dyDescent="0.25">
      <c r="A19" s="22" t="s">
        <v>50</v>
      </c>
      <c r="B19" s="22" t="s">
        <v>40</v>
      </c>
      <c r="C19" s="22" t="s">
        <v>41</v>
      </c>
      <c r="D19" s="22" t="s">
        <v>2</v>
      </c>
    </row>
    <row r="20" spans="1:4" x14ac:dyDescent="0.25">
      <c r="A20" s="16" t="s">
        <v>5</v>
      </c>
      <c r="B20" s="8" t="e">
        <f ca="1">INDIRECT("data.calibration.model_scores!_score_by_model_alternator_model_wltp_h_score")</f>
        <v>#REF!</v>
      </c>
      <c r="C20" s="8" t="e">
        <f ca="1">INDIRECT("data.calibration.model_scores!_score_by_model_alternator_model_wltp_l_score")</f>
        <v>#REF!</v>
      </c>
      <c r="D20" s="23" t="s">
        <v>3</v>
      </c>
    </row>
    <row r="21" spans="1:4" x14ac:dyDescent="0.25">
      <c r="A21" s="16" t="s">
        <v>6</v>
      </c>
      <c r="B21" s="8" t="e">
        <f ca="1">INDIRECT("data.calibration.model_scores!_score_by_model_at_model_wltp_h_score")</f>
        <v>#REF!</v>
      </c>
      <c r="C21" s="8" t="e">
        <f ca="1">INDIRECT("data.calibration.model_scores!_score_by_model_at_model_wltp_l_score")</f>
        <v>#REF!</v>
      </c>
      <c r="D21" s="23" t="s">
        <v>3</v>
      </c>
    </row>
    <row r="22" spans="1:4" x14ac:dyDescent="0.25">
      <c r="A22" s="16" t="s">
        <v>7</v>
      </c>
      <c r="B22" s="8" t="e">
        <f ca="1">INDIRECT("data.calibration.model_scores!_score_by_model_clutch_torque_converter_model_wltp_h_score")</f>
        <v>#REF!</v>
      </c>
      <c r="C22" s="8" t="e">
        <f ca="1">INDIRECT("data.calibration.model_scores!_score_by_model_clutch_torque_converter_model_wltp_l_score")</f>
        <v>#REF!</v>
      </c>
      <c r="D22" s="23" t="s">
        <v>3</v>
      </c>
    </row>
    <row r="23" spans="1:4" x14ac:dyDescent="0.25">
      <c r="A23" s="16" t="s">
        <v>8</v>
      </c>
      <c r="B23" s="8" t="e">
        <f ca="1">INDIRECT("data.calibration.model_scores!_score_by_model_co2_params_wltp_h_score")</f>
        <v>#REF!</v>
      </c>
      <c r="C23" s="8" t="e">
        <f ca="1">INDIRECT("data.calibration.model_scores!_score_by_model_co2_params_wltp_l_score")</f>
        <v>#REF!</v>
      </c>
      <c r="D23" s="23" t="s">
        <v>3</v>
      </c>
    </row>
    <row r="24" spans="1:4" x14ac:dyDescent="0.25">
      <c r="A24" s="16" t="s">
        <v>9</v>
      </c>
      <c r="B24" s="8" t="e">
        <f ca="1">INDIRECT("data.calibration.model_scores!_score_by_model_engine_cold_start_speed_model_wltp_h_score")</f>
        <v>#REF!</v>
      </c>
      <c r="C24" s="8" t="e">
        <f ca="1">INDIRECT("data.calibration.model_scores!_score_by_model_engine_cold_start_speed_model_wltp_l_score")</f>
        <v>#REF!</v>
      </c>
      <c r="D24" s="23" t="s">
        <v>3</v>
      </c>
    </row>
    <row r="25" spans="1:4" x14ac:dyDescent="0.25">
      <c r="A25" s="16" t="s">
        <v>10</v>
      </c>
      <c r="B25" s="8" t="e">
        <f ca="1">INDIRECT("data.calibration.model_scores!_score_by_model_engine_coolant_temperature_model_wltp_h_score")</f>
        <v>#REF!</v>
      </c>
      <c r="C25" s="8" t="e">
        <f ca="1">INDIRECT("data.calibration.model_scores!_score_by_model_engine_coolant_temperature_model_wltp_l_score")</f>
        <v>#REF!</v>
      </c>
      <c r="D25" s="28" t="s">
        <v>3</v>
      </c>
    </row>
    <row r="26" spans="1:4" x14ac:dyDescent="0.25">
      <c r="A26" s="16" t="s">
        <v>11</v>
      </c>
      <c r="B26" s="8" t="e">
        <f ca="1">INDIRECT("data.calibration.model_scores!_score_by_model_engine_speed_model_wltp_h_score")</f>
        <v>#REF!</v>
      </c>
      <c r="C26" s="8" t="e">
        <f ca="1">INDIRECT("data.calibration.model_scores!_score_by_model_engine_speed_model_wltp_l_score")</f>
        <v>#REF!</v>
      </c>
      <c r="D26" s="23" t="s">
        <v>3</v>
      </c>
    </row>
    <row r="27" spans="1:4" x14ac:dyDescent="0.25">
      <c r="A27" s="16" t="s">
        <v>12</v>
      </c>
      <c r="B27" s="8" t="e">
        <f ca="1">INDIRECT("data.calibration.model_scores!_score_by_model_start_stop_model_wltp_h_score")</f>
        <v>#REF!</v>
      </c>
      <c r="C27" s="8" t="e">
        <f ca="1">INDIRECT("data.calibration.model_scores!_score_by_model_start_stop_model_wltp_l_score")</f>
        <v>#REF!</v>
      </c>
      <c r="D27" s="23" t="s">
        <v>3</v>
      </c>
    </row>
    <row r="28" spans="1:4" x14ac:dyDescent="0.25">
      <c r="A28" s="4"/>
      <c r="B28" s="14"/>
      <c r="C28" s="3"/>
      <c r="D28" s="7"/>
    </row>
    <row r="29" spans="1:4" x14ac:dyDescent="0.25">
      <c r="A29" s="4"/>
      <c r="B29" s="14"/>
      <c r="C29" s="3"/>
      <c r="D29" s="7"/>
    </row>
    <row r="30" spans="1:4" x14ac:dyDescent="0.25">
      <c r="A30" s="15" t="s">
        <v>51</v>
      </c>
      <c r="B30" s="15" t="s">
        <v>40</v>
      </c>
      <c r="C30" s="15" t="s">
        <v>41</v>
      </c>
      <c r="D30" s="15" t="s">
        <v>2</v>
      </c>
    </row>
    <row r="31" spans="1:4" x14ac:dyDescent="0.25">
      <c r="A31" s="16" t="s">
        <v>42</v>
      </c>
      <c r="B31" s="8" t="e">
        <f ca="1">INDIRECT("summary!_results_nedc_h_prediction_output_vehicle_fuel_type__")</f>
        <v>#REF!</v>
      </c>
      <c r="C31" s="8" t="e">
        <f ca="1">INDIRECT("summary!_results_nedc_l_prediction_output_vehicle_fuel_type__")</f>
        <v>#REF!</v>
      </c>
      <c r="D31" s="23" t="s">
        <v>3</v>
      </c>
    </row>
    <row r="32" spans="1:4" x14ac:dyDescent="0.25">
      <c r="A32" s="16" t="s">
        <v>43</v>
      </c>
      <c r="B32" s="8" t="e">
        <f ca="1">INDIRECT("summary!_results_nedc_h_prediction_output_vehicle_engine_capacity__cm3_")</f>
        <v>#REF!</v>
      </c>
      <c r="C32" s="8" t="e">
        <f ca="1">INDIRECT("summary!_results_nedc_l_prediction_output_vehicle_engine_capacity__cm3_")</f>
        <v>#REF!</v>
      </c>
      <c r="D32" s="23" t="s">
        <v>4</v>
      </c>
    </row>
    <row r="33" spans="1:4" x14ac:dyDescent="0.25">
      <c r="A33" s="16" t="s">
        <v>44</v>
      </c>
      <c r="B33" s="8" t="e">
        <f ca="1">INDIRECT("summary!_results_nedc_h_prediction_output_vehicle_gear_box_type__")</f>
        <v>#REF!</v>
      </c>
      <c r="C33" s="8" t="e">
        <f ca="1">INDIRECT("summary!_results_nedc_l_prediction_output_vehicle_gear_box_type__")</f>
        <v>#REF!</v>
      </c>
      <c r="D33" s="23" t="s">
        <v>3</v>
      </c>
    </row>
    <row r="34" spans="1:4" x14ac:dyDescent="0.25">
      <c r="A34" s="16" t="s">
        <v>45</v>
      </c>
      <c r="B34" s="8" t="e">
        <f ca="1">INDIRECT("summary!_results_nedc_h_prediction_output_vehicle_engine_is_turbo__")</f>
        <v>#REF!</v>
      </c>
      <c r="C34" s="8" t="e">
        <f ca="1">INDIRECT("summary!_results_nedc_l_prediction_output_vehicle_engine_is_turbo__")</f>
        <v>#REF!</v>
      </c>
      <c r="D34" s="23" t="s">
        <v>3</v>
      </c>
    </row>
    <row r="35" spans="1:4" x14ac:dyDescent="0.25">
      <c r="A35" s="15" t="s">
        <v>24</v>
      </c>
      <c r="B35" s="15" t="s">
        <v>0</v>
      </c>
      <c r="C35" s="15" t="s">
        <v>1</v>
      </c>
      <c r="D35" s="15" t="s">
        <v>2</v>
      </c>
    </row>
    <row r="36" spans="1:4" x14ac:dyDescent="0.25">
      <c r="A36" s="16" t="s">
        <v>25</v>
      </c>
      <c r="B36" s="10" t="e">
        <f ca="1">INDIRECT("summary!_results_nedc_h_prediction_output_vehicle_f0__N_")</f>
        <v>#REF!</v>
      </c>
      <c r="C36" s="10" t="e">
        <f ca="1">INDIRECT("summary!_results_nedc_l_prediction_output_vehicle_f0__N_")</f>
        <v>#REF!</v>
      </c>
      <c r="D36" s="23" t="s">
        <v>26</v>
      </c>
    </row>
    <row r="37" spans="1:4" x14ac:dyDescent="0.25">
      <c r="A37" s="17" t="s">
        <v>27</v>
      </c>
      <c r="B37" s="18" t="e">
        <f ca="1">INDIRECT("summary!_results_nedc_h_prediction_output_vehicle_f1__N__km_h__")</f>
        <v>#REF!</v>
      </c>
      <c r="C37" s="18" t="e">
        <f ca="1">INDIRECT("summary!_results_nedc_l_prediction_output_vehicle_f1__N__km_h__")</f>
        <v>#REF!</v>
      </c>
      <c r="D37" s="23" t="s">
        <v>28</v>
      </c>
    </row>
    <row r="38" spans="1:4" ht="17.25" x14ac:dyDescent="0.25">
      <c r="A38" s="17" t="s">
        <v>29</v>
      </c>
      <c r="B38" s="18" t="e">
        <f ca="1">INDIRECT("summary!_results_nedc_h_prediction_output_vehicle_f2__N__km_h__2_")</f>
        <v>#REF!</v>
      </c>
      <c r="C38" s="18" t="e">
        <f ca="1">INDIRECT("summary!_results_nedc_l_prediction_output_vehicle_f2__N__km_h__2_")</f>
        <v>#REF!</v>
      </c>
      <c r="D38" s="23" t="s">
        <v>30</v>
      </c>
    </row>
    <row r="39" spans="1:4" x14ac:dyDescent="0.25">
      <c r="A39" s="16" t="s">
        <v>31</v>
      </c>
      <c r="B39" s="19" t="e">
        <f ca="1">INDIRECT("summary!_results_nedc_h_prediction_output_vehicle_mass__kg_")</f>
        <v>#REF!</v>
      </c>
      <c r="C39" s="19" t="e">
        <f ca="1">INDIRECT("summary!_results_nedc_l_prediction_output_vehicle_mass__kg_")</f>
        <v>#REF!</v>
      </c>
      <c r="D39" s="25" t="s">
        <v>32</v>
      </c>
    </row>
    <row r="40" spans="1:4" x14ac:dyDescent="0.25">
      <c r="A40" s="15" t="s">
        <v>33</v>
      </c>
      <c r="B40" s="15" t="s">
        <v>0</v>
      </c>
      <c r="C40" s="15" t="s">
        <v>1</v>
      </c>
      <c r="D40" s="15" t="s">
        <v>2</v>
      </c>
    </row>
    <row r="41" spans="1:4" x14ac:dyDescent="0.25">
      <c r="A41" s="16" t="s">
        <v>25</v>
      </c>
      <c r="B41" s="10" t="e">
        <f ca="1">INDIRECT("summary!_results_wltp_h_calibration_output_vehicle_f0__N_")</f>
        <v>#REF!</v>
      </c>
      <c r="C41" s="10" t="e">
        <f ca="1">INDIRECT("summary!_results_wltp_l_calibration_output_vehicle_f0__N_")</f>
        <v>#REF!</v>
      </c>
      <c r="D41" s="23" t="s">
        <v>26</v>
      </c>
    </row>
    <row r="42" spans="1:4" x14ac:dyDescent="0.25">
      <c r="A42" s="17" t="s">
        <v>27</v>
      </c>
      <c r="B42" s="18" t="e">
        <f ca="1">INDIRECT("summary!_results_wltp_h_calibration_output_vehicle_f1__N__km_h__")</f>
        <v>#REF!</v>
      </c>
      <c r="C42" s="18" t="e">
        <f ca="1">INDIRECT("summary!_results_wltp_l_calibration_output_vehicle_f1__N__km_h__")</f>
        <v>#REF!</v>
      </c>
      <c r="D42" s="23" t="s">
        <v>28</v>
      </c>
    </row>
    <row r="43" spans="1:4" ht="17.25" x14ac:dyDescent="0.25">
      <c r="A43" s="17" t="s">
        <v>29</v>
      </c>
      <c r="B43" s="18" t="e">
        <f ca="1">INDIRECT("summary!_results_wltp_h_calibration_output_vehicle_f2__N__km_h__2_")</f>
        <v>#REF!</v>
      </c>
      <c r="C43" s="18" t="e">
        <f ca="1">INDIRECT("summary!_results_wltp_l_calibration_output_vehicle_f2__N__km_h__2_")</f>
        <v>#REF!</v>
      </c>
      <c r="D43" s="23" t="s">
        <v>30</v>
      </c>
    </row>
    <row r="44" spans="1:4" x14ac:dyDescent="0.25">
      <c r="A44" s="16" t="s">
        <v>34</v>
      </c>
      <c r="B44" s="19" t="e">
        <f ca="1">INDIRECT("summary!_results_wltp_h_calibration_output_vehicle_mass__kg_")</f>
        <v>#REF!</v>
      </c>
      <c r="C44" s="19" t="e">
        <f ca="1">INDIRECT("summary!_results_wltp_l_calibration_output_vehicle_mass__kg_")</f>
        <v>#REF!</v>
      </c>
      <c r="D44" s="25" t="s">
        <v>32</v>
      </c>
    </row>
    <row r="45" spans="1:4" x14ac:dyDescent="0.25">
      <c r="A45" s="16" t="s">
        <v>35</v>
      </c>
      <c r="B45" s="10" t="e">
        <f ca="1">INDIRECT("summary!_results_wltp_h_calibration_output_co2_emission_low__CO2g_km_")</f>
        <v>#REF!</v>
      </c>
      <c r="C45" s="10" t="e">
        <f ca="1">INDIRECT("summary!_results_wltp_l_calibration_output_co2_emission_low__CO2g_km_")</f>
        <v>#REF!</v>
      </c>
      <c r="D45" s="25" t="s">
        <v>17</v>
      </c>
    </row>
    <row r="46" spans="1:4" x14ac:dyDescent="0.25">
      <c r="A46" s="16" t="s">
        <v>36</v>
      </c>
      <c r="B46" s="10" t="e">
        <f ca="1">INDIRECT("summary!_results_wltp_h_calibration_output_co2_emission_medium__CO2g_km_")</f>
        <v>#REF!</v>
      </c>
      <c r="C46" s="10" t="e">
        <f ca="1">INDIRECT("summary!_results_wltp_l_calibration_output_co2_emission_medium__CO2g_km_")</f>
        <v>#REF!</v>
      </c>
      <c r="D46" s="25" t="s">
        <v>17</v>
      </c>
    </row>
    <row r="47" spans="1:4" x14ac:dyDescent="0.25">
      <c r="A47" s="16" t="s">
        <v>37</v>
      </c>
      <c r="B47" s="10" t="e">
        <f ca="1">INDIRECT("summary!_results_wltp_h_calibration_output_co2_emission_high__CO2g_km_")</f>
        <v>#REF!</v>
      </c>
      <c r="C47" s="10" t="e">
        <f ca="1">INDIRECT("summary!_results_wltp_l_calibration_output_co2_emission_high__CO2g_km_")</f>
        <v>#REF!</v>
      </c>
      <c r="D47" s="25" t="s">
        <v>17</v>
      </c>
    </row>
    <row r="48" spans="1:4" x14ac:dyDescent="0.25">
      <c r="A48" s="16" t="s">
        <v>38</v>
      </c>
      <c r="B48" s="10" t="e">
        <f ca="1">INDIRECT("summary!_results_wltp_h_calibration_output_co2_emission_extra_high__CO2g_km_")</f>
        <v>#REF!</v>
      </c>
      <c r="C48" s="10" t="e">
        <f ca="1">INDIRECT("summary!_results_wltp_l_calibration_output_co2_emission_extra_high__CO2g_km_")</f>
        <v>#REF!</v>
      </c>
      <c r="D48" s="25" t="s">
        <v>17</v>
      </c>
    </row>
  </sheetData>
  <sheetProtection sheet="1" objects="1" scenarios="1"/>
  <phoneticPr fontId="8" type="noConversion"/>
  <conditionalFormatting sqref="B10:C10">
    <cfRule type="colorScale" priority="1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5" priority="11">
      <formula>$B$4="False"</formula>
    </cfRule>
    <cfRule type="expression" dxfId="4" priority="12">
      <formula>$B$4="True"</formula>
    </cfRule>
  </conditionalFormatting>
  <conditionalFormatting sqref="A10">
    <cfRule type="colorScale" priority="2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D10">
    <cfRule type="colorScale" priority="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showRowColHeaders="0" showRuler="0" view="pageLayout" zoomScaleNormal="100" workbookViewId="0"/>
  </sheetViews>
  <sheetFormatPr defaultColWidth="11.85546875" defaultRowHeight="12" x14ac:dyDescent="0.25"/>
  <cols>
    <col min="1" max="1" width="39.85546875" style="9" bestFit="1" customWidth="1"/>
    <col min="2" max="2" width="9.42578125" style="9" bestFit="1" customWidth="1"/>
    <col min="3" max="3" width="9" style="9" bestFit="1" customWidth="1"/>
    <col min="4" max="4" width="7.140625" style="9" bestFit="1" customWidth="1"/>
    <col min="5" max="16384" width="11.85546875" style="9"/>
  </cols>
  <sheetData>
    <row r="1" spans="1:4" s="5" customFormat="1" ht="15" x14ac:dyDescent="0.25">
      <c r="A1" s="22" t="s">
        <v>39</v>
      </c>
      <c r="B1" s="22" t="s">
        <v>40</v>
      </c>
      <c r="C1" s="22" t="s">
        <v>41</v>
      </c>
      <c r="D1" s="22" t="s">
        <v>2</v>
      </c>
    </row>
    <row r="2" spans="1:4" s="5" customFormat="1" ht="15" x14ac:dyDescent="0.25">
      <c r="A2" s="1" t="s">
        <v>46</v>
      </c>
      <c r="B2" s="2" t="e">
        <f ca="1">INDIRECT("summary!_info_vehicle_family_id_Value")</f>
        <v>#REF!</v>
      </c>
      <c r="C2" s="26"/>
      <c r="D2" s="27"/>
    </row>
    <row r="3" spans="1:4" s="5" customFormat="1" ht="15" x14ac:dyDescent="0.25">
      <c r="A3" s="1" t="s">
        <v>47</v>
      </c>
      <c r="B3" s="2" t="e">
        <f ca="1">INDIRECT("summary!_info_CO2MPAS_version_Value")</f>
        <v>#REF!</v>
      </c>
      <c r="C3" s="26"/>
      <c r="D3" s="26"/>
    </row>
    <row r="4" spans="1:4" s="5" customFormat="1" ht="15" x14ac:dyDescent="0.25">
      <c r="A4" s="1" t="s">
        <v>48</v>
      </c>
      <c r="B4" s="2" t="e">
        <f ca="1">INDIRECT("summary!_info_Simulation_started_Value")</f>
        <v>#REF!</v>
      </c>
      <c r="C4" s="26"/>
      <c r="D4" s="26"/>
    </row>
    <row r="5" spans="1:4" s="5" customFormat="1" ht="15" x14ac:dyDescent="0.25">
      <c r="A5" s="1" t="s">
        <v>49</v>
      </c>
      <c r="B5" s="6" t="e">
        <f ca="1">INDIRECT("summary!_info_type_approval_mode_Value")</f>
        <v>#REF!</v>
      </c>
      <c r="C5" s="26"/>
      <c r="D5" s="23"/>
    </row>
    <row r="6" spans="1:4" s="5" customFormat="1" ht="15" x14ac:dyDescent="0.25">
      <c r="A6" s="24" t="s">
        <v>53</v>
      </c>
      <c r="B6" s="24" t="e">
        <f ca="1">(INDIRECT("summary!_comparison_declared_co2_emission_value_prediction_nedc_h_prediction_target_ratio")-1)*100</f>
        <v>#REF!</v>
      </c>
      <c r="C6" s="24" t="e">
        <f ca="1">(INDIRECT("summary!_comparison_declared_co2_emission_value_prediction_nedc_l_prediction_target_ratio")-1)*100</f>
        <v>#REF!</v>
      </c>
      <c r="D6" s="24" t="s">
        <v>14</v>
      </c>
    </row>
    <row r="7" spans="1:4" s="5" customFormat="1" ht="15" x14ac:dyDescent="0.25">
      <c r="A7" s="22" t="s">
        <v>52</v>
      </c>
      <c r="B7" s="22" t="s">
        <v>40</v>
      </c>
      <c r="C7" s="22" t="s">
        <v>41</v>
      </c>
      <c r="D7" s="22" t="s">
        <v>2</v>
      </c>
    </row>
    <row r="8" spans="1:4" s="5" customFormat="1" ht="15" x14ac:dyDescent="0.25">
      <c r="A8" s="16" t="s">
        <v>42</v>
      </c>
      <c r="B8" s="8" t="e">
        <f ca="1">INDIRECT("summary!_results_nedc_h_prediction_output_vehicle_fuel_type__")</f>
        <v>#REF!</v>
      </c>
      <c r="C8" s="8" t="e">
        <f ca="1">INDIRECT("summary!_results_nedc_l_prediction_output_vehicle_fuel_type__")</f>
        <v>#REF!</v>
      </c>
      <c r="D8" s="23" t="s">
        <v>3</v>
      </c>
    </row>
    <row r="9" spans="1:4" s="5" customFormat="1" ht="15" x14ac:dyDescent="0.25">
      <c r="A9" s="16" t="s">
        <v>43</v>
      </c>
      <c r="B9" s="8" t="e">
        <f ca="1">INDIRECT("summary!_results_nedc_h_prediction_output_vehicle_engine_capacity__cm3_")</f>
        <v>#REF!</v>
      </c>
      <c r="C9" s="8" t="e">
        <f ca="1">INDIRECT("summary!_results_nedc_l_prediction_output_vehicle_engine_capacity__cm3_")</f>
        <v>#REF!</v>
      </c>
      <c r="D9" s="23" t="s">
        <v>4</v>
      </c>
    </row>
    <row r="10" spans="1:4" s="5" customFormat="1" ht="15" x14ac:dyDescent="0.25">
      <c r="A10" s="16" t="s">
        <v>44</v>
      </c>
      <c r="B10" s="8" t="e">
        <f ca="1">INDIRECT("summary!_results_nedc_h_prediction_output_vehicle_gear_box_type__")</f>
        <v>#REF!</v>
      </c>
      <c r="C10" s="8" t="e">
        <f ca="1">INDIRECT("summary!_results_nedc_l_prediction_output_vehicle_gear_box_type__")</f>
        <v>#REF!</v>
      </c>
      <c r="D10" s="23" t="s">
        <v>3</v>
      </c>
    </row>
    <row r="11" spans="1:4" s="5" customFormat="1" ht="15" x14ac:dyDescent="0.25">
      <c r="A11" s="16" t="s">
        <v>45</v>
      </c>
      <c r="B11" s="8" t="e">
        <f ca="1">INDIRECT("summary!_results_nedc_h_prediction_output_vehicle_engine_is_turbo__")</f>
        <v>#REF!</v>
      </c>
      <c r="C11" s="8" t="e">
        <f ca="1">INDIRECT("summary!_results_nedc_l_prediction_output_vehicle_engine_is_turbo__")</f>
        <v>#REF!</v>
      </c>
      <c r="D11" s="23" t="s">
        <v>3</v>
      </c>
    </row>
    <row r="12" spans="1:4" s="5" customFormat="1" ht="15" x14ac:dyDescent="0.25">
      <c r="A12" s="22" t="s">
        <v>50</v>
      </c>
      <c r="B12" s="22" t="s">
        <v>40</v>
      </c>
      <c r="C12" s="22" t="s">
        <v>41</v>
      </c>
      <c r="D12" s="22" t="s">
        <v>2</v>
      </c>
    </row>
    <row r="13" spans="1:4" s="5" customFormat="1" ht="15" x14ac:dyDescent="0.25">
      <c r="A13" s="16" t="s">
        <v>5</v>
      </c>
      <c r="B13" s="8" t="e">
        <f ca="1">INDIRECT("data.calibration.model_scores!_score_by_model_alternator_model_wltp_h_score")</f>
        <v>#REF!</v>
      </c>
      <c r="C13" s="8" t="e">
        <f ca="1">INDIRECT("data.calibration.model_scores!_score_by_model_alternator_model_wltp_l_score")</f>
        <v>#REF!</v>
      </c>
      <c r="D13" s="23" t="s">
        <v>3</v>
      </c>
    </row>
    <row r="14" spans="1:4" s="5" customFormat="1" ht="15" x14ac:dyDescent="0.25">
      <c r="A14" s="16" t="s">
        <v>6</v>
      </c>
      <c r="B14" s="8" t="e">
        <f ca="1">INDIRECT("data.calibration.model_scores!_score_by_model_at_model_wltp_h_score")</f>
        <v>#REF!</v>
      </c>
      <c r="C14" s="8" t="e">
        <f ca="1">INDIRECT("data.calibration.model_scores!_score_by_model_at_model_wltp_l_score")</f>
        <v>#REF!</v>
      </c>
      <c r="D14" s="23" t="s">
        <v>3</v>
      </c>
    </row>
    <row r="15" spans="1:4" s="5" customFormat="1" ht="15" x14ac:dyDescent="0.25">
      <c r="A15" s="16" t="s">
        <v>7</v>
      </c>
      <c r="B15" s="8" t="e">
        <f ca="1">INDIRECT("data.calibration.model_scores!_score_by_model_clutch_torque_converter_model_wltp_h_score")</f>
        <v>#REF!</v>
      </c>
      <c r="C15" s="8" t="e">
        <f ca="1">INDIRECT("data.calibration.model_scores!_score_by_model_clutch_torque_converter_model_wltp_l_score")</f>
        <v>#REF!</v>
      </c>
      <c r="D15" s="23" t="s">
        <v>3</v>
      </c>
    </row>
    <row r="16" spans="1:4" s="5" customFormat="1" ht="15" x14ac:dyDescent="0.25">
      <c r="A16" s="16" t="s">
        <v>8</v>
      </c>
      <c r="B16" s="8" t="e">
        <f ca="1">INDIRECT("data.calibration.model_scores!_score_by_model_co2_params_wltp_h_score")</f>
        <v>#REF!</v>
      </c>
      <c r="C16" s="8" t="e">
        <f ca="1">INDIRECT("data.calibration.model_scores!_score_by_model_co2_params_wltp_l_score")</f>
        <v>#REF!</v>
      </c>
      <c r="D16" s="23" t="s">
        <v>3</v>
      </c>
    </row>
    <row r="17" spans="1:4" s="5" customFormat="1" ht="15" x14ac:dyDescent="0.25">
      <c r="A17" s="16" t="s">
        <v>9</v>
      </c>
      <c r="B17" s="8" t="e">
        <f ca="1">INDIRECT("data.calibration.model_scores!_score_by_model_engine_cold_start_speed_model_wltp_h_score")</f>
        <v>#REF!</v>
      </c>
      <c r="C17" s="8" t="e">
        <f ca="1">INDIRECT("data.calibration.model_scores!_score_by_model_engine_cold_start_speed_model_wltp_l_score")</f>
        <v>#REF!</v>
      </c>
      <c r="D17" s="23" t="s">
        <v>3</v>
      </c>
    </row>
    <row r="18" spans="1:4" s="5" customFormat="1" ht="15" x14ac:dyDescent="0.25">
      <c r="A18" s="16" t="s">
        <v>10</v>
      </c>
      <c r="B18" s="8" t="e">
        <f ca="1">INDIRECT("data.calibration.model_scores!_score_by_model_engine_coolant_temperature_model_wltp_h_score")</f>
        <v>#REF!</v>
      </c>
      <c r="C18" s="8" t="e">
        <f ca="1">INDIRECT("data.calibration.model_scores!_score_by_model_engine_coolant_temperature_model_wltp_l_score")</f>
        <v>#REF!</v>
      </c>
      <c r="D18" s="28" t="s">
        <v>3</v>
      </c>
    </row>
    <row r="19" spans="1:4" ht="15" x14ac:dyDescent="0.25">
      <c r="A19" s="16" t="s">
        <v>11</v>
      </c>
      <c r="B19" s="8" t="e">
        <f ca="1">INDIRECT("data.calibration.model_scores!_score_by_model_engine_speed_model_wltp_h_score")</f>
        <v>#REF!</v>
      </c>
      <c r="C19" s="8" t="e">
        <f ca="1">INDIRECT("data.calibration.model_scores!_score_by_model_engine_speed_model_wltp_l_score")</f>
        <v>#REF!</v>
      </c>
      <c r="D19" s="23" t="s">
        <v>3</v>
      </c>
    </row>
    <row r="20" spans="1:4" ht="15" x14ac:dyDescent="0.25">
      <c r="A20" s="16" t="s">
        <v>12</v>
      </c>
      <c r="B20" s="8" t="e">
        <f ca="1">INDIRECT("data.calibration.model_scores!_score_by_model_start_stop_model_wltp_h_score")</f>
        <v>#REF!</v>
      </c>
      <c r="C20" s="8" t="e">
        <f ca="1">INDIRECT("data.calibration.model_scores!_score_by_model_start_stop_model_wltp_l_score")</f>
        <v>#REF!</v>
      </c>
      <c r="D20" s="23" t="s">
        <v>3</v>
      </c>
    </row>
  </sheetData>
  <sheetProtection sheet="1" objects="1" scenarios="1"/>
  <phoneticPr fontId="8" type="noConversion"/>
  <conditionalFormatting sqref="B6:C6">
    <cfRule type="colorScale" priority="1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5">
    <cfRule type="expression" dxfId="3" priority="11">
      <formula>$B$5="False"</formula>
    </cfRule>
    <cfRule type="expression" dxfId="2" priority="12">
      <formula>$B$5="True"</formula>
    </cfRule>
  </conditionalFormatting>
  <conditionalFormatting sqref="A6">
    <cfRule type="colorScale" priority="2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D6">
    <cfRule type="colorScale" priority="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Konstantinos Anagnostopoulos</cp:lastModifiedBy>
  <dcterms:created xsi:type="dcterms:W3CDTF">2016-11-09T10:59:28Z</dcterms:created>
  <dcterms:modified xsi:type="dcterms:W3CDTF">2017-01-25T11:43:27Z</dcterms:modified>
</cp:coreProperties>
</file>