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0" yWindow="460" windowWidth="28800" windowHeight="16260"/>
  </bookViews>
  <sheets>
    <sheet name="output_report" sheetId="4" r:id="rId1"/>
    <sheet name="dice_report" sheetId="5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4" l="1"/>
  <c r="G32" i="4"/>
  <c r="F33" i="4"/>
  <c r="F32" i="4"/>
  <c r="D32" i="4"/>
  <c r="D33" i="4"/>
  <c r="C33" i="4"/>
  <c r="C32" i="4"/>
  <c r="G26" i="4"/>
  <c r="F26" i="4"/>
  <c r="D26" i="4"/>
  <c r="C26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5" i="4"/>
  <c r="G24" i="4"/>
  <c r="F25" i="4"/>
  <c r="F24" i="4"/>
  <c r="D25" i="4"/>
  <c r="D24" i="4"/>
  <c r="C25" i="4"/>
  <c r="C24" i="4"/>
  <c r="B24" i="4"/>
  <c r="E24" i="4"/>
  <c r="E32" i="4"/>
  <c r="E31" i="4"/>
  <c r="E30" i="4"/>
  <c r="E29" i="4"/>
  <c r="E28" i="4"/>
  <c r="E27" i="4"/>
  <c r="E26" i="4"/>
  <c r="B2" i="5"/>
  <c r="C2" i="5"/>
  <c r="B3" i="5"/>
  <c r="C3" i="5"/>
  <c r="B5" i="5"/>
  <c r="C5" i="5"/>
  <c r="B6" i="5"/>
  <c r="C6" i="5"/>
  <c r="B7" i="5"/>
  <c r="C7" i="5"/>
  <c r="B9" i="5"/>
  <c r="C9" i="5"/>
  <c r="B10" i="5"/>
  <c r="C10" i="5"/>
  <c r="B11" i="5"/>
  <c r="C11" i="5"/>
  <c r="B12" i="5"/>
  <c r="C12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E48" i="4"/>
  <c r="E46" i="4"/>
  <c r="E44" i="4"/>
  <c r="E42" i="4"/>
  <c r="E39" i="4"/>
  <c r="E37" i="4"/>
  <c r="E21" i="4"/>
  <c r="E19" i="4"/>
  <c r="E15" i="4"/>
  <c r="E13" i="4"/>
  <c r="E8" i="4"/>
  <c r="B4" i="4"/>
  <c r="B44" i="4"/>
  <c r="B37" i="4"/>
  <c r="B30" i="4"/>
  <c r="B26" i="4"/>
  <c r="B21" i="4"/>
  <c r="B15" i="4"/>
  <c r="B13" i="4"/>
  <c r="B3" i="4"/>
  <c r="E18" i="4"/>
  <c r="E9" i="4"/>
  <c r="B27" i="4"/>
  <c r="B9" i="4"/>
  <c r="B48" i="4"/>
  <c r="B46" i="4"/>
  <c r="B42" i="4"/>
  <c r="B39" i="4"/>
  <c r="B32" i="4"/>
  <c r="B28" i="4"/>
  <c r="B19" i="4"/>
  <c r="B8" i="4"/>
  <c r="E14" i="4"/>
  <c r="B2" i="4"/>
  <c r="B20" i="4"/>
  <c r="B1" i="4"/>
  <c r="E47" i="4"/>
  <c r="E45" i="4"/>
  <c r="E43" i="4"/>
  <c r="E41" i="4"/>
  <c r="E38" i="4"/>
  <c r="E36" i="4"/>
  <c r="E20" i="4"/>
  <c r="E7" i="4"/>
  <c r="B18" i="4"/>
  <c r="B7" i="4"/>
  <c r="B47" i="4"/>
  <c r="B45" i="4"/>
  <c r="B43" i="4"/>
  <c r="B41" i="4"/>
  <c r="B38" i="4"/>
  <c r="B36" i="4"/>
  <c r="B31" i="4"/>
  <c r="B29" i="4"/>
  <c r="B14" i="4"/>
</calcChain>
</file>

<file path=xl/sharedStrings.xml><?xml version="1.0" encoding="utf-8"?>
<sst xmlns="http://schemas.openxmlformats.org/spreadsheetml/2006/main" count="113" uniqueCount="80">
  <si>
    <t>Vehicle Family ID</t>
  </si>
  <si>
    <t>CO2MPAS version</t>
  </si>
  <si>
    <t>Date/Time</t>
  </si>
  <si>
    <t>Type approval mode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</si>
  <si>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</si>
  <si>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</si>
  <si>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</si>
  <si>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</si>
  <si>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</si>
  <si>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</si>
  <si>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</si>
  <si>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deviation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</si>
  <si>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</si>
  <si>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</si>
  <si>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</si>
  <si>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</si>
  <si>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</si>
  <si>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</si>
  <si>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Fuel Type</t>
  </si>
  <si>
    <t>-</t>
  </si>
  <si>
    <t>Engine Capacity</t>
  </si>
  <si>
    <t>cc</t>
  </si>
  <si>
    <t>Gearbox type</t>
  </si>
  <si>
    <t>Turbo engine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</si>
  <si>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</si>
  <si>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</si>
  <si>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</si>
  <si>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</si>
  <si>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</si>
  <si>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</si>
  <si>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</si>
  <si>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</si>
  <si>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</si>
  <si>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</si>
  <si>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</si>
  <si>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</si>
  <si>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</si>
  <si>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</si>
  <si>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</si>
  <si>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</si>
  <si>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</si>
  <si>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</si>
  <si>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</si>
  <si>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</si>
  <si>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</si>
  <si>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</si>
  <si>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</si>
  <si>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</si>
  <si>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</si>
  <si>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start_stop_model</t>
  </si>
  <si>
    <t>engine_speed_model</t>
  </si>
  <si>
    <t>engine_coolant_temperature_model</t>
  </si>
  <si>
    <t>engine_cold_start_speed_model</t>
  </si>
  <si>
    <t>co2_params</t>
  </si>
  <si>
    <t>clutch_torque_converter_model</t>
  </si>
  <si>
    <t>at_model</t>
  </si>
  <si>
    <t>alternator_model</t>
  </si>
  <si>
    <t>Model_scores</t>
  </si>
  <si>
    <t>engine_is_turbo</t>
  </si>
  <si>
    <t>gear_box_type</t>
  </si>
  <si>
    <t>engine_capacity</t>
  </si>
  <si>
    <t>fuel_type</t>
  </si>
  <si>
    <t>Vehicle</t>
  </si>
  <si>
    <t>CO2MPAS_deviation</t>
  </si>
  <si>
    <t>TA_mode</t>
  </si>
  <si>
    <t>datetime</t>
  </si>
  <si>
    <t>dice_report</t>
  </si>
  <si>
    <t>report_type</t>
  </si>
  <si>
    <t>CO2MPAS_version</t>
  </si>
  <si>
    <t>vehicle_family_id</t>
  </si>
  <si>
    <t>vehicle-L</t>
  </si>
  <si>
    <t>vehicle-H</t>
  </si>
  <si>
    <t>Field</t>
  </si>
  <si>
    <t>alternator_model score (battery currents)</t>
  </si>
  <si>
    <t>alternator_model score (alternator currents)</t>
  </si>
  <si>
    <t>WLTP-H</t>
  </si>
  <si>
    <t>WLTP-L</t>
  </si>
  <si>
    <t>start_stop_model score (engine starts)</t>
  </si>
  <si>
    <t>start_stop_model score (on engine)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</si>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</sst>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7" fillId="5" borderId="3" xfId="1" applyNumberFormat="1" applyFont="1" applyFill="1" applyBorder="1" applyAlignment="1" applyProtection="1">
      <alignment horizontal="center" vertical="center"/>
      <protection hidden="1"/>
    </xf>
    <xf numFmtId="2" fontId="7" fillId="5" borderId="6" xfId="1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horizontal="center" vertical="top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2" fontId="7" fillId="5" borderId="1" xfId="1" applyNumberFormat="1" applyFont="1" applyFill="1" applyBorder="1" applyAlignment="1" applyProtection="1">
      <alignment horizontal="center" vertical="center"/>
      <protection hidden="1"/>
    </xf>
    <xf numFmtId="2" fontId="7" fillId="5" borderId="13" xfId="1" applyNumberFormat="1" applyFon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4" borderId="12" xfId="0" applyFont="1" applyFill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2" fontId="7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left" vertical="center"/>
      <protection hidden="1"/>
    </xf>
    <xf numFmtId="2" fontId="7" fillId="5" borderId="17" xfId="1" applyNumberFormat="1" applyFont="1" applyFill="1" applyBorder="1" applyAlignment="1" applyProtection="1">
      <alignment horizontal="center" vertical="center"/>
      <protection hidden="1"/>
    </xf>
    <xf numFmtId="2" fontId="7" fillId="5" borderId="1" xfId="1" applyNumberFormat="1" applyFont="1" applyFill="1" applyBorder="1" applyAlignment="1" applyProtection="1">
      <alignment horizontal="center" vertical="center"/>
      <protection hidden="1"/>
    </xf>
    <xf numFmtId="2" fontId="7" fillId="5" borderId="5" xfId="1" applyNumberFormat="1" applyFont="1" applyFill="1" applyBorder="1" applyAlignment="1" applyProtection="1">
      <alignment horizontal="center" vertical="center"/>
      <protection hidden="1"/>
    </xf>
    <xf numFmtId="0" fontId="1" fillId="3" borderId="10" xfId="1" applyFill="1" applyBorder="1" applyAlignment="1" applyProtection="1">
      <alignment horizontal="center" vertical="center"/>
      <protection hidden="1"/>
    </xf>
    <xf numFmtId="0" fontId="1" fillId="3" borderId="0" xfId="1" applyFill="1" applyBorder="1" applyAlignment="1" applyProtection="1">
      <alignment horizontal="center" vertical="center"/>
      <protection hidden="1"/>
    </xf>
    <xf numFmtId="2" fontId="7" fillId="5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2" fillId="6" borderId="8" xfId="0" applyFont="1" applyFill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3" fillId="3" borderId="10" xfId="1" applyFont="1" applyFill="1" applyBorder="1" applyAlignment="1" applyProtection="1">
      <alignment horizontal="center" vertical="center"/>
      <protection hidden="1"/>
    </xf>
    <xf numFmtId="0" fontId="3" fillId="3" borderId="0" xfId="1" applyFont="1" applyFill="1" applyBorder="1" applyAlignment="1" applyProtection="1">
      <alignment horizontal="center" vertical="center"/>
      <protection hidden="1"/>
    </xf>
    <xf numFmtId="0" fontId="2" fillId="4" borderId="18" xfId="0" applyFont="1" applyFill="1" applyBorder="1" applyAlignment="1" applyProtection="1">
      <alignment horizontal="center" vertical="center"/>
      <protection hidden="1"/>
    </xf>
    <xf numFmtId="0" fontId="2" fillId="4" borderId="19" xfId="0" applyFont="1" applyFill="1" applyBorder="1" applyAlignment="1" applyProtection="1">
      <alignment horizontal="center" vertical="center"/>
      <protection hidden="1"/>
    </xf>
    <xf numFmtId="0" fontId="2" fillId="4" borderId="20" xfId="0" applyFont="1" applyFill="1" applyBorder="1" applyAlignment="1" applyProtection="1">
      <alignment horizontal="center" vertical="center"/>
      <protection hidden="1"/>
    </xf>
    <xf numFmtId="0" fontId="2" fillId="4" borderId="21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2" fillId="4" borderId="22" xfId="0" applyFon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3" xfId="1" applyNumberFormat="1" applyFill="1" applyBorder="1" applyAlignment="1" applyProtection="1">
      <alignment horizontal="center" vertical="center"/>
      <protection hidden="1"/>
    </xf>
    <xf numFmtId="2" fontId="1" fillId="0" borderId="5" xfId="1" applyNumberFormat="1" applyFill="1" applyBorder="1" applyAlignment="1" applyProtection="1">
      <alignment horizontal="center"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3" xfId="1" applyNumberFormat="1" applyBorder="1" applyAlignment="1" applyProtection="1">
      <alignment horizontal="center" vertical="center"/>
      <protection hidden="1"/>
    </xf>
    <xf numFmtId="2" fontId="1" fillId="0" borderId="5" xfId="1" applyNumberFormat="1" applyBorder="1" applyAlignment="1" applyProtection="1">
      <alignment horizontal="center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3" fillId="5" borderId="5" xfId="1" applyNumberFormat="1" applyFont="1" applyFill="1" applyBorder="1" applyAlignment="1" applyProtection="1">
      <alignment horizontal="center" vertical="center"/>
      <protection hidden="1"/>
    </xf>
    <xf numFmtId="2" fontId="3" fillId="5" borderId="6" xfId="1" applyNumberFormat="1" applyFont="1" applyFill="1" applyBorder="1" applyAlignment="1" applyProtection="1">
      <alignment horizontal="center" vertical="center"/>
      <protection hidden="1"/>
    </xf>
  </cellXfs>
  <cellStyles count="4">
    <cellStyle name="Explanatory Text" xfId="1" builtinId="53"/>
    <cellStyle name="Followed Hyperlink" xfId="3" builtinId="9" hidden="1"/>
    <cellStyle name="Hyperlink" xfId="2" builtinId="8" hidden="1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view="pageLayout" workbookViewId="0">
      <selection activeCell="B6" sqref="B6:D6"/>
    </sheetView>
  </sheetViews>
  <sheetFormatPr baseColWidth="10" defaultColWidth="0" defaultRowHeight="0" customHeight="1" zeroHeight="1" x14ac:dyDescent="0.2"/>
  <cols>
    <col min="1" max="1" width="39.83203125" style="5" bestFit="1" customWidth="1"/>
    <col min="2" max="7" width="7" style="5" customWidth="1"/>
    <col min="8" max="8" width="10.1640625" style="5" bestFit="1" customWidth="1"/>
    <col min="9" max="9" width="0.5" style="5" hidden="1" customWidth="1"/>
    <col min="10" max="16384" width="8.83203125" style="5" hidden="1"/>
  </cols>
  <sheetData>
    <row r="1" spans="1:21" ht="15.75" customHeight="1" x14ac:dyDescent="0.2">
      <c r="A1" s="1" t="s">
        <v>0</v>
      </c>
      <c r="B1" s="45" t="str">
        <f ca="1">IFERROR(INDIRECT("summary!_info_vehicle_family_id_Value"),"")</f>
        <v/>
      </c>
      <c r="C1" s="45"/>
      <c r="D1" s="45"/>
      <c r="E1" s="41"/>
      <c r="F1" s="42"/>
      <c r="G1" s="4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2">
      <c r="A2" s="1" t="s">
        <v>1</v>
      </c>
      <c r="B2" s="45" t="str">
        <f ca="1">IFERROR(INDIRECT("summary!_info_CO2MPAS_version_Value"),"")</f>
        <v/>
      </c>
      <c r="C2" s="45"/>
      <c r="D2" s="45"/>
      <c r="E2" s="41"/>
      <c r="F2" s="42"/>
      <c r="G2" s="4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1" t="s">
        <v>2</v>
      </c>
      <c r="B3" s="45" t="str">
        <f ca="1">IFERROR(INDIRECT("summary!_info_Simulation_started_Value"),"")</f>
        <v/>
      </c>
      <c r="C3" s="45"/>
      <c r="D3" s="45"/>
      <c r="E3" s="41"/>
      <c r="F3" s="42"/>
      <c r="G3" s="4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2">
      <c r="A4" s="1" t="s">
        <v>3</v>
      </c>
      <c r="B4" s="46" t="str">
        <f ca="1">IFERROR(INDIRECT("summary!_info_type_approval_mode_Value"),"")</f>
        <v/>
      </c>
      <c r="C4" s="46"/>
      <c r="D4" s="46"/>
      <c r="E4" s="50"/>
      <c r="F4" s="51"/>
      <c r="G4" s="5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.75" customHeight="1" thickBot="1" x14ac:dyDescent="0.25">
      <c r="A5" s="4"/>
      <c r="B5" s="4"/>
      <c r="C5" s="4"/>
      <c r="D5" s="4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5.75" customHeight="1" thickBot="1" x14ac:dyDescent="0.25">
      <c r="A6" s="33" t="s">
        <v>4</v>
      </c>
      <c r="B6" s="52" t="s">
        <v>5</v>
      </c>
      <c r="C6" s="53"/>
      <c r="D6" s="53"/>
      <c r="E6" s="52" t="s">
        <v>6</v>
      </c>
      <c r="F6" s="53"/>
      <c r="G6" s="55"/>
      <c r="H6" s="8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.75" customHeight="1" x14ac:dyDescent="0.2">
      <c r="A7" s="19" t="s">
        <v>8</v>
      </c>
      <c r="B7" s="69" t="str">
        <f ca="1">IFERROR(INDIRECT("summary!_results_nedc_h_prediction_target_declared_co2_emission_declared_value__CO2g_km_"),"")</f>
        <v/>
      </c>
      <c r="C7" s="69"/>
      <c r="D7" s="69"/>
      <c r="E7" s="69" t="str">
        <f ca="1">IFERROR(INDIRECT("summary!_results_nedc_l_prediction_target_declared_co2_emission_declared_value__CO2g_km_"),"")</f>
        <v/>
      </c>
      <c r="F7" s="69"/>
      <c r="G7" s="70"/>
      <c r="H7" s="7" t="s">
        <v>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.75" customHeight="1" x14ac:dyDescent="0.2">
      <c r="A8" s="9" t="s">
        <v>10</v>
      </c>
      <c r="B8" s="57" t="str">
        <f ca="1">IFERROR(INDIRECT("summary!_results_nedc_h_prediction_output_declared_co2_emission_declared_value__CO2g_km_"),"")</f>
        <v/>
      </c>
      <c r="C8" s="57"/>
      <c r="D8" s="57"/>
      <c r="E8" s="57" t="str">
        <f ca="1">IFERROR(INDIRECT("summary!_results_nedc_l_prediction_output_declared_co2_emission_declared_value__CO2g_km_"),"")</f>
        <v/>
      </c>
      <c r="F8" s="57"/>
      <c r="G8" s="66"/>
      <c r="H8" s="7" t="s">
        <v>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.75" customHeight="1" thickBot="1" x14ac:dyDescent="0.25">
      <c r="A9" s="10" t="s">
        <v>11</v>
      </c>
      <c r="B9" s="71" t="str">
        <f ca="1">IFERROR((INDIRECT("summary!_comparison_declared_co2_emission_value_prediction_nedc_h_prediction_target_ratio")-1)*100,"")</f>
        <v/>
      </c>
      <c r="C9" s="71"/>
      <c r="D9" s="71"/>
      <c r="E9" s="71" t="str">
        <f ca="1">IFERROR((INDIRECT("summary!_comparison_declared_co2_emission_value_prediction_nedc_l_prediction_target_ratio")-1)*100, "")</f>
        <v/>
      </c>
      <c r="F9" s="71"/>
      <c r="G9" s="72"/>
      <c r="H9" s="7" t="s">
        <v>12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75" customHeight="1" x14ac:dyDescent="0.2">
      <c r="A10" s="11" t="s">
        <v>13</v>
      </c>
      <c r="B10" s="12"/>
      <c r="C10" s="12"/>
      <c r="D10" s="12"/>
      <c r="E10" s="12"/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5.75" customHeight="1" thickBot="1" x14ac:dyDescent="0.25">
      <c r="A11" s="4"/>
      <c r="B11" s="14"/>
      <c r="C11" s="14"/>
      <c r="D11" s="14"/>
      <c r="E11" s="14"/>
      <c r="F11" s="14"/>
      <c r="G11" s="3"/>
      <c r="H11" s="7"/>
      <c r="I11" s="7"/>
      <c r="J11" s="7"/>
      <c r="K11" s="7"/>
      <c r="L11" s="15"/>
      <c r="M11" s="7"/>
      <c r="N11" s="7"/>
      <c r="O11" s="7"/>
      <c r="P11" s="7"/>
      <c r="Q11" s="7"/>
      <c r="R11" s="7"/>
      <c r="S11" s="7"/>
      <c r="T11" s="7"/>
      <c r="U11" s="7"/>
    </row>
    <row r="12" spans="1:21" ht="15.75" customHeight="1" thickBot="1" x14ac:dyDescent="0.25">
      <c r="A12" s="33" t="s">
        <v>14</v>
      </c>
      <c r="B12" s="52" t="s">
        <v>5</v>
      </c>
      <c r="C12" s="53"/>
      <c r="D12" s="54"/>
      <c r="E12" s="52" t="s">
        <v>6</v>
      </c>
      <c r="F12" s="53"/>
      <c r="G12" s="5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 x14ac:dyDescent="0.2">
      <c r="A13" s="19" t="s">
        <v>15</v>
      </c>
      <c r="B13" s="61" t="str">
        <f ca="1">IFERROR(INDIRECT("summary!_results_nedc_h_prediction_output_co2_emission_value__CO2g_km_"),"")</f>
        <v/>
      </c>
      <c r="C13" s="61"/>
      <c r="D13" s="61"/>
      <c r="E13" s="61" t="str">
        <f ca="1">IFERROR(INDIRECT("summary!_results_nedc_l_prediction_output_co2_emission_value__CO2g_km_"),"")</f>
        <v/>
      </c>
      <c r="F13" s="61"/>
      <c r="G13" s="62"/>
      <c r="H13" s="7" t="s">
        <v>9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 x14ac:dyDescent="0.2">
      <c r="A14" s="9" t="s">
        <v>16</v>
      </c>
      <c r="B14" s="57" t="str">
        <f ca="1">IFERROR(INDIRECT("summary!_results_nedc_h_prediction_output_co2_emission_UDC__CO2g_km_"),"")</f>
        <v/>
      </c>
      <c r="C14" s="57"/>
      <c r="D14" s="57"/>
      <c r="E14" s="57" t="str">
        <f ca="1">IFERROR(INDIRECT("summary!_results_nedc_l_prediction_output_co2_emission_UDC__CO2g_km_"),"")</f>
        <v/>
      </c>
      <c r="F14" s="57"/>
      <c r="G14" s="66"/>
      <c r="H14" s="7" t="s">
        <v>9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 thickBot="1" x14ac:dyDescent="0.25">
      <c r="A15" s="10" t="s">
        <v>17</v>
      </c>
      <c r="B15" s="67" t="str">
        <f ca="1">IFERROR(INDIRECT("summary!_results_nedc_h_prediction_output_co2_emission_EUDC__CO2g_km_"),"")</f>
        <v/>
      </c>
      <c r="C15" s="67"/>
      <c r="D15" s="67"/>
      <c r="E15" s="67" t="str">
        <f ca="1">IFERROR(INDIRECT("summary!_results_nedc_l_prediction_output_co2_emission_EUDC__CO2g_km_"),"")</f>
        <v/>
      </c>
      <c r="F15" s="67"/>
      <c r="G15" s="68"/>
      <c r="H15" s="7" t="s">
        <v>9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 thickBot="1" x14ac:dyDescent="0.25">
      <c r="A16" s="16"/>
      <c r="B16" s="17"/>
      <c r="C16" s="17"/>
      <c r="D16" s="17"/>
      <c r="E16" s="17"/>
      <c r="F16" s="17"/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 thickBot="1" x14ac:dyDescent="0.25">
      <c r="A17" s="18"/>
      <c r="B17" s="58" t="s">
        <v>5</v>
      </c>
      <c r="C17" s="53"/>
      <c r="D17" s="54"/>
      <c r="E17" s="52" t="s">
        <v>6</v>
      </c>
      <c r="F17" s="53"/>
      <c r="G17" s="55"/>
      <c r="H17" s="8" t="s">
        <v>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 x14ac:dyDescent="0.2">
      <c r="A18" s="19" t="s">
        <v>18</v>
      </c>
      <c r="B18" s="61" t="str">
        <f ca="1">IFERROR(INDIRECT("summary!_results_nedc_h_prediction_output_vehicle_fuel_type__"),"")</f>
        <v/>
      </c>
      <c r="C18" s="61"/>
      <c r="D18" s="61"/>
      <c r="E18" s="61" t="str">
        <f ca="1">IFERROR(INDIRECT("summary!_results_nedc_l_prediction_output_vehicle_fuel_type__"),"")</f>
        <v/>
      </c>
      <c r="F18" s="61"/>
      <c r="G18" s="62"/>
      <c r="H18" s="7" t="s">
        <v>19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 x14ac:dyDescent="0.2">
      <c r="A19" s="9" t="s">
        <v>20</v>
      </c>
      <c r="B19" s="56" t="str">
        <f ca="1">IFERROR(INDIRECT("summary!_results_nedc_h_prediction_output_vehicle_engine_capacity__cm3_"),"")</f>
        <v/>
      </c>
      <c r="C19" s="56"/>
      <c r="D19" s="56"/>
      <c r="E19" s="56" t="str">
        <f ca="1">IFERROR(INDIRECT("summary!_results_nedc_l_prediction_output_vehicle_engine_capacity__cm3_"),"")</f>
        <v/>
      </c>
      <c r="F19" s="56"/>
      <c r="G19" s="63"/>
      <c r="H19" s="7" t="s">
        <v>21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 x14ac:dyDescent="0.2">
      <c r="A20" s="9" t="s">
        <v>22</v>
      </c>
      <c r="B20" s="56" t="str">
        <f ca="1">IFERROR(INDIRECT("summary!_results_nedc_h_prediction_output_vehicle_gear_box_type__"),"")</f>
        <v/>
      </c>
      <c r="C20" s="56"/>
      <c r="D20" s="56"/>
      <c r="E20" s="56" t="str">
        <f ca="1">IFERROR(INDIRECT("summary!_results_nedc_l_prediction_output_vehicle_gear_box_type__"),"")</f>
        <v/>
      </c>
      <c r="F20" s="56"/>
      <c r="G20" s="63"/>
      <c r="H20" s="7" t="s">
        <v>19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 thickBot="1" x14ac:dyDescent="0.25">
      <c r="A21" s="10" t="s">
        <v>23</v>
      </c>
      <c r="B21" s="64" t="str">
        <f ca="1">IFERROR(INDIRECT("summary!_results_nedc_h_prediction_output_vehicle_engine_is_turbo__"),"")</f>
        <v/>
      </c>
      <c r="C21" s="64"/>
      <c r="D21" s="64"/>
      <c r="E21" s="64" t="str">
        <f ca="1">IFERROR(INDIRECT("summary!_results_nedc_l_prediction_output_vehicle_engine_is_turbo__"),"")</f>
        <v/>
      </c>
      <c r="F21" s="64"/>
      <c r="G21" s="65"/>
      <c r="H21" s="7" t="s">
        <v>19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 thickBot="1" x14ac:dyDescent="0.25">
      <c r="A22" s="16"/>
      <c r="B22" s="32"/>
      <c r="C22" s="32"/>
      <c r="D22" s="32"/>
      <c r="E22" s="32"/>
      <c r="F22" s="32"/>
      <c r="G22" s="3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 thickBot="1" x14ac:dyDescent="0.25">
      <c r="A23" s="37"/>
      <c r="B23" s="33" t="s">
        <v>79</v>
      </c>
      <c r="C23" s="34" t="s">
        <v>75</v>
      </c>
      <c r="D23" s="34" t="s">
        <v>76</v>
      </c>
      <c r="E23" s="34" t="s">
        <v>79</v>
      </c>
      <c r="F23" s="34" t="s">
        <v>75</v>
      </c>
      <c r="G23" s="35" t="s">
        <v>76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 x14ac:dyDescent="0.2">
      <c r="A24" s="19" t="s">
        <v>73</v>
      </c>
      <c r="B24" s="43" t="str">
        <f ca="1">IFERROR(INDIRECT("data.calibration.model_scores!_score_by_model_alternator_model_wltp_h_score"),"")</f>
        <v/>
      </c>
      <c r="C24" s="31" t="str">
        <f ca="1">IFERROR(INDIRECT("data.calibration.model_scores!_scores_alternator_model_battery_currents_wltp_h_wltp_h_score"),"")</f>
        <v/>
      </c>
      <c r="D24" s="31" t="str">
        <f ca="1">IFERROR(INDIRECT("data.calibration.model_scores!_scores_alternator_model_battery_currents_wltp_h_wltp_l_score"),"")</f>
        <v/>
      </c>
      <c r="E24" s="43" t="str">
        <f ca="1">IFERROR(INDIRECT("data.calibration.model_scores!_score_by_model_alternator_model_wltp_l_score"),"")</f>
        <v/>
      </c>
      <c r="F24" s="31" t="str">
        <f ca="1">IFERROR(INDIRECT("data.calibration.model_scores!_scores_alternator_model_battery_currents_wltp_l_wltp_h_score"),"")</f>
        <v/>
      </c>
      <c r="G24" s="38" t="str">
        <f ca="1">IFERROR(INDIRECT("data.calibration.model_scores!_scores_alternator_model_battery_currents_wltp_l_wltp_l_score"),"")</f>
        <v/>
      </c>
      <c r="H24" s="44" t="s">
        <v>24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 x14ac:dyDescent="0.2">
      <c r="A25" s="9" t="s">
        <v>74</v>
      </c>
      <c r="B25" s="39"/>
      <c r="C25" s="30" t="str">
        <f ca="1">IFERROR(INDIRECT("data.calibration.model_scores!_scores_alternator_model_alternator_currents_wltp_h_wltp_h_score"),"")</f>
        <v/>
      </c>
      <c r="D25" s="30" t="str">
        <f ca="1">IFERROR(INDIRECT("data.calibration.model_scores!_scores_alternator_model_alternator_currents_wltp_h_wltp_l_score"),"")</f>
        <v/>
      </c>
      <c r="E25" s="39"/>
      <c r="F25" s="30" t="str">
        <f ca="1">IFERROR(INDIRECT("data.calibration.model_scores!_scores_alternator_model_alternator_currents_wltp_l_wltp_h_score"),"")</f>
        <v/>
      </c>
      <c r="G25" s="21" t="str">
        <f ca="1">IFERROR(INDIRECT("data.calibration.model_scores!_scores_alternator_model_alternator_currents_wltp_l_wltp_l_score"),"")</f>
        <v/>
      </c>
      <c r="H25" s="4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 x14ac:dyDescent="0.2">
      <c r="A26" s="9" t="s">
        <v>25</v>
      </c>
      <c r="B26" s="30" t="str">
        <f ca="1">IFERROR(INDIRECT("data.calibration.model_scores!_score_by_model_at_model_wltp_h_score"),"")</f>
        <v/>
      </c>
      <c r="C26" s="30" t="str">
        <f ca="1">IFERROR(-INDIRECT("data.calibration.model_scores!_scores_at_model_gears_wltp_h_wltp_h_score"),"")</f>
        <v/>
      </c>
      <c r="D26" s="30" t="str">
        <f ca="1">IFERROR(-INDIRECT("data.calibration.model_scores!_scores_at_model_gears_wltp_h_wltp_l_score"),"")</f>
        <v/>
      </c>
      <c r="E26" s="30" t="str">
        <f ca="1">IFERROR(INDIRECT("data.calibration.model_scores!_score_by_model_at_model_wltp_l_score"),"")</f>
        <v/>
      </c>
      <c r="F26" s="30" t="str">
        <f ca="1">IFERROR(-INDIRECT("data.calibration.model_scores!_scores_at_model_gears_wltp_l_wltp_h_score"),"")</f>
        <v/>
      </c>
      <c r="G26" s="21" t="str">
        <f ca="1">IFERROR(-INDIRECT("data.calibration.model_scores!_scores_at_model_gears_wltp_l_wltp_l_score"),"")</f>
        <v/>
      </c>
      <c r="H26" s="7" t="s">
        <v>19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.75" customHeight="1" x14ac:dyDescent="0.2">
      <c r="A27" s="9" t="s">
        <v>26</v>
      </c>
      <c r="B27" s="30" t="str">
        <f ca="1">IFERROR(INDIRECT("data.calibration.model_scores!_score_by_model_clutch_torque_converter_model_wltp_h_score"),"")</f>
        <v/>
      </c>
      <c r="C27" s="30" t="str">
        <f ca="1">IFERROR(INDIRECT("data.calibration.model_scores!_scores_clutch_torque_converter_model_engine_speeds_out_wltp_h_wltp_h_score"),"")</f>
        <v/>
      </c>
      <c r="D27" s="30" t="str">
        <f ca="1">IFERROR(INDIRECT("data.calibration.model_scores!_scores_clutch_torque_converter_model_engine_speeds_out_wltp_h_wltp_l_score"),"")</f>
        <v/>
      </c>
      <c r="E27" s="30" t="str">
        <f ca="1">IFERROR(INDIRECT("data.calibration.model_scores!_score_by_model_clutch_torque_converter_model_wltp_l_score"),"")</f>
        <v/>
      </c>
      <c r="F27" s="30" t="str">
        <f ca="1">IFERROR(INDIRECT("data.calibration.model_scores!_scores_clutch_torque_converter_model_engine_speeds_out_wltp_l_wltp_h_score"),"")</f>
        <v/>
      </c>
      <c r="G27" s="21" t="str">
        <f ca="1">IFERROR(INDIRECT("data.calibration.model_scores!_scores_clutch_torque_converter_model_engine_speeds_out_wltp_l_wltp_l_score"),"")</f>
        <v/>
      </c>
      <c r="H27" s="7" t="s">
        <v>27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.75" customHeight="1" x14ac:dyDescent="0.2">
      <c r="A28" s="9" t="s">
        <v>28</v>
      </c>
      <c r="B28" s="30" t="str">
        <f ca="1">IFERROR(INDIRECT("data.calibration.model_scores!_score_by_model_co2_params_wltp_h_score"),"")</f>
        <v/>
      </c>
      <c r="C28" s="30" t="str">
        <f ca="1">IFERROR(INDIRECT("data.calibration.model_scores!_scores_co2_params_identified_co2_emissions_wltp_h_wltp_h_score"),"")</f>
        <v/>
      </c>
      <c r="D28" s="30" t="str">
        <f ca="1">IFERROR(INDIRECT("data.calibration.model_scores!_scores_co2_params_identified_co2_emissions_wltp_h_wltp_l_score"),"")</f>
        <v/>
      </c>
      <c r="E28" s="30" t="str">
        <f ca="1">IFERROR(INDIRECT("data.calibration.model_scores!_score_by_model_co2_params_wltp_l_score"),"")</f>
        <v/>
      </c>
      <c r="F28" s="30" t="str">
        <f ca="1">IFERROR(INDIRECT("data.calibration.model_scores!_scores_co2_params_identified_co2_emissions_wltp_l_wltp_h_score"),"")</f>
        <v/>
      </c>
      <c r="G28" s="21" t="str">
        <f ca="1">IFERROR(INDIRECT("data.calibration.model_scores!_scores_co2_params_identified_co2_emissions_wltp_l_wltp_l_score"),"")</f>
        <v/>
      </c>
      <c r="H28" s="7" t="s">
        <v>29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.75" customHeight="1" x14ac:dyDescent="0.2">
      <c r="A29" s="9" t="s">
        <v>30</v>
      </c>
      <c r="B29" s="30" t="str">
        <f ca="1">IFERROR(INDIRECT("data.calibration.model_scores!_score_by_model_engine_cold_start_speed_model_wltp_h_score"),"")</f>
        <v/>
      </c>
      <c r="C29" s="30" t="str">
        <f ca="1">IFERROR(INDIRECT("data.calibration.model_scores!_scores_engine_cold_start_speed_model_engine_speeds_out_wltp_h_wltp_h_score"),"")</f>
        <v/>
      </c>
      <c r="D29" s="30" t="str">
        <f ca="1">IFERROR(INDIRECT("data.calibration.model_scores!_scores_engine_cold_start_speed_model_engine_speeds_out_wltp_h_wltp_l_score"),"")</f>
        <v/>
      </c>
      <c r="E29" s="30" t="str">
        <f ca="1">IFERROR(INDIRECT("data.calibration.model_scores!_score_by_model_engine_cold_start_speed_model_wltp_l_score"),"")</f>
        <v/>
      </c>
      <c r="F29" s="30" t="str">
        <f ca="1">IFERROR(INDIRECT("data.calibration.model_scores!_scores_engine_cold_start_speed_model_engine_speeds_out_wltp_l_wltp_h_score"),"")</f>
        <v/>
      </c>
      <c r="G29" s="21" t="str">
        <f ca="1">IFERROR(INDIRECT("data.calibration.model_scores!_scores_engine_cold_start_speed_model_engine_speeds_out_wltp_l_wltp_l_score"),"")</f>
        <v/>
      </c>
      <c r="H29" s="7" t="s">
        <v>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.75" customHeight="1" x14ac:dyDescent="0.2">
      <c r="A30" s="9" t="s">
        <v>31</v>
      </c>
      <c r="B30" s="30" t="str">
        <f ca="1">IFERROR(INDIRECT("data.calibration.model_scores!_score_by_model_engine_coolant_temperature_model_wltp_h_score"),"")</f>
        <v/>
      </c>
      <c r="C30" s="30" t="str">
        <f ca="1">IFERROR(INDIRECT("data.calibration.model_scores!_scores_engine_coolant_temperature_model_engine_coolant_temperatures_wltp_h_wltp_h_score"),"")</f>
        <v/>
      </c>
      <c r="D30" s="30" t="str">
        <f ca="1">IFERROR(INDIRECT("data.calibration.model_scores!_scores_engine_coolant_temperature_model_engine_coolant_temperatures_wltp_h_wltp_l_score"),"")</f>
        <v/>
      </c>
      <c r="E30" s="30" t="str">
        <f ca="1">IFERROR(INDIRECT("data.calibration.model_scores!_score_by_model_engine_coolant_temperature_model_wltp_l_score"),"")</f>
        <v/>
      </c>
      <c r="F30" s="30" t="str">
        <f ca="1">IFERROR(INDIRECT("data.calibration.model_scores!_scores_engine_coolant_temperature_model_engine_coolant_temperatures_wltp_l_wltp_h_score"),"")</f>
        <v/>
      </c>
      <c r="G30" s="21" t="str">
        <f ca="1">IFERROR(INDIRECT("data.calibration.model_scores!_scores_engine_coolant_temperature_model_engine_coolant_temperatures_wltp_l_wltp_l_score"),"")</f>
        <v/>
      </c>
      <c r="H30" s="7" t="s">
        <v>32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.75" customHeight="1" x14ac:dyDescent="0.2">
      <c r="A31" s="9" t="s">
        <v>33</v>
      </c>
      <c r="B31" s="30" t="str">
        <f ca="1">IFERROR(INDIRECT("data.calibration.model_scores!_score_by_model_engine_speed_model_wltp_h_score"),"")</f>
        <v/>
      </c>
      <c r="C31" s="30" t="str">
        <f ca="1">IFERROR(INDIRECT("data.calibration.model_scores!_scores_engine_speed_model_engine_speeds_out_wltp_h_wltp_h_score"),"")</f>
        <v/>
      </c>
      <c r="D31" s="30" t="str">
        <f ca="1">IFERROR(INDIRECT("data.calibration.model_scores!_scores_engine_speed_model_engine_speeds_out_wltp_h_wltp_l_score"),"")</f>
        <v/>
      </c>
      <c r="E31" s="30" t="str">
        <f ca="1">IFERROR(INDIRECT("data.calibration.model_scores!_score_by_model_engine_speed_model_wltp_l_score"),"")</f>
        <v/>
      </c>
      <c r="F31" s="30" t="str">
        <f ca="1">IFERROR(INDIRECT("data.calibration.model_scores!_scores_engine_speed_model_engine_speeds_out_wltp_l_wltp_h_score"),"")</f>
        <v/>
      </c>
      <c r="G31" s="21" t="str">
        <f ca="1">IFERROR(INDIRECT("data.calibration.model_scores!_scores_engine_speed_model_engine_speeds_out_wltp_l_wltp_l_score"),"")</f>
        <v/>
      </c>
      <c r="H31" s="7" t="s">
        <v>27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.75" customHeight="1" x14ac:dyDescent="0.2">
      <c r="A32" s="9" t="s">
        <v>77</v>
      </c>
      <c r="B32" s="39" t="str">
        <f ca="1">IFERROR(INDIRECT("data.calibration.model_scores!_score_by_model_start_stop_model_wltp_h_score"),"")</f>
        <v/>
      </c>
      <c r="C32" s="30" t="str">
        <f ca="1">IFERROR(-INDIRECT("data.calibration.model_scores!_scores_start_stop_model_engine_starts_wltp_h_wltp_h_score"),"")</f>
        <v/>
      </c>
      <c r="D32" s="30" t="str">
        <f ca="1">IFERROR(-INDIRECT("data.calibration.model_scores!_scores_start_stop_model_engine_starts_wltp_h_wltp_l_score"),"")</f>
        <v/>
      </c>
      <c r="E32" s="39" t="str">
        <f ca="1">IFERROR(INDIRECT("data.calibration.model_scores!_score_by_model_start_stop_model_wltp_l_score"),"")</f>
        <v/>
      </c>
      <c r="F32" s="30" t="str">
        <f ca="1">IFERROR(-INDIRECT("data.calibration.model_scores!_scores_start_stop_model_engine_starts_wltp_l_wltp_h_score"),"")</f>
        <v/>
      </c>
      <c r="G32" s="21" t="str">
        <f ca="1">IFERROR(-INDIRECT("data.calibration.model_scores!_scores_start_stop_model_engine_starts_wltp_l_wltp_l_score"),"")</f>
        <v/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.75" customHeight="1" thickBot="1" x14ac:dyDescent="0.25">
      <c r="A33" s="10" t="s">
        <v>78</v>
      </c>
      <c r="B33" s="40"/>
      <c r="C33" s="36" t="str">
        <f ca="1">IFERROR(-INDIRECT("data.calibration.model_scores!_scores_start_stop_model_on_engine_wltp_h_wltp_h_score"),"")</f>
        <v/>
      </c>
      <c r="D33" s="36" t="str">
        <f ca="1">IFERROR(-INDIRECT("data.calibration.model_scores!_scores_start_stop_model_on_engine_wltp_h_wltp_l_score"),"")</f>
        <v/>
      </c>
      <c r="E33" s="40"/>
      <c r="F33" s="36" t="str">
        <f ca="1">IFERROR(-INDIRECT("data.calibration.model_scores!_scores_start_stop_model_on_engine_wltp_l_wltp_h_score"),"")</f>
        <v/>
      </c>
      <c r="G33" s="22" t="str">
        <f ca="1">IFERROR(-INDIRECT("data.calibration.model_scores!_scores_start_stop_model_on_engine_wltp_l_wltp_l_score"),"")</f>
        <v/>
      </c>
      <c r="H33" s="7" t="s">
        <v>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.75" customHeight="1" x14ac:dyDescent="0.2">
      <c r="A34" s="4"/>
      <c r="B34" s="14"/>
      <c r="C34" s="14"/>
      <c r="D34" s="14"/>
      <c r="E34" s="14"/>
      <c r="F34" s="14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.75" customHeight="1" x14ac:dyDescent="0.2">
      <c r="A35" s="23" t="s">
        <v>34</v>
      </c>
      <c r="B35" s="47" t="s">
        <v>5</v>
      </c>
      <c r="C35" s="48"/>
      <c r="D35" s="49"/>
      <c r="E35" s="47" t="s">
        <v>6</v>
      </c>
      <c r="F35" s="48"/>
      <c r="G35" s="4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.75" customHeight="1" x14ac:dyDescent="0.2">
      <c r="A36" s="24" t="s">
        <v>35</v>
      </c>
      <c r="B36" s="57" t="str">
        <f ca="1">IFERROR(INDIRECT("summary!_results_nedc_h_prediction_output_vehicle_f0__N_"),"")</f>
        <v/>
      </c>
      <c r="C36" s="57"/>
      <c r="D36" s="57"/>
      <c r="E36" s="57" t="str">
        <f ca="1">IFERROR(INDIRECT("summary!_results_nedc_l_prediction_output_vehicle_f0__N_"),"")</f>
        <v/>
      </c>
      <c r="F36" s="57"/>
      <c r="G36" s="57"/>
      <c r="H36" s="7" t="s">
        <v>36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.75" customHeight="1" x14ac:dyDescent="0.2">
      <c r="A37" s="25" t="s">
        <v>37</v>
      </c>
      <c r="B37" s="59" t="str">
        <f ca="1">IFERROR(INDIRECT("summary!_results_nedc_h_prediction_output_vehicle_f1__N__km_h__"),"")</f>
        <v/>
      </c>
      <c r="C37" s="59"/>
      <c r="D37" s="59"/>
      <c r="E37" s="59" t="str">
        <f ca="1">IFERROR(INDIRECT("summary!_results_nedc_l_prediction_output_vehicle_f1__N__km_h__"),"")</f>
        <v/>
      </c>
      <c r="F37" s="59"/>
      <c r="G37" s="59"/>
      <c r="H37" s="7" t="s">
        <v>38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5.75" customHeight="1" x14ac:dyDescent="0.2">
      <c r="A38" s="25" t="s">
        <v>39</v>
      </c>
      <c r="B38" s="59" t="str">
        <f ca="1">IFERROR(INDIRECT("summary!_results_nedc_h_prediction_output_vehicle_f2__N__km_h__2_"),"")</f>
        <v/>
      </c>
      <c r="C38" s="59"/>
      <c r="D38" s="59"/>
      <c r="E38" s="59" t="str">
        <f ca="1">IFERROR(INDIRECT("summary!_results_nedc_l_prediction_output_vehicle_f2__N__km_h__2_"),"")</f>
        <v/>
      </c>
      <c r="F38" s="59"/>
      <c r="G38" s="59"/>
      <c r="H38" s="7" t="s">
        <v>40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.75" customHeight="1" x14ac:dyDescent="0.2">
      <c r="A39" s="24" t="s">
        <v>41</v>
      </c>
      <c r="B39" s="60" t="str">
        <f ca="1">IFERROR(INDIRECT("summary!_results_nedc_h_prediction_output_vehicle_mass__kg_"),"")</f>
        <v/>
      </c>
      <c r="C39" s="60"/>
      <c r="D39" s="60"/>
      <c r="E39" s="60" t="str">
        <f ca="1">IFERROR(INDIRECT("summary!_results_nedc_l_prediction_output_vehicle_mass__kg_"),"")</f>
        <v/>
      </c>
      <c r="F39" s="60"/>
      <c r="G39" s="60"/>
      <c r="H39" s="26" t="s">
        <v>42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.75" customHeight="1" x14ac:dyDescent="0.2">
      <c r="A40" s="23" t="s">
        <v>43</v>
      </c>
      <c r="B40" s="47" t="s">
        <v>5</v>
      </c>
      <c r="C40" s="48"/>
      <c r="D40" s="49"/>
      <c r="E40" s="47" t="s">
        <v>6</v>
      </c>
      <c r="F40" s="48"/>
      <c r="G40" s="4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5.75" customHeight="1" x14ac:dyDescent="0.2">
      <c r="A41" s="24" t="s">
        <v>35</v>
      </c>
      <c r="B41" s="57" t="str">
        <f ca="1">IFERROR(INDIRECT("summary!_results_wltp_h_calibration_output_vehicle_f0__N_"),"")</f>
        <v/>
      </c>
      <c r="C41" s="57"/>
      <c r="D41" s="57"/>
      <c r="E41" s="57" t="str">
        <f ca="1">IFERROR(INDIRECT("summary!_results_wltp_l_calibration_output_vehicle_f0__N_"),"")</f>
        <v/>
      </c>
      <c r="F41" s="57"/>
      <c r="G41" s="57"/>
      <c r="H41" s="7" t="s">
        <v>36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5.75" customHeight="1" x14ac:dyDescent="0.2">
      <c r="A42" s="25" t="s">
        <v>37</v>
      </c>
      <c r="B42" s="59" t="str">
        <f ca="1">IFERROR(INDIRECT("summary!_results_wltp_h_calibration_output_vehicle_f1__N__km_h__"),"")</f>
        <v/>
      </c>
      <c r="C42" s="59"/>
      <c r="D42" s="59"/>
      <c r="E42" s="59" t="str">
        <f ca="1">IFERROR(INDIRECT("summary!_results_wltp_l_calibration_output_vehicle_f1__N__km_h__"),"")</f>
        <v/>
      </c>
      <c r="F42" s="59"/>
      <c r="G42" s="59"/>
      <c r="H42" s="7" t="s">
        <v>38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5.75" customHeight="1" x14ac:dyDescent="0.2">
      <c r="A43" s="25" t="s">
        <v>39</v>
      </c>
      <c r="B43" s="59" t="str">
        <f ca="1">IFERROR(INDIRECT("summary!_results_wltp_h_calibration_output_vehicle_f2__N__km_h__2_"),"")</f>
        <v/>
      </c>
      <c r="C43" s="59"/>
      <c r="D43" s="59"/>
      <c r="E43" s="59" t="str">
        <f ca="1">IFERROR(INDIRECT("summary!_results_wltp_l_calibration_output_vehicle_f2__N__km_h__2_"),"")</f>
        <v/>
      </c>
      <c r="F43" s="59"/>
      <c r="G43" s="59"/>
      <c r="H43" s="7" t="s">
        <v>40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5.75" customHeight="1" x14ac:dyDescent="0.2">
      <c r="A44" s="24" t="s">
        <v>44</v>
      </c>
      <c r="B44" s="60" t="str">
        <f ca="1">IFERROR(INDIRECT("summary!_results_wltp_h_calibration_output_vehicle_mass__kg_"),"")</f>
        <v/>
      </c>
      <c r="C44" s="60"/>
      <c r="D44" s="60"/>
      <c r="E44" s="60" t="str">
        <f ca="1">IFERROR(INDIRECT("summary!_results_wltp_l_calibration_output_vehicle_mass__kg_"),"")</f>
        <v/>
      </c>
      <c r="F44" s="60"/>
      <c r="G44" s="60"/>
      <c r="H44" s="26" t="s">
        <v>42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5.75" customHeight="1" x14ac:dyDescent="0.2">
      <c r="A45" s="24" t="s">
        <v>45</v>
      </c>
      <c r="B45" s="57" t="str">
        <f ca="1">IFERROR(INDIRECT("summary!_results_wltp_h_calibration_output_co2_emission_low__CO2g_km_"),"")</f>
        <v/>
      </c>
      <c r="C45" s="57"/>
      <c r="D45" s="57"/>
      <c r="E45" s="57" t="str">
        <f ca="1">IFERROR(INDIRECT("summary!_results_wltp_l_calibration_output_co2_emission_low__CO2g_km_"),"")</f>
        <v/>
      </c>
      <c r="F45" s="57"/>
      <c r="G45" s="57"/>
      <c r="H45" s="26" t="s">
        <v>9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5.75" customHeight="1" x14ac:dyDescent="0.2">
      <c r="A46" s="24" t="s">
        <v>46</v>
      </c>
      <c r="B46" s="57" t="str">
        <f ca="1">IFERROR(INDIRECT("summary!_results_wltp_h_calibration_output_co2_emission_medium__CO2g_km_"),"")</f>
        <v/>
      </c>
      <c r="C46" s="57"/>
      <c r="D46" s="57"/>
      <c r="E46" s="57" t="str">
        <f ca="1">IFERROR(INDIRECT("summary!_results_wltp_l_calibration_output_co2_emission_medium__CO2g_km_"),"")</f>
        <v/>
      </c>
      <c r="F46" s="57"/>
      <c r="G46" s="57"/>
      <c r="H46" s="26" t="s">
        <v>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5.75" customHeight="1" x14ac:dyDescent="0.2">
      <c r="A47" s="24" t="s">
        <v>47</v>
      </c>
      <c r="B47" s="57" t="str">
        <f ca="1">IFERROR(INDIRECT("summary!_results_wltp_h_calibration_output_co2_emission_high__CO2g_km_"),"")</f>
        <v/>
      </c>
      <c r="C47" s="57"/>
      <c r="D47" s="57"/>
      <c r="E47" s="57" t="str">
        <f ca="1">IFERROR(INDIRECT("summary!_results_wltp_l_calibration_output_co2_emission_high__CO2g_km_"),"")</f>
        <v/>
      </c>
      <c r="F47" s="57"/>
      <c r="G47" s="57"/>
      <c r="H47" s="26" t="s">
        <v>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5.75" customHeight="1" x14ac:dyDescent="0.2">
      <c r="A48" s="24" t="s">
        <v>48</v>
      </c>
      <c r="B48" s="57" t="str">
        <f ca="1">IFERROR(INDIRECT("summary!_results_wltp_h_calibration_output_co2_emission_extra_high__CO2g_km_"),"")</f>
        <v/>
      </c>
      <c r="C48" s="57"/>
      <c r="D48" s="57"/>
      <c r="E48" s="57" t="str">
        <f ca="1">IFERROR(INDIRECT("summary!_results_wltp_l_calibration_output_co2_emission_extra_high__CO2g_km_"),"")</f>
        <v/>
      </c>
      <c r="F48" s="57"/>
      <c r="G48" s="57"/>
      <c r="H48" s="26" t="s">
        <v>9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5" hidden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7"/>
      <c r="R49" s="7"/>
      <c r="S49" s="7"/>
      <c r="T49" s="7"/>
      <c r="U49" s="7"/>
    </row>
    <row r="50" spans="1:21" ht="15" hidden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7"/>
      <c r="R50" s="7"/>
      <c r="S50" s="7"/>
      <c r="T50" s="7"/>
      <c r="U50" s="7"/>
    </row>
    <row r="51" spans="1:21" ht="15" hidden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7"/>
      <c r="R51" s="7"/>
      <c r="S51" s="7"/>
      <c r="T51" s="7"/>
      <c r="U51" s="7"/>
    </row>
    <row r="52" spans="1:21" ht="15" hidden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5" hidden="1" x14ac:dyDescent="0.2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5" hidden="1" x14ac:dyDescent="0.2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5" hidden="1" x14ac:dyDescent="0.2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5" hidden="1" x14ac:dyDescent="0.2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5" hidden="1" x14ac:dyDescent="0.2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5" hidden="1" x14ac:dyDescent="0.2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5" hidden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</sheetData>
  <mergeCells count="67">
    <mergeCell ref="E1:G1"/>
    <mergeCell ref="E2:G2"/>
    <mergeCell ref="E4:G4"/>
    <mergeCell ref="B12:D12"/>
    <mergeCell ref="E45:G45"/>
    <mergeCell ref="B45:D45"/>
    <mergeCell ref="B40:D40"/>
    <mergeCell ref="E40:G40"/>
    <mergeCell ref="E41:G41"/>
    <mergeCell ref="E42:G42"/>
    <mergeCell ref="E43:G43"/>
    <mergeCell ref="E44:G44"/>
    <mergeCell ref="B44:D44"/>
    <mergeCell ref="B43:D43"/>
    <mergeCell ref="B42:D42"/>
    <mergeCell ref="B41:D41"/>
    <mergeCell ref="E46:G46"/>
    <mergeCell ref="E47:G47"/>
    <mergeCell ref="E48:G48"/>
    <mergeCell ref="B48:D48"/>
    <mergeCell ref="B47:D47"/>
    <mergeCell ref="B46:D46"/>
    <mergeCell ref="B35:D35"/>
    <mergeCell ref="E35:G35"/>
    <mergeCell ref="E37:G37"/>
    <mergeCell ref="E38:G38"/>
    <mergeCell ref="E39:G39"/>
    <mergeCell ref="E36:G36"/>
    <mergeCell ref="B36:D36"/>
    <mergeCell ref="B37:D37"/>
    <mergeCell ref="B38:D38"/>
    <mergeCell ref="B39:D39"/>
    <mergeCell ref="B1:D1"/>
    <mergeCell ref="B2:D2"/>
    <mergeCell ref="B3:D3"/>
    <mergeCell ref="B4:D4"/>
    <mergeCell ref="B18:D18"/>
    <mergeCell ref="B13:D13"/>
    <mergeCell ref="B14:D14"/>
    <mergeCell ref="B15:D15"/>
    <mergeCell ref="B6:D6"/>
    <mergeCell ref="B17:D17"/>
    <mergeCell ref="H24:H25"/>
    <mergeCell ref="E6:G6"/>
    <mergeCell ref="E7:G7"/>
    <mergeCell ref="E8:G8"/>
    <mergeCell ref="E9:G9"/>
    <mergeCell ref="E17:G17"/>
    <mergeCell ref="E12:G12"/>
    <mergeCell ref="E18:G18"/>
    <mergeCell ref="E19:G19"/>
    <mergeCell ref="E20:G20"/>
    <mergeCell ref="E21:G21"/>
    <mergeCell ref="E15:G15"/>
    <mergeCell ref="E14:G14"/>
    <mergeCell ref="E13:G13"/>
    <mergeCell ref="B32:B33"/>
    <mergeCell ref="E32:E33"/>
    <mergeCell ref="E3:G3"/>
    <mergeCell ref="B24:B25"/>
    <mergeCell ref="E24:E25"/>
    <mergeCell ref="B9:D9"/>
    <mergeCell ref="B7:D7"/>
    <mergeCell ref="B8:D8"/>
    <mergeCell ref="B20:D20"/>
    <mergeCell ref="B21:D21"/>
    <mergeCell ref="B19:D19"/>
  </mergeCells>
  <phoneticPr fontId="10" type="noConversion"/>
  <conditionalFormatting sqref="B9:C9 E9:F9">
    <cfRule type="colorScale" priority="8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:C4 E4:F4">
    <cfRule type="expression" dxfId="5" priority="79">
      <formula>$B$4="False"</formula>
    </cfRule>
    <cfRule type="expression" dxfId="4" priority="80">
      <formula>$B$4="True"</formula>
    </cfRule>
  </conditionalFormatting>
  <conditionalFormatting sqref="B26">
    <cfRule type="colorScale" priority="77">
      <colorScale>
        <cfvo type="num" val="-1"/>
        <cfvo type="num" val="0"/>
        <color rgb="FF00B050"/>
        <color rgb="FFFFC000"/>
      </colorScale>
    </cfRule>
  </conditionalFormatting>
  <conditionalFormatting sqref="B27">
    <cfRule type="colorScale" priority="76">
      <colorScale>
        <cfvo type="num" val="0"/>
        <cfvo type="num" val="100"/>
        <color rgb="FF00B050"/>
        <color rgb="FFFFC000"/>
      </colorScale>
    </cfRule>
  </conditionalFormatting>
  <conditionalFormatting sqref="B28">
    <cfRule type="colorScale" priority="75">
      <colorScale>
        <cfvo type="num" val="0"/>
        <cfvo type="num" val="0.5"/>
        <color rgb="FF00B050"/>
        <color rgb="FFFFC000"/>
      </colorScale>
    </cfRule>
  </conditionalFormatting>
  <conditionalFormatting sqref="B29">
    <cfRule type="colorScale" priority="74">
      <colorScale>
        <cfvo type="num" val="0"/>
        <cfvo type="num" val="100"/>
        <color rgb="FF00B050"/>
        <color rgb="FFFFC000"/>
      </colorScale>
    </cfRule>
  </conditionalFormatting>
  <conditionalFormatting sqref="B30">
    <cfRule type="colorScale" priority="73">
      <colorScale>
        <cfvo type="num" val="0"/>
        <cfvo type="num" val="3"/>
        <color rgb="FF00B050"/>
        <color rgb="FFFFC000"/>
      </colorScale>
    </cfRule>
  </conditionalFormatting>
  <conditionalFormatting sqref="B31">
    <cfRule type="colorScale" priority="72">
      <colorScale>
        <cfvo type="num" val="0"/>
        <cfvo type="num" val="40"/>
        <color rgb="FF00B050"/>
        <color rgb="FFFFC000"/>
      </colorScale>
    </cfRule>
  </conditionalFormatting>
  <conditionalFormatting sqref="B32">
    <cfRule type="colorScale" priority="71">
      <colorScale>
        <cfvo type="num" val="-1"/>
        <cfvo type="num" val="-0.7"/>
        <color rgb="FF00B050"/>
        <color rgb="FFFFC000"/>
      </colorScale>
    </cfRule>
  </conditionalFormatting>
  <conditionalFormatting sqref="C26">
    <cfRule type="colorScale" priority="50">
      <colorScale>
        <cfvo type="num" val="-1"/>
        <cfvo type="num" val="0"/>
        <color rgb="FF00B050"/>
        <color rgb="FFFFC000"/>
      </colorScale>
    </cfRule>
  </conditionalFormatting>
  <conditionalFormatting sqref="D27">
    <cfRule type="colorScale" priority="68">
      <colorScale>
        <cfvo type="num" val="0"/>
        <cfvo type="num" val="100"/>
        <color rgb="FF00B050"/>
        <color rgb="FFFFC000"/>
      </colorScale>
    </cfRule>
  </conditionalFormatting>
  <conditionalFormatting sqref="G24">
    <cfRule type="colorScale" priority="28">
      <colorScale>
        <cfvo type="num" val="0"/>
        <cfvo type="num" val="60"/>
        <color rgb="FF00B050"/>
        <color rgb="FFFFC000"/>
      </colorScale>
    </cfRule>
  </conditionalFormatting>
  <conditionalFormatting sqref="E26">
    <cfRule type="colorScale" priority="61">
      <colorScale>
        <cfvo type="num" val="-1"/>
        <cfvo type="num" val="0"/>
        <color rgb="FF00B050"/>
        <color rgb="FFFFC000"/>
      </colorScale>
    </cfRule>
  </conditionalFormatting>
  <conditionalFormatting sqref="E27">
    <cfRule type="colorScale" priority="60">
      <colorScale>
        <cfvo type="num" val="0"/>
        <cfvo type="num" val="100"/>
        <color rgb="FF00B050"/>
        <color rgb="FFFFC000"/>
      </colorScale>
    </cfRule>
  </conditionalFormatting>
  <conditionalFormatting sqref="E28">
    <cfRule type="colorScale" priority="59">
      <colorScale>
        <cfvo type="num" val="0"/>
        <cfvo type="num" val="0.5"/>
        <color rgb="FF00B050"/>
        <color rgb="FFFFC000"/>
      </colorScale>
    </cfRule>
  </conditionalFormatting>
  <conditionalFormatting sqref="E29">
    <cfRule type="colorScale" priority="58">
      <colorScale>
        <cfvo type="num" val="0"/>
        <cfvo type="num" val="100"/>
        <color rgb="FF00B050"/>
        <color rgb="FFFFC000"/>
      </colorScale>
    </cfRule>
  </conditionalFormatting>
  <conditionalFormatting sqref="E30">
    <cfRule type="colorScale" priority="57">
      <colorScale>
        <cfvo type="num" val="0"/>
        <cfvo type="num" val="3"/>
        <color rgb="FF00B050"/>
        <color rgb="FFFFC000"/>
      </colorScale>
    </cfRule>
  </conditionalFormatting>
  <conditionalFormatting sqref="E31">
    <cfRule type="colorScale" priority="56">
      <colorScale>
        <cfvo type="num" val="0"/>
        <cfvo type="num" val="40"/>
        <color rgb="FF00B050"/>
        <color rgb="FFFFC000"/>
      </colorScale>
    </cfRule>
  </conditionalFormatting>
  <conditionalFormatting sqref="E32">
    <cfRule type="colorScale" priority="55">
      <colorScale>
        <cfvo type="num" val="-1"/>
        <cfvo type="num" val="-0.7"/>
        <color rgb="FF00B050"/>
        <color rgb="FFFFC000"/>
      </colorScale>
    </cfRule>
  </conditionalFormatting>
  <conditionalFormatting sqref="B24">
    <cfRule type="colorScale" priority="54">
      <colorScale>
        <cfvo type="num" val="0"/>
        <cfvo type="num" val="60"/>
        <color rgb="FF00B050"/>
        <color rgb="FFFFC000"/>
      </colorScale>
    </cfRule>
  </conditionalFormatting>
  <conditionalFormatting sqref="E24">
    <cfRule type="colorScale" priority="52">
      <colorScale>
        <cfvo type="num" val="0"/>
        <cfvo type="num" val="60"/>
        <color rgb="FF00B050"/>
        <color rgb="FFFFC000"/>
      </colorScale>
    </cfRule>
  </conditionalFormatting>
  <conditionalFormatting sqref="C25">
    <cfRule type="colorScale" priority="51">
      <colorScale>
        <cfvo type="num" val="0"/>
        <cfvo type="num" val="60"/>
        <color rgb="FF00B050"/>
        <color rgb="FFFFC000"/>
      </colorScale>
    </cfRule>
  </conditionalFormatting>
  <conditionalFormatting sqref="C27">
    <cfRule type="colorScale" priority="49">
      <colorScale>
        <cfvo type="num" val="0"/>
        <cfvo type="num" val="100"/>
        <color rgb="FF00B050"/>
        <color rgb="FFFFC000"/>
      </colorScale>
    </cfRule>
  </conditionalFormatting>
  <conditionalFormatting sqref="C28">
    <cfRule type="colorScale" priority="48">
      <colorScale>
        <cfvo type="num" val="0"/>
        <cfvo type="num" val="0.5"/>
        <color rgb="FF00B050"/>
        <color rgb="FFFFC000"/>
      </colorScale>
    </cfRule>
  </conditionalFormatting>
  <conditionalFormatting sqref="C29">
    <cfRule type="colorScale" priority="47">
      <colorScale>
        <cfvo type="num" val="0"/>
        <cfvo type="num" val="100"/>
        <color rgb="FF00B050"/>
        <color rgb="FFFFC000"/>
      </colorScale>
    </cfRule>
  </conditionalFormatting>
  <conditionalFormatting sqref="C30">
    <cfRule type="colorScale" priority="46">
      <colorScale>
        <cfvo type="num" val="0"/>
        <cfvo type="num" val="3"/>
        <color rgb="FF00B050"/>
        <color rgb="FFFFC000"/>
      </colorScale>
    </cfRule>
  </conditionalFormatting>
  <conditionalFormatting sqref="C31">
    <cfRule type="colorScale" priority="45">
      <colorScale>
        <cfvo type="num" val="0"/>
        <cfvo type="num" val="40"/>
        <color rgb="FF00B050"/>
        <color rgb="FFFFC000"/>
      </colorScale>
    </cfRule>
  </conditionalFormatting>
  <conditionalFormatting sqref="C33">
    <cfRule type="colorScale" priority="44">
      <colorScale>
        <cfvo type="num" val="-1"/>
        <cfvo type="num" val="-0.7"/>
        <color rgb="FF00B050"/>
        <color rgb="FFFFC000"/>
      </colorScale>
    </cfRule>
  </conditionalFormatting>
  <conditionalFormatting sqref="C24">
    <cfRule type="colorScale" priority="43">
      <colorScale>
        <cfvo type="num" val="0"/>
        <cfvo type="num" val="60"/>
        <color rgb="FF00B050"/>
        <color rgb="FFFFC000"/>
      </colorScale>
    </cfRule>
  </conditionalFormatting>
  <conditionalFormatting sqref="G26">
    <cfRule type="colorScale" priority="23">
      <colorScale>
        <cfvo type="num" val="-1"/>
        <cfvo type="num" val="0"/>
        <color rgb="FF00B050"/>
        <color rgb="FFFFC000"/>
      </colorScale>
    </cfRule>
  </conditionalFormatting>
  <conditionalFormatting sqref="D25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D24">
    <cfRule type="colorScale" priority="32">
      <colorScale>
        <cfvo type="num" val="0"/>
        <cfvo type="num" val="60"/>
        <color rgb="FF00B050"/>
        <color rgb="FFFFC000"/>
      </colorScale>
    </cfRule>
  </conditionalFormatting>
  <conditionalFormatting sqref="F25">
    <cfRule type="colorScale" priority="31">
      <colorScale>
        <cfvo type="num" val="0"/>
        <cfvo type="num" val="60"/>
        <color rgb="FF00B050"/>
        <color rgb="FFFFC000"/>
      </colorScale>
    </cfRule>
  </conditionalFormatting>
  <conditionalFormatting sqref="F24">
    <cfRule type="colorScale" priority="30">
      <colorScale>
        <cfvo type="num" val="0"/>
        <cfvo type="num" val="60"/>
        <color rgb="FF00B050"/>
        <color rgb="FFFFC000"/>
      </colorScale>
    </cfRule>
  </conditionalFormatting>
  <conditionalFormatting sqref="G25">
    <cfRule type="colorScale" priority="29">
      <colorScale>
        <cfvo type="num" val="0"/>
        <cfvo type="num" val="60"/>
        <color rgb="FF00B050"/>
        <color rgb="FFFFC000"/>
      </colorScale>
    </cfRule>
  </conditionalFormatting>
  <conditionalFormatting sqref="D26">
    <cfRule type="colorScale" priority="27">
      <colorScale>
        <cfvo type="num" val="-1"/>
        <cfvo type="num" val="0"/>
        <color rgb="FF00B050"/>
        <color rgb="FFFFC000"/>
      </colorScale>
    </cfRule>
  </conditionalFormatting>
  <conditionalFormatting sqref="F26">
    <cfRule type="colorScale" priority="24">
      <colorScale>
        <cfvo type="num" val="-1"/>
        <cfvo type="num" val="0"/>
        <color rgb="FF00B050"/>
        <color rgb="FFFFC000"/>
      </colorScale>
    </cfRule>
  </conditionalFormatting>
  <conditionalFormatting sqref="G2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F27">
    <cfRule type="colorScale" priority="21">
      <colorScale>
        <cfvo type="num" val="0"/>
        <cfvo type="num" val="100"/>
        <color rgb="FF00B050"/>
        <color rgb="FFFFC000"/>
      </colorScale>
    </cfRule>
  </conditionalFormatting>
  <conditionalFormatting sqref="D28">
    <cfRule type="colorScale" priority="20">
      <colorScale>
        <cfvo type="num" val="0"/>
        <cfvo type="num" val="0.5"/>
        <color rgb="FF00B050"/>
        <color rgb="FFFFC000"/>
      </colorScale>
    </cfRule>
  </conditionalFormatting>
  <conditionalFormatting sqref="F28">
    <cfRule type="colorScale" priority="19">
      <colorScale>
        <cfvo type="num" val="0"/>
        <cfvo type="num" val="0.5"/>
        <color rgb="FF00B050"/>
        <color rgb="FFFFC000"/>
      </colorScale>
    </cfRule>
  </conditionalFormatting>
  <conditionalFormatting sqref="G28">
    <cfRule type="colorScale" priority="18">
      <colorScale>
        <cfvo type="num" val="0"/>
        <cfvo type="num" val="0.5"/>
        <color rgb="FF00B050"/>
        <color rgb="FFFFC000"/>
      </colorScale>
    </cfRule>
  </conditionalFormatting>
  <conditionalFormatting sqref="D29">
    <cfRule type="colorScale" priority="17">
      <colorScale>
        <cfvo type="num" val="0"/>
        <cfvo type="num" val="100"/>
        <color rgb="FF00B050"/>
        <color rgb="FFFFC000"/>
      </colorScale>
    </cfRule>
  </conditionalFormatting>
  <conditionalFormatting sqref="F29">
    <cfRule type="colorScale" priority="16">
      <colorScale>
        <cfvo type="num" val="0"/>
        <cfvo type="num" val="100"/>
        <color rgb="FF00B050"/>
        <color rgb="FFFFC000"/>
      </colorScale>
    </cfRule>
  </conditionalFormatting>
  <conditionalFormatting sqref="G29">
    <cfRule type="colorScale" priority="15">
      <colorScale>
        <cfvo type="num" val="0"/>
        <cfvo type="num" val="100"/>
        <color rgb="FF00B050"/>
        <color rgb="FFFFC000"/>
      </colorScale>
    </cfRule>
  </conditionalFormatting>
  <conditionalFormatting sqref="D30">
    <cfRule type="colorScale" priority="14">
      <colorScale>
        <cfvo type="num" val="0"/>
        <cfvo type="num" val="3"/>
        <color rgb="FF00B050"/>
        <color rgb="FFFFC000"/>
      </colorScale>
    </cfRule>
  </conditionalFormatting>
  <conditionalFormatting sqref="F30">
    <cfRule type="colorScale" priority="13">
      <colorScale>
        <cfvo type="num" val="0"/>
        <cfvo type="num" val="3"/>
        <color rgb="FF00B050"/>
        <color rgb="FFFFC000"/>
      </colorScale>
    </cfRule>
  </conditionalFormatting>
  <conditionalFormatting sqref="G30">
    <cfRule type="colorScale" priority="12">
      <colorScale>
        <cfvo type="num" val="0"/>
        <cfvo type="num" val="3"/>
        <color rgb="FF00B050"/>
        <color rgb="FFFFC000"/>
      </colorScale>
    </cfRule>
  </conditionalFormatting>
  <conditionalFormatting sqref="D31">
    <cfRule type="colorScale" priority="11">
      <colorScale>
        <cfvo type="num" val="0"/>
        <cfvo type="num" val="40"/>
        <color rgb="FF00B050"/>
        <color rgb="FFFFC000"/>
      </colorScale>
    </cfRule>
  </conditionalFormatting>
  <conditionalFormatting sqref="F31">
    <cfRule type="colorScale" priority="10">
      <colorScale>
        <cfvo type="num" val="0"/>
        <cfvo type="num" val="40"/>
        <color rgb="FF00B050"/>
        <color rgb="FFFFC000"/>
      </colorScale>
    </cfRule>
  </conditionalFormatting>
  <conditionalFormatting sqref="G31">
    <cfRule type="colorScale" priority="9">
      <colorScale>
        <cfvo type="num" val="0"/>
        <cfvo type="num" val="40"/>
        <color rgb="FF00B050"/>
        <color rgb="FFFFC000"/>
      </colorScale>
    </cfRule>
  </conditionalFormatting>
  <conditionalFormatting sqref="C32">
    <cfRule type="colorScale" priority="7">
      <colorScale>
        <cfvo type="num" val="-1"/>
        <cfvo type="num" val="-0.7"/>
        <color rgb="FF00B050"/>
        <color rgb="FFFFC000"/>
      </colorScale>
    </cfRule>
  </conditionalFormatting>
  <conditionalFormatting sqref="D32">
    <cfRule type="colorScale" priority="6">
      <colorScale>
        <cfvo type="num" val="-1"/>
        <cfvo type="num" val="-0.7"/>
        <color rgb="FF00B050"/>
        <color rgb="FFFFC000"/>
      </colorScale>
    </cfRule>
  </conditionalFormatting>
  <conditionalFormatting sqref="F32">
    <cfRule type="colorScale" priority="5">
      <colorScale>
        <cfvo type="num" val="-1"/>
        <cfvo type="num" val="-0.7"/>
        <color rgb="FF00B050"/>
        <color rgb="FFFFC000"/>
      </colorScale>
    </cfRule>
  </conditionalFormatting>
  <conditionalFormatting sqref="G32">
    <cfRule type="colorScale" priority="4">
      <colorScale>
        <cfvo type="num" val="-1"/>
        <cfvo type="num" val="-0.7"/>
        <color rgb="FF00B050"/>
        <color rgb="FFFFC000"/>
      </colorScale>
    </cfRule>
  </conditionalFormatting>
  <conditionalFormatting sqref="D33">
    <cfRule type="colorScale" priority="3">
      <colorScale>
        <cfvo type="num" val="-1"/>
        <cfvo type="num" val="-0.7"/>
        <color rgb="FF00B050"/>
        <color rgb="FFFFC000"/>
      </colorScale>
    </cfRule>
  </conditionalFormatting>
  <conditionalFormatting sqref="F33">
    <cfRule type="colorScale" priority="2">
      <colorScale>
        <cfvo type="num" val="-1"/>
        <cfvo type="num" val="-0.7"/>
        <color rgb="FF00B050"/>
        <color rgb="FFFFC000"/>
      </colorScale>
    </cfRule>
  </conditionalFormatting>
  <conditionalFormatting sqref="G33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view="pageLayout" workbookViewId="0">
      <selection activeCell="B2" sqref="B2"/>
    </sheetView>
  </sheetViews>
  <sheetFormatPr baseColWidth="10" defaultColWidth="11.83203125" defaultRowHeight="12" x14ac:dyDescent="0.2"/>
  <cols>
    <col min="1" max="1" width="34.5" style="27" bestFit="1" customWidth="1"/>
    <col min="2" max="3" width="27.1640625" style="27" customWidth="1"/>
    <col min="4" max="16384" width="11.83203125" style="27"/>
  </cols>
  <sheetData>
    <row r="1" spans="1:3" s="5" customFormat="1" ht="15" x14ac:dyDescent="0.2">
      <c r="A1" s="28" t="s">
        <v>72</v>
      </c>
      <c r="B1" s="28" t="s">
        <v>71</v>
      </c>
      <c r="C1" s="28" t="s">
        <v>70</v>
      </c>
    </row>
    <row r="2" spans="1:3" s="5" customFormat="1" ht="15" x14ac:dyDescent="0.2">
      <c r="A2" s="1" t="s">
        <v>69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 x14ac:dyDescent="0.2">
      <c r="A3" s="1" t="s">
        <v>68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 x14ac:dyDescent="0.2">
      <c r="A4" s="1" t="s">
        <v>67</v>
      </c>
      <c r="B4" s="2" t="s">
        <v>66</v>
      </c>
      <c r="C4" s="2"/>
    </row>
    <row r="5" spans="1:3" s="5" customFormat="1" ht="15" x14ac:dyDescent="0.2">
      <c r="A5" s="1" t="s">
        <v>65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 x14ac:dyDescent="0.2">
      <c r="A6" s="1" t="s">
        <v>64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 x14ac:dyDescent="0.2">
      <c r="A7" s="29" t="s">
        <v>63</v>
      </c>
      <c r="B7" s="29" t="str">
        <f ca="1">IFERROR((INDIRECT("summary!_comparison_declared_co2_emission_value_prediction_nedc_h_prediction_target_ratio")-1)*100,"")</f>
        <v/>
      </c>
      <c r="C7" s="29" t="str">
        <f ca="1">IFERROR((INDIRECT("summary!_comparison_declared_co2_emission_value_prediction_nedc_l_prediction_target_ratio")-1)*100,"")</f>
        <v/>
      </c>
    </row>
    <row r="8" spans="1:3" s="5" customFormat="1" ht="15" x14ac:dyDescent="0.2">
      <c r="A8" s="28" t="s">
        <v>62</v>
      </c>
      <c r="B8" s="28"/>
      <c r="C8" s="28"/>
    </row>
    <row r="9" spans="1:3" s="5" customFormat="1" ht="15" x14ac:dyDescent="0.2">
      <c r="A9" s="24" t="s">
        <v>61</v>
      </c>
      <c r="B9" s="20" t="str">
        <f ca="1">IFERROR(INDIRECT("summary!_results_nedc_h_prediction_output_vehicle_fuel_type__"),"")</f>
        <v/>
      </c>
      <c r="C9" s="20" t="str">
        <f ca="1">IFERROR(INDIRECT("summary!_results_nedc_l_prediction_output_vehicle_fuel_type__"),"")</f>
        <v/>
      </c>
    </row>
    <row r="10" spans="1:3" s="5" customFormat="1" ht="15" x14ac:dyDescent="0.2">
      <c r="A10" s="24" t="s">
        <v>60</v>
      </c>
      <c r="B10" s="20" t="str">
        <f ca="1">IFERROR(INDIRECT("summary!_results_nedc_h_prediction_output_vehicle_engine_capacity__cm3_"),"")</f>
        <v/>
      </c>
      <c r="C10" s="20" t="str">
        <f ca="1">IFERROR(INDIRECT("summary!_results_nedc_l_prediction_output_vehicle_engine_capacity__cm3_"),"")</f>
        <v/>
      </c>
    </row>
    <row r="11" spans="1:3" s="5" customFormat="1" ht="15" x14ac:dyDescent="0.2">
      <c r="A11" s="24" t="s">
        <v>59</v>
      </c>
      <c r="B11" s="20" t="str">
        <f ca="1">IFERROR(INDIRECT("summary!_results_nedc_h_prediction_output_vehicle_gear_box_type__"),"")</f>
        <v/>
      </c>
      <c r="C11" s="20" t="str">
        <f ca="1">IFERROR(INDIRECT("summary!_results_nedc_l_prediction_output_vehicle_gear_box_type__"),"")</f>
        <v/>
      </c>
    </row>
    <row r="12" spans="1:3" s="5" customFormat="1" ht="15" x14ac:dyDescent="0.2">
      <c r="A12" s="24" t="s">
        <v>58</v>
      </c>
      <c r="B12" s="20" t="str">
        <f ca="1">IFERROR(INDIRECT("summary!_results_nedc_h_prediction_output_vehicle_engine_is_turbo__"),"")</f>
        <v/>
      </c>
      <c r="C12" s="20" t="str">
        <f ca="1">IFERROR(INDIRECT("summary!_results_nedc_l_prediction_output_vehicle_engine_is_turbo__"),"")</f>
        <v/>
      </c>
    </row>
    <row r="13" spans="1:3" s="5" customFormat="1" ht="15" x14ac:dyDescent="0.2">
      <c r="A13" s="28" t="s">
        <v>57</v>
      </c>
      <c r="B13" s="28"/>
      <c r="C13" s="28"/>
    </row>
    <row r="14" spans="1:3" s="5" customFormat="1" ht="15" x14ac:dyDescent="0.2">
      <c r="A14" s="24" t="s">
        <v>56</v>
      </c>
      <c r="B14" s="20" t="str">
        <f ca="1">IFERROR(INDIRECT("data.calibration.model_scores!_score_by_model_alternator_model_wltp_h_score"),"")</f>
        <v/>
      </c>
      <c r="C14" s="20" t="str">
        <f ca="1">IFERROR(INDIRECT("data.calibration.model_scores!_score_by_model_alternator_model_wltp_l_score"),"")</f>
        <v/>
      </c>
    </row>
    <row r="15" spans="1:3" s="5" customFormat="1" ht="15" x14ac:dyDescent="0.2">
      <c r="A15" s="24" t="s">
        <v>55</v>
      </c>
      <c r="B15" s="20" t="str">
        <f ca="1">IFERROR(INDIRECT("data.calibration.model_scores!_score_by_model_at_model_wltp_h_score"),"")</f>
        <v/>
      </c>
      <c r="C15" s="20" t="str">
        <f ca="1">IFERROR(INDIRECT("data.calibration.model_scores!_score_by_model_at_model_wltp_l_score"),"")</f>
        <v/>
      </c>
    </row>
    <row r="16" spans="1:3" s="5" customFormat="1" ht="15" x14ac:dyDescent="0.2">
      <c r="A16" s="24" t="s">
        <v>54</v>
      </c>
      <c r="B16" s="20" t="str">
        <f ca="1">IFERROR(INDIRECT("data.calibration.model_scores!_score_by_model_clutch_torque_converter_model_wltp_h_score"),"")</f>
        <v/>
      </c>
      <c r="C16" s="20" t="str">
        <f ca="1">IFERROR(INDIRECT("data.calibration.model_scores!_score_by_model_clutch_torque_converter_model_wltp_l_score"),"")</f>
        <v/>
      </c>
    </row>
    <row r="17" spans="1:3" s="5" customFormat="1" ht="15" x14ac:dyDescent="0.2">
      <c r="A17" s="24" t="s">
        <v>53</v>
      </c>
      <c r="B17" s="20" t="str">
        <f ca="1">IFERROR(INDIRECT("data.calibration.model_scores!_score_by_model_co2_params_wltp_h_score"),"")</f>
        <v/>
      </c>
      <c r="C17" s="20" t="str">
        <f ca="1">IFERROR(INDIRECT("data.calibration.model_scores!_score_by_model_co2_params_wltp_l_score"),"")</f>
        <v/>
      </c>
    </row>
    <row r="18" spans="1:3" s="5" customFormat="1" ht="15" x14ac:dyDescent="0.2">
      <c r="A18" s="24" t="s">
        <v>52</v>
      </c>
      <c r="B18" s="20" t="str">
        <f ca="1">IFERROR(INDIRECT("data.calibration.model_scores!_score_by_model_engine_cold_start_speed_model_wltp_h_score"),"")</f>
        <v/>
      </c>
      <c r="C18" s="20" t="str">
        <f ca="1">IFERROR(INDIRECT("data.calibration.model_scores!_score_by_model_engine_cold_start_speed_model_wltp_l_score"),"")</f>
        <v/>
      </c>
    </row>
    <row r="19" spans="1:3" s="5" customFormat="1" ht="15" x14ac:dyDescent="0.2">
      <c r="A19" s="24" t="s">
        <v>51</v>
      </c>
      <c r="B19" s="20" t="str">
        <f ca="1">IFERROR(INDIRECT("data.calibration.model_scores!_score_by_model_engine_coolant_temperature_model_wltp_h_score"),"")</f>
        <v/>
      </c>
      <c r="C19" s="20" t="str">
        <f ca="1">IFERROR(INDIRECT("data.calibration.model_scores!_score_by_model_engine_coolant_temperature_model_wltp_l_score"),"")</f>
        <v/>
      </c>
    </row>
    <row r="20" spans="1:3" ht="15" x14ac:dyDescent="0.2">
      <c r="A20" s="24" t="s">
        <v>50</v>
      </c>
      <c r="B20" s="20" t="str">
        <f ca="1">IFERROR(INDIRECT("data.calibration.model_scores!_score_by_model_engine_speed_model_wltp_h_score"),"")</f>
        <v/>
      </c>
      <c r="C20" s="20" t="str">
        <f ca="1">IFERROR(INDIRECT("data.calibration.model_scores!_score_by_model_engine_speed_model_wltp_l_score"),"")</f>
        <v/>
      </c>
    </row>
    <row r="21" spans="1:3" ht="15" x14ac:dyDescent="0.2">
      <c r="A21" s="24" t="s">
        <v>49</v>
      </c>
      <c r="B21" s="20" t="str">
        <f ca="1">IFERROR(INDIRECT("data.calibration.model_scores!_score_by_model_start_stop_model_wltp_h_score"),"")</f>
        <v/>
      </c>
      <c r="C21" s="20" t="str">
        <f ca="1">IFERROR(INDIRECT("data.calibration.model_scores!_score_by_model_start_stop_model_wltp_l_score"),"")</f>
        <v/>
      </c>
    </row>
  </sheetData>
  <sheetProtection sheet="1" objects="1" scenarios="1"/>
  <phoneticPr fontId="10" type="noConversion"/>
  <conditionalFormatting sqref="B7:C7">
    <cfRule type="colorScale" priority="6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4">
      <formula>$B$6="False"</formula>
    </cfRule>
    <cfRule type="expression" dxfId="2" priority="5">
      <formula>$B$6="True"</formula>
    </cfRule>
  </conditionalFormatting>
  <conditionalFormatting sqref="A7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2017-02-10T10:05:36Z</dcterms:created>
  <dcterms:modified xsi:type="dcterms:W3CDTF">2017-04-27T17:22:42Z</dcterms:modified>
</cp:coreProperties>
</file>