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6755"/>
  </bookViews>
  <sheets>
    <sheet name="output_report" sheetId="5" r:id="rId1"/>
    <sheet name="dice_report" sheetId="4" r:id="rId2"/>
  </sheets>
  <calcPr calcId="145621"/>
</workbook>
</file>

<file path=xl/calcChain.xml><?xml version="1.0" encoding="utf-8"?>
<calcChain xmlns="http://schemas.openxmlformats.org/spreadsheetml/2006/main">
  <c r="B1" i="5" l="1"/>
  <c r="B1" i="4"/>
  <c r="C32" i="5" l="1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3" i="5"/>
  <c r="B23" i="5"/>
  <c r="C22" i="5"/>
  <c r="B22" i="5"/>
  <c r="C21" i="5"/>
  <c r="B21" i="5"/>
  <c r="C20" i="5"/>
  <c r="B20" i="5"/>
  <c r="C16" i="5"/>
  <c r="B16" i="5"/>
  <c r="C15" i="5"/>
  <c r="B15" i="5"/>
  <c r="C14" i="5"/>
  <c r="B14" i="5"/>
  <c r="C10" i="5"/>
  <c r="B10" i="5"/>
  <c r="C9" i="5"/>
  <c r="B9" i="5"/>
  <c r="C8" i="5"/>
  <c r="B8" i="5"/>
  <c r="B4" i="5"/>
  <c r="B3" i="5"/>
  <c r="B2" i="5"/>
  <c r="C20" i="4" l="1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B4" i="4"/>
  <c r="B3" i="4"/>
  <c r="B2" i="4"/>
</calcChain>
</file>

<file path=xl/sharedStrings.xml><?xml version="1.0" encoding="utf-8"?>
<sst xmlns="http://schemas.openxmlformats.org/spreadsheetml/2006/main" count="87" uniqueCount="51">
  <si>
    <t>CO2MPAS version</t>
  </si>
  <si>
    <t>Date/Time</t>
  </si>
  <si>
    <t>Type approval mode</t>
  </si>
  <si>
    <t>Vehicle H</t>
  </si>
  <si>
    <t>Vehicle L</t>
  </si>
  <si>
    <t>units</t>
  </si>
  <si>
    <t>Fuel Type</t>
  </si>
  <si>
    <t>-</t>
  </si>
  <si>
    <t>Engine Capacity</t>
  </si>
  <si>
    <t>cc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</si>
  <si>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</si>
  <si>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</si>
  <si>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</si>
  <si>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</si>
  <si>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</si>
  <si>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</si>
  <si>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</si>
  <si>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</si>
  <si>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</si>
  <si>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</si>
  <si>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</si>
  <si>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</si>
  <si>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</si>
  <si>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</si>
  <si>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</si>
  <si>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</si>
  <si>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</si>
  <si>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</si>
  <si>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</si>
  <si>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</si>
  <si>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</si>
  <si>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</si>
  <si>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</si>
  <si>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</si>
  <si>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</si>
  <si>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</si>
  <si>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</si>
  <si>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</si>
  <si>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</si>
  <si>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</si>
  <si>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</si>
  <si>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</si>
  <si>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</si>
  <si>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</si>
  <si>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</si>
  <si>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</si>
  <si>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</si>
  <si>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</si>
  <si>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</si>
  <si>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</si>
  <si>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Vehicle Family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</si>
</sst>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1" fillId="0" borderId="5" xfId="1" applyNumberFormat="1" applyFill="1" applyBorder="1" applyAlignment="1" applyProtection="1">
      <alignment horizontal="center"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0" fontId="2" fillId="0" borderId="7" xfId="0" applyFont="1" applyBorder="1" applyAlignment="1" applyProtection="1">
      <alignment horizontal="left"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2" fontId="1" fillId="0" borderId="8" xfId="1" applyNumberFormat="1" applyFill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left" vertical="center"/>
      <protection hidden="1"/>
    </xf>
    <xf numFmtId="2" fontId="1" fillId="0" borderId="10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4" fillId="5" borderId="1" xfId="1" applyNumberFormat="1" applyFont="1" applyFill="1" applyBorder="1" applyAlignment="1" applyProtection="1">
      <alignment horizontal="center" vertical="center"/>
      <protection hidden="1"/>
    </xf>
    <xf numFmtId="2" fontId="4" fillId="5" borderId="8" xfId="1" applyNumberFormat="1" applyFont="1" applyFill="1" applyBorder="1" applyAlignment="1" applyProtection="1">
      <alignment horizontal="center" vertical="center"/>
      <protection hidden="1"/>
    </xf>
    <xf numFmtId="2" fontId="4" fillId="5" borderId="10" xfId="1" applyNumberFormat="1" applyFont="1" applyFill="1" applyBorder="1" applyAlignment="1" applyProtection="1">
      <alignment horizontal="center" vertical="center"/>
      <protection hidden="1"/>
    </xf>
    <xf numFmtId="2" fontId="4" fillId="5" borderId="11" xfId="1" applyNumberFormat="1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left" vertical="center"/>
      <protection hidden="1"/>
    </xf>
    <xf numFmtId="2" fontId="3" fillId="5" borderId="13" xfId="1" applyNumberFormat="1" applyFont="1" applyFill="1" applyBorder="1" applyAlignment="1" applyProtection="1">
      <alignment horizontal="center" vertical="center"/>
      <protection hidden="1"/>
    </xf>
    <xf numFmtId="2" fontId="3" fillId="5" borderId="14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center" vertical="top"/>
      <protection hidden="1"/>
    </xf>
    <xf numFmtId="0" fontId="2" fillId="4" borderId="12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Border="1" applyAlignment="1" applyProtection="1">
      <alignment horizontal="center" vertical="center"/>
      <protection hidden="1"/>
    </xf>
    <xf numFmtId="2" fontId="1" fillId="0" borderId="17" xfId="1" applyNumberFormat="1" applyBorder="1" applyAlignment="1" applyProtection="1">
      <alignment horizontal="center" vertical="center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2" fontId="1" fillId="0" borderId="8" xfId="1" applyNumberFormat="1" applyBorder="1" applyAlignment="1" applyProtection="1">
      <alignment horizontal="center" vertical="center"/>
      <protection hidden="1"/>
    </xf>
    <xf numFmtId="2" fontId="3" fillId="5" borderId="10" xfId="1" applyNumberFormat="1" applyFont="1" applyFill="1" applyBorder="1" applyAlignment="1" applyProtection="1">
      <alignment horizontal="center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horizontal="left" vertical="top"/>
      <protection hidden="1"/>
    </xf>
    <xf numFmtId="0" fontId="8" fillId="0" borderId="0" xfId="1" applyFont="1" applyFill="1" applyBorder="1" applyAlignment="1" applyProtection="1">
      <alignment horizontal="right" vertical="center"/>
      <protection hidden="1"/>
    </xf>
    <xf numFmtId="0" fontId="8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10" xfId="1" applyNumberFormat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</cellXfs>
  <cellStyles count="2">
    <cellStyle name="Explanatory Text" xfId="1" builtinId="53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showGridLines="0" showRowColHeaders="0" tabSelected="1" showRuler="0" view="pageLayout" workbookViewId="0">
      <selection activeCell="B1" sqref="B1"/>
    </sheetView>
  </sheetViews>
  <sheetFormatPr defaultColWidth="0" defaultRowHeight="15" customHeight="1" zeroHeight="1"/>
  <cols>
    <col min="1" max="1" width="35.4257812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8.95" customHeight="1">
      <c r="A1" s="1" t="s">
        <v>50</v>
      </c>
      <c r="B1" s="2" t="str">
        <f>IFERROR(IF([0]!_info_vehicle_family_id_Value&lt;&gt;"",[0]!_info_vehicle_family_id_Value,""),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8.95" customHeight="1">
      <c r="A2" s="1" t="s">
        <v>0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8.95" customHeight="1">
      <c r="A3" s="1" t="s">
        <v>1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8.95" customHeight="1">
      <c r="A4" s="1" t="s">
        <v>2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8.9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8.9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8.95" customHeight="1" thickBot="1">
      <c r="A7" s="29" t="s">
        <v>26</v>
      </c>
      <c r="B7" s="30" t="s">
        <v>3</v>
      </c>
      <c r="C7" s="31" t="s">
        <v>4</v>
      </c>
      <c r="D7" s="11" t="s">
        <v>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8.95" customHeight="1">
      <c r="A8" s="32" t="s">
        <v>27</v>
      </c>
      <c r="B8" s="33" t="str">
        <f>IFERROR(IF([0]!_results_nedc_h_prediction_target_declared_co2_emission_declared_value__CO2g_km_&lt;&gt;"",[0]!_results_nedc_h_prediction_target_declared_co2_emission_declared_value__CO2g_km_,""),"")</f>
        <v/>
      </c>
      <c r="C8" s="34" t="str">
        <f>IFERROR(IF([0]!_results_nedc_l_prediction_target_declared_co2_emission_declared_value__CO2g_km_&lt;&gt;"",[0]!_results_nedc_l_prediction_target_declared_co2_emission_declared_value__CO2g_km_,""),"")</f>
        <v/>
      </c>
      <c r="D8" s="7" t="s">
        <v>28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8.95" customHeight="1">
      <c r="A9" s="15" t="s">
        <v>29</v>
      </c>
      <c r="B9" s="35" t="str">
        <f>IFERROR(IF([0]!_results_nedc_h_prediction_output_declared_co2_emission_declared_value__CO2g_km_&lt;&gt;"",[0]!_results_nedc_h_prediction_output_declared_co2_emission_declared_value__CO2g_km_,""),"")</f>
        <v/>
      </c>
      <c r="C9" s="36" t="str">
        <f>IFERROR(IF([0]!_results_nedc_l_prediction_output_declared_co2_emission_declared_value__CO2g_km_&lt;&gt;"",[0]!_results_nedc_l_prediction_output_declared_co2_emission_declared_value__CO2g_km_,""),"")</f>
        <v/>
      </c>
      <c r="D9" s="7" t="s">
        <v>28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8.95" customHeight="1" thickBot="1">
      <c r="A10" s="18" t="s">
        <v>24</v>
      </c>
      <c r="B10" s="37" t="str">
        <f>IFERROR(IF([0]!_comparison_declared_co2_emission_value_prediction_nedc_h_prediction_target_ratio&lt;&gt;"",([0]!_comparison_declared_co2_emission_value_prediction_nedc_h_prediction_target_ratio-1)*100,""),"")</f>
        <v/>
      </c>
      <c r="C10" s="38" t="str">
        <f>IFERROR(IF([0]!_comparison_declared_co2_emission_value_prediction_nedc_l_prediction_target_ratio&lt;&gt;"",([0]!_comparison_declared_co2_emission_value_prediction_nedc_l_prediction_target_ratio-1)*100,""),"")</f>
        <v/>
      </c>
      <c r="D10" s="7" t="s">
        <v>25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8.95" customHeight="1">
      <c r="A11" s="39" t="s">
        <v>30</v>
      </c>
      <c r="B11" s="40"/>
      <c r="C11" s="41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8.95" customHeight="1" thickBot="1">
      <c r="A12" s="4"/>
      <c r="B12" s="42"/>
      <c r="C12" s="3"/>
      <c r="D12" s="7"/>
      <c r="E12" s="7"/>
      <c r="F12" s="7"/>
      <c r="G12" s="7"/>
      <c r="H12" s="43"/>
      <c r="I12" s="7"/>
      <c r="J12" s="7"/>
      <c r="K12" s="7"/>
      <c r="L12" s="7"/>
      <c r="M12" s="7"/>
      <c r="N12" s="7"/>
      <c r="O12" s="7"/>
      <c r="P12" s="7"/>
      <c r="Q12" s="7"/>
    </row>
    <row r="13" spans="1:17" ht="18.95" customHeight="1" thickBot="1">
      <c r="A13" s="29" t="s">
        <v>31</v>
      </c>
      <c r="B13" s="30" t="s">
        <v>3</v>
      </c>
      <c r="C13" s="31" t="s">
        <v>4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8.95" customHeight="1">
      <c r="A14" s="32" t="s">
        <v>32</v>
      </c>
      <c r="B14" s="44" t="str">
        <f>IFERROR(IF([0]!_results_nedc_h_prediction_output_co2_emission_value__CO2g_km_&lt;&gt;"",[0]!_results_nedc_h_prediction_output_co2_emission_value__CO2g_km_,""),"")</f>
        <v/>
      </c>
      <c r="C14" s="45" t="str">
        <f>IFERROR(IF([0]!_results_nedc_l_prediction_output_co2_emission_value__CO2g_km_&lt;&gt;"",[0]!_results_nedc_l_prediction_output_co2_emission_value__CO2g_km_,""),"")</f>
        <v/>
      </c>
      <c r="D14" s="7" t="s">
        <v>28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8.95" customHeight="1">
      <c r="A15" s="15" t="s">
        <v>33</v>
      </c>
      <c r="B15" s="35" t="str">
        <f>IFERROR(IF([0]!_results_nedc_h_prediction_output_co2_emission_UDC__CO2g_km_&lt;&gt;"",[0]!_results_nedc_h_prediction_output_co2_emission_UDC__CO2g_km_,""),"")</f>
        <v/>
      </c>
      <c r="C15" s="36" t="str">
        <f>IFERROR(IF([0]!_results_nedc_l_prediction_output_co2_emission_UDC__CO2g_km_&lt;&gt;"",[0]!_results_nedc_l_prediction_output_co2_emission_UDC__CO2g_km_,""),"")</f>
        <v/>
      </c>
      <c r="D15" s="7" t="s">
        <v>28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8.95" customHeight="1" thickBot="1">
      <c r="A16" s="18" t="s">
        <v>34</v>
      </c>
      <c r="B16" s="46" t="str">
        <f>IFERROR(IF([0]!_results_nedc_h_prediction_output_co2_emission_EUDC__CO2g_km_&lt;&gt;"",[0]!_results_nedc_h_prediction_output_co2_emission_EUDC__CO2g_km_,""),"")</f>
        <v/>
      </c>
      <c r="C16" s="47" t="str">
        <f>IFERROR(IF([0]!_results_nedc_l_prediction_output_co2_emission_EUDC__CO2g_km_&lt;&gt;"",[0]!_results_nedc_l_prediction_output_co2_emission_EUDC__CO2g_km_,""),"")</f>
        <v/>
      </c>
      <c r="D16" s="7" t="s">
        <v>28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8.95" customHeight="1">
      <c r="A17" s="4"/>
      <c r="B17" s="42"/>
      <c r="C17" s="3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8.95" customHeight="1">
      <c r="A18" s="4"/>
      <c r="B18" s="42"/>
      <c r="C18" s="3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8.95" customHeight="1">
      <c r="A19" s="48" t="s">
        <v>35</v>
      </c>
      <c r="B19" s="48" t="s">
        <v>3</v>
      </c>
      <c r="C19" s="48" t="s">
        <v>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8.95" customHeight="1">
      <c r="A20" s="49" t="s">
        <v>36</v>
      </c>
      <c r="B20" s="35" t="str">
        <f>IFERROR(IF([0]!_results_nedc_h_prediction_output_vehicle_f0__N_&lt;&gt;"",[0]!_results_nedc_h_prediction_output_vehicle_f0__N_,""),"")</f>
        <v/>
      </c>
      <c r="C20" s="35" t="str">
        <f>IFERROR(IF([0]!_results_nedc_l_prediction_output_vehicle_f0__N_&lt;&gt;"",[0]!_results_nedc_l_prediction_output_vehicle_f0__N_,""),"")</f>
        <v/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8.95" customHeight="1">
      <c r="A21" s="50" t="s">
        <v>38</v>
      </c>
      <c r="B21" s="51" t="str">
        <f>IFERROR(IF([0]!_results_nedc_h_prediction_output_vehicle_f1__N__km_h__&lt;&gt;"",[0]!_results_nedc_h_prediction_output_vehicle_f1__N__km_h__,""),"")</f>
        <v/>
      </c>
      <c r="C21" s="51" t="str">
        <f>IFERROR(IF([0]!_results_nedc_l_prediction_output_vehicle_f1__N__km_h__&lt;&gt;"",[0]!_results_nedc_l_prediction_output_vehicle_f1__N__km_h__,""),"")</f>
        <v/>
      </c>
      <c r="D21" s="7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8.95" customHeight="1">
      <c r="A22" s="50" t="s">
        <v>40</v>
      </c>
      <c r="B22" s="51" t="str">
        <f>IFERROR(IF([0]!_results_nedc_h_prediction_output_vehicle_f2__N__km_h__2_&lt;&gt;"",[0]!_results_nedc_h_prediction_output_vehicle_f2__N__km_h__2_,""),"")</f>
        <v/>
      </c>
      <c r="C22" s="51" t="str">
        <f>IFERROR(IF([0]!_results_nedc_l_prediction_output_vehicle_f2__N__km_h__2_&lt;&gt;"",[0]!_results_nedc_l_prediction_output_vehicle_f2__N__km_h__2_,""),"")</f>
        <v/>
      </c>
      <c r="D22" s="7" t="s">
        <v>41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8.95" customHeight="1">
      <c r="A23" s="49" t="s">
        <v>42</v>
      </c>
      <c r="B23" s="52" t="str">
        <f>IFERROR(IF([0]!_results_nedc_h_prediction_output_vehicle_mass__kg_&lt;&gt;"",[0]!_results_nedc_h_prediction_output_vehicle_mass__kg_,""),"")</f>
        <v/>
      </c>
      <c r="C23" s="52" t="str">
        <f>IFERROR(IF([0]!_results_nedc_l_prediction_output_vehicle_mass__kg_&lt;&gt;"",[0]!_results_nedc_l_prediction_output_vehicle_mass__kg_,""),"")</f>
        <v/>
      </c>
      <c r="D23" s="53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8.95" customHeight="1">
      <c r="A24" s="48" t="s">
        <v>44</v>
      </c>
      <c r="B24" s="48" t="s">
        <v>3</v>
      </c>
      <c r="C24" s="48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8.95" customHeight="1">
      <c r="A25" s="49" t="s">
        <v>36</v>
      </c>
      <c r="B25" s="35" t="str">
        <f>IFERROR(IF([0]!_results_wltp_h_calibration_output_vehicle_f0__N_&lt;&gt;"",[0]!_results_wltp_h_calibration_output_vehicle_f0__N_,""),"")</f>
        <v/>
      </c>
      <c r="C25" s="35" t="str">
        <f>IFERROR(IF([0]!_results_wltp_l_calibration_output_vehicle_f0__N_&lt;&gt;"",[0]!_results_wltp_l_calibration_output_vehicle_f0__N_,""),"")</f>
        <v/>
      </c>
      <c r="D25" s="7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8.95" customHeight="1">
      <c r="A26" s="50" t="s">
        <v>38</v>
      </c>
      <c r="B26" s="51" t="str">
        <f>IFERROR(IF([0]!_results_wltp_h_calibration_output_vehicle_f1__N__km_h__&lt;&gt;"",[0]!_results_wltp_h_calibration_output_vehicle_f1__N__km_h__,""),"")</f>
        <v/>
      </c>
      <c r="C26" s="51" t="str">
        <f>IFERROR(IF([0]!_results_wltp_l_calibration_output_vehicle_f1__N__km_h__&lt;&gt;"",[0]!_results_wltp_l_calibration_output_vehicle_f1__N__km_h__,""),"")</f>
        <v/>
      </c>
      <c r="D26" s="7" t="s">
        <v>39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8.95" customHeight="1">
      <c r="A27" s="50" t="s">
        <v>40</v>
      </c>
      <c r="B27" s="51" t="str">
        <f>IFERROR(IF([0]!_results_wltp_h_calibration_output_vehicle_f2__N__km_h__2_&lt;&gt;"",[0]!_results_wltp_h_calibration_output_vehicle_f2__N__km_h__2_,""),"")</f>
        <v/>
      </c>
      <c r="C27" s="51" t="str">
        <f>IFERROR(IF([0]!_results_wltp_l_calibration_output_vehicle_f2__N__km_h__2_&lt;&gt;"",[0]!_results_wltp_l_calibration_output_vehicle_f2__N__km_h__2_,""),"")</f>
        <v/>
      </c>
      <c r="D27" s="7" t="s">
        <v>41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8.95" customHeight="1">
      <c r="A28" s="49" t="s">
        <v>45</v>
      </c>
      <c r="B28" s="52" t="str">
        <f>IFERROR(IF([0]!_results_wltp_h_calibration_output_vehicle_mass__kg_&lt;&gt;"",[0]!_results_wltp_h_calibration_output_vehicle_mass__kg_,""),"")</f>
        <v/>
      </c>
      <c r="C28" s="52" t="str">
        <f>IFERROR(IF([0]!_results_wltp_l_calibration_output_vehicle_mass__kg_&lt;&gt;"",[0]!_results_wltp_l_calibration_output_vehicle_mass__kg_,""),"")</f>
        <v/>
      </c>
      <c r="D28" s="53" t="s">
        <v>43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8.95" customHeight="1">
      <c r="A29" s="49" t="s">
        <v>46</v>
      </c>
      <c r="B29" s="35" t="str">
        <f>IFERROR(IF([0]!_results_wltp_h_calibration_output_co2_emission_low__CO2g_km_&lt;&gt;"",[0]!_results_wltp_h_calibration_output_co2_emission_low__CO2g_km_,""),"")</f>
        <v/>
      </c>
      <c r="C29" s="35" t="str">
        <f>IFERROR(IF([0]!_results_wltp_l_calibration_output_co2_emission_low__CO2g_km_&lt;&gt;"",[0]!_results_wltp_l_calibration_output_co2_emission_low__CO2g_km_,""),"")</f>
        <v/>
      </c>
      <c r="D29" s="53" t="s">
        <v>28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8.95" customHeight="1">
      <c r="A30" s="49" t="s">
        <v>47</v>
      </c>
      <c r="B30" s="35" t="str">
        <f>IFERROR(IF([0]!_results_wltp_h_calibration_output_co2_emission_medium__CO2g_km_&lt;&gt;"",[0]!_results_wltp_h_calibration_output_co2_emission_medium__CO2g_km_,""),"")</f>
        <v/>
      </c>
      <c r="C30" s="35" t="str">
        <f>IFERROR(IF([0]!_results_wltp_l_calibration_output_co2_emission_medium__CO2g_km_&lt;&gt;"",[0]!_results_wltp_l_calibration_output_co2_emission_medium__CO2g_km_,""),"")</f>
        <v/>
      </c>
      <c r="D30" s="53" t="s">
        <v>28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8.95" customHeight="1">
      <c r="A31" s="49" t="s">
        <v>48</v>
      </c>
      <c r="B31" s="35" t="str">
        <f>IFERROR(IF([0]!_results_wltp_h_calibration_output_co2_emission_high__CO2g_km_&lt;&gt;"",[0]!_results_wltp_h_calibration_output_co2_emission_high__CO2g_km_,""), "")</f>
        <v/>
      </c>
      <c r="C31" s="35" t="str">
        <f>IFERROR(IF([0]!_results_wltp_l_calibration_output_co2_emission_high__CO2g_km_&lt;&gt;"",[0]!_results_wltp_l_calibration_output_co2_emission_high__CO2g_km_,""),"")</f>
        <v/>
      </c>
      <c r="D31" s="53" t="s">
        <v>28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8.95" customHeight="1">
      <c r="A32" s="49" t="s">
        <v>49</v>
      </c>
      <c r="B32" s="35" t="str">
        <f>IFERROR(IF([0]!_results_wltp_h_calibration_output_co2_emission_extra_high__CO2g_km_&lt;&gt;"",[0]!_results_wltp_h_calibration_output_co2_emission_extra_high__CO2g_km_,""),"")</f>
        <v/>
      </c>
      <c r="C32" s="35" t="str">
        <f>IFERROR(IF([0]!_results_wltp_l_calibration_output_co2_emission_extra_high__CO2g_km_&lt;&gt;"",[0]!_results_wltp_l_calibration_output_co2_emission_extra_high__CO2g_km_,""),"")</f>
        <v/>
      </c>
      <c r="D32" s="53" t="s">
        <v>28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idden="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7"/>
      <c r="N33" s="7"/>
      <c r="O33" s="7"/>
      <c r="P33" s="7"/>
      <c r="Q33" s="7"/>
    </row>
    <row r="34" spans="1:17" hidden="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7"/>
      <c r="O34" s="7"/>
      <c r="P34" s="7"/>
      <c r="Q34" s="7"/>
    </row>
    <row r="35" spans="1:17" hidden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7"/>
      <c r="N35" s="7"/>
      <c r="O35" s="7"/>
      <c r="P35" s="7"/>
      <c r="Q35" s="7"/>
    </row>
    <row r="36" spans="1:17" hidden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idden="1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idden="1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idden="1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idden="1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idden="1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idden="1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idden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</sheetData>
  <conditionalFormatting sqref="B10:C10">
    <cfRule type="colorScale" priority="3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3" priority="1">
      <formula>$B$4="False"</formula>
    </cfRule>
    <cfRule type="expression" dxfId="2" priority="2">
      <formula>$B$4="True"</formula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showRowColHeaders="0" showRuler="0" view="pageLayout" workbookViewId="0">
      <selection activeCell="B1" sqref="B1"/>
    </sheetView>
  </sheetViews>
  <sheetFormatPr defaultColWidth="0" defaultRowHeight="0" customHeight="1" zeroHeight="1"/>
  <cols>
    <col min="1" max="1" width="37.5703125" style="28" customWidth="1"/>
    <col min="2" max="3" width="20.7109375" style="28" customWidth="1"/>
    <col min="4" max="4" width="10.140625" style="28" bestFit="1" customWidth="1"/>
    <col min="5" max="5" width="0.42578125" style="28" hidden="1" customWidth="1"/>
    <col min="6" max="16384" width="8.85546875" style="28" hidden="1"/>
  </cols>
  <sheetData>
    <row r="1" spans="1:17" s="5" customFormat="1" ht="18.95" customHeight="1">
      <c r="A1" s="1" t="s">
        <v>50</v>
      </c>
      <c r="B1" s="2" t="str">
        <f>IFERROR(IF([0]!_info_vehicle_family_id_Value&lt;&gt;"",[0]!_info_vehicle_family_id_Value,""), 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s="5" customFormat="1" ht="18.95" customHeight="1">
      <c r="A2" s="1" t="s">
        <v>0</v>
      </c>
      <c r="B2" s="2" t="str">
        <f>IFERROR(IF([0]!_info_CO2MPAS_version_Value&lt;&gt;"",[0]!_info_CO2MPAS_version_Value,""), 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5" customFormat="1" ht="18.95" customHeight="1">
      <c r="A3" s="1" t="s">
        <v>1</v>
      </c>
      <c r="B3" s="2" t="str">
        <f>IFERROR(IF([0]!_info_Simulation_started_Value&lt;&gt;"",[0]!_info_Simulation_started_Value,""),"")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s="5" customFormat="1" ht="18.95" customHeight="1">
      <c r="A4" s="1" t="s">
        <v>2</v>
      </c>
      <c r="B4" s="6" t="str">
        <f>IFERROR(IF([0]!_info_type_approval_mode_Value&lt;&gt;"",[0]!_info_type_approval_mode_Value,""),"")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s="5" customFormat="1" ht="18.9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s="5" customFormat="1" ht="18.9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s="5" customFormat="1" ht="18.95" customHeight="1" thickBot="1">
      <c r="A7" s="8"/>
      <c r="B7" s="9" t="s">
        <v>3</v>
      </c>
      <c r="C7" s="10" t="s">
        <v>4</v>
      </c>
      <c r="D7" s="11" t="s">
        <v>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s="5" customFormat="1" ht="18.95" customHeight="1">
      <c r="A8" s="12" t="s">
        <v>6</v>
      </c>
      <c r="B8" s="13" t="str">
        <f>IFERROR(IF([0]!_results_nedc_h_prediction_output_vehicle_fuel_type__&lt;&gt;"",[0]!_results_nedc_h_prediction_output_vehicle_fuel_type__,""),"")</f>
        <v/>
      </c>
      <c r="C8" s="14" t="str">
        <f>IFERROR(IF([0]!_results_nedc_l_prediction_output_vehicle_fuel_type__&lt;&gt;"",[0]!_results_nedc_l_prediction_output_vehicle_fuel_type__,""),"")</f>
        <v/>
      </c>
      <c r="D8" s="7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s="5" customFormat="1" ht="18.95" customHeight="1">
      <c r="A9" s="15" t="s">
        <v>8</v>
      </c>
      <c r="B9" s="16" t="str">
        <f>IFERROR(IF([0]!_results_nedc_h_prediction_output_vehicle_engine_capacity__cm3_&lt;&gt;"",[0]!_results_nedc_h_prediction_output_vehicle_engine_capacity__cm3_,""),"")</f>
        <v/>
      </c>
      <c r="C9" s="17" t="str">
        <f>IFERROR(IF([0]!_results_nedc_l_prediction_output_vehicle_engine_capacity__cm3_&lt;&gt;"",[0]!_results_nedc_l_prediction_output_vehicle_engine_capacity__cm3_,""),"")</f>
        <v/>
      </c>
      <c r="D9" s="7" t="s">
        <v>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s="5" customFormat="1" ht="18.95" customHeight="1">
      <c r="A10" s="15" t="s">
        <v>10</v>
      </c>
      <c r="B10" s="16" t="str">
        <f>IFERROR(IF([0]!_results_nedc_h_prediction_output_vehicle_gear_box_type__&lt;&gt;"",[0]!_results_nedc_h_prediction_output_vehicle_gear_box_type__,""),"")</f>
        <v/>
      </c>
      <c r="C10" s="17" t="str">
        <f>IFERROR(IF([0]!_results_nedc_l_prediction_output_vehicle_gear_box_type__&lt;&gt;"",[0]!_results_nedc_l_prediction_output_vehicle_gear_box_type__,""),"")</f>
        <v/>
      </c>
      <c r="D10" s="7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s="5" customFormat="1" ht="18.95" customHeight="1" thickBot="1">
      <c r="A11" s="18" t="s">
        <v>11</v>
      </c>
      <c r="B11" s="19" t="str">
        <f>IFERROR(IF([0]!_results_nedc_h_prediction_output_vehicle_engine_is_turbo__&lt;&gt;"",[0]!_results_nedc_h_prediction_output_vehicle_engine_is_turbo__,""),"")</f>
        <v/>
      </c>
      <c r="C11" s="20" t="str">
        <f>IFERROR(IF([0]!_results_nedc_l_prediction_output_vehicle_engine_is_turbo__&lt;&gt;"",[0]!_results_nedc_l_prediction_output_vehicle_engine_is_turbo__,""),"")</f>
        <v/>
      </c>
      <c r="D11" s="7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s="5" customFormat="1" ht="18.95" customHeight="1">
      <c r="A12" s="15" t="s">
        <v>12</v>
      </c>
      <c r="B12" s="21" t="str">
        <f>IFERROR(IF([0]!_score_by_model_alternator_model_wltp_h_score&lt;&gt;"",[0]!_score_by_model_alternator_model_wltp_h_score,""),"")</f>
        <v/>
      </c>
      <c r="C12" s="22" t="str">
        <f>IFERROR(IF([0]!_score_by_model_alternator_model_wltp_l_score&lt;&gt;"",[0]!_score_by_model_alternator_model_wltp_l_score,""),"")</f>
        <v/>
      </c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s="5" customFormat="1" ht="18.95" customHeight="1">
      <c r="A13" s="15" t="s">
        <v>14</v>
      </c>
      <c r="B13" s="21" t="str">
        <f>IFERROR(IF([0]!_score_by_model_at_model_wltp_h_score&lt;&gt;"",[0]!_score_by_model_at_model_wltp_h_score,""),"")</f>
        <v/>
      </c>
      <c r="C13" s="22" t="str">
        <f>IFERROR(IF([0]!_score_by_model_at_model_wltp_l_score&lt;&gt;"",[0]!_score_by_model_at_model_wltp_l_score,""),"")</f>
        <v/>
      </c>
      <c r="D13" s="7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s="5" customFormat="1" ht="18.95" customHeight="1">
      <c r="A14" s="15" t="s">
        <v>15</v>
      </c>
      <c r="B14" s="21" t="str">
        <f>IFERROR(IF([0]!_score_by_model_clutch_torque_converter_model_wltp_h_score&lt;&gt;"",[0]!_score_by_model_clutch_torque_converter_model_wltp_h_score,""),"")</f>
        <v/>
      </c>
      <c r="C14" s="22" t="str">
        <f>IFERROR(IF([0]!_score_by_model_clutch_torque_converter_model_wltp_l_score&lt;&gt;"",[0]!_score_by_model_clutch_torque_converter_model_wltp_l_score,""),"")</f>
        <v/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s="5" customFormat="1" ht="18.95" customHeight="1">
      <c r="A15" s="15" t="s">
        <v>17</v>
      </c>
      <c r="B15" s="21" t="str">
        <f>IFERROR(IF([0]!_score_by_model_co2_params_wltp_h_score&lt;&gt;"",[0]!_score_by_model_co2_params_wltp_h_score,""),"")</f>
        <v/>
      </c>
      <c r="C15" s="22" t="str">
        <f>IFERROR(IF([0]!_score_by_model_co2_params_wltp_l_score&lt;&gt;"",[0]!_score_by_model_co2_params_wltp_l_score,""),"")</f>
        <v/>
      </c>
      <c r="D15" s="7" t="s">
        <v>18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s="5" customFormat="1" ht="18.95" customHeight="1">
      <c r="A16" s="15" t="s">
        <v>19</v>
      </c>
      <c r="B16" s="21" t="str">
        <f>IFERROR(IF([0]!_score_by_model_engine_cold_start_speed_model_wltp_h_score&lt;&gt;"",[0]!_score_by_model_engine_cold_start_speed_model_wltp_h_score,""),"")</f>
        <v/>
      </c>
      <c r="C16" s="22" t="str">
        <f>IFERROR(IF([0]!_score_by_model_engine_cold_start_speed_model_wltp_l_score&lt;&gt;"",[0]!_score_by_model_engine_cold_start_speed_model_wltp_l_score,""),"")</f>
        <v/>
      </c>
      <c r="D16" s="7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s="5" customFormat="1" ht="18.95" customHeight="1">
      <c r="A17" s="15" t="s">
        <v>20</v>
      </c>
      <c r="B17" s="21" t="str">
        <f>IFERROR(IF([0]!_score_by_model_engine_coolant_temperature_model_wltp_h_score&lt;&gt;"",[0]!_score_by_model_engine_coolant_temperature_model_wltp_h_score,""),"")</f>
        <v/>
      </c>
      <c r="C17" s="22" t="str">
        <f>IFERROR(IF([0]!_score_by_model_engine_coolant_temperature_model_wltp_l_score&lt;&gt;"",[0]!_score_by_model_engine_coolant_temperature_model_wltp_l_score,""),"")</f>
        <v/>
      </c>
      <c r="D17" s="7" t="s">
        <v>21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s="5" customFormat="1" ht="18.95" customHeight="1">
      <c r="A18" s="15" t="s">
        <v>22</v>
      </c>
      <c r="B18" s="21" t="str">
        <f>IFERROR(IF([0]!_score_by_model_engine_speed_model_wltp_h_score&lt;&gt;"",[0]!_score_by_model_engine_speed_model_wltp_h_score,""),"")</f>
        <v/>
      </c>
      <c r="C18" s="22" t="str">
        <f>IFERROR(IF([0]!_score_by_model_engine_speed_model_wltp_l_score&lt;&gt;"",[0]!_score_by_model_engine_speed_model_wltp_l_score,""),"")</f>
        <v/>
      </c>
      <c r="D18" s="7" t="s">
        <v>16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s="5" customFormat="1" ht="18.95" customHeight="1" thickBot="1">
      <c r="A19" s="18" t="s">
        <v>23</v>
      </c>
      <c r="B19" s="23" t="str">
        <f>IFERROR(IF([0]!_score_by_model_start_stop_model_wltp_h_score&lt;&gt;"",[0]!_score_by_model_start_stop_model_wltp_h_score,""),"")</f>
        <v/>
      </c>
      <c r="C19" s="24" t="str">
        <f>IFERROR(IF([0]!_score_by_model_start_stop_model_wltp_l_score&lt;&gt;"",[0]!_score_by_model_start_stop_model_wltp_l_score,""),"")</f>
        <v/>
      </c>
      <c r="D19" s="7" t="s">
        <v>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s="5" customFormat="1" ht="18.95" customHeight="1" thickBot="1">
      <c r="A20" s="25" t="s">
        <v>24</v>
      </c>
      <c r="B20" s="26" t="str">
        <f>IFERROR(IF([0]!_comparison_declared_co2_emission_value_prediction_nedc_h_prediction_target_ratio&lt;&gt;"",([0]!_comparison_declared_co2_emission_value_prediction_nedc_h_prediction_target_ratio-1)*100,""),"")</f>
        <v/>
      </c>
      <c r="C20" s="27" t="str">
        <f>IFERROR(IF([0]!_comparison_declared_co2_emission_value_prediction_nedc_l_prediction_target_ratio&lt;&gt;"",([0]!_comparison_declared_co2_emission_value_prediction_nedc_l_prediction_target_ratio-1)*100,""),"")</f>
        <v/>
      </c>
      <c r="D20" s="7" t="s">
        <v>25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s="5" customFormat="1" ht="18.95" hidden="1" customHeight="1"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8.95" hidden="1" customHeight="1"/>
    <row r="23" spans="1:17" ht="18.95" hidden="1" customHeight="1"/>
    <row r="24" spans="1:17" ht="18.95" hidden="1" customHeight="1"/>
    <row r="25" spans="1:17" ht="18.95" hidden="1" customHeight="1"/>
    <row r="26" spans="1:17" ht="18.95" hidden="1" customHeight="1"/>
    <row r="27" spans="1:17" ht="18.95" hidden="1" customHeight="1"/>
    <row r="28" spans="1:17" ht="18.95" hidden="1" customHeight="1"/>
    <row r="29" spans="1:17" ht="18.95" hidden="1" customHeight="1"/>
    <row r="30" spans="1:17" ht="18.95" hidden="1" customHeight="1"/>
    <row r="31" spans="1:17" ht="18.95" hidden="1" customHeight="1"/>
    <row r="32" spans="1:17" ht="18.95" hidden="1" customHeight="1"/>
    <row r="33" ht="18.95" hidden="1" customHeight="1"/>
    <row r="34" ht="18.95" hidden="1" customHeight="1"/>
    <row r="35" ht="18.95" hidden="1" customHeight="1"/>
    <row r="36" ht="18.95" hidden="1" customHeight="1"/>
    <row r="37" ht="18.95" hidden="1" customHeight="1"/>
    <row r="38" ht="18.95" hidden="1" customHeight="1"/>
    <row r="39" ht="18.95" hidden="1" customHeight="1"/>
    <row r="40" ht="18.95" hidden="1" customHeight="1"/>
    <row r="41" ht="18.95" hidden="1" customHeight="1"/>
    <row r="42" ht="18.95" hidden="1" customHeight="1"/>
    <row r="43" ht="18.9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</sheetData>
  <sheetProtection sheet="1" objects="1" scenarios="1"/>
  <conditionalFormatting sqref="B20:C20">
    <cfRule type="colorScale" priority="1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1" priority="9">
      <formula>$B$4="False"</formula>
    </cfRule>
    <cfRule type="expression" dxfId="0" priority="10">
      <formula>$B$4="True"</formula>
    </cfRule>
  </conditionalFormatting>
  <conditionalFormatting sqref="B12:C12">
    <cfRule type="colorScale" priority="8">
      <colorScale>
        <cfvo type="num" val="0"/>
        <cfvo type="num" val="60"/>
        <color rgb="FF00B050"/>
        <color rgb="FFFFC000"/>
      </colorScale>
    </cfRule>
  </conditionalFormatting>
  <conditionalFormatting sqref="B13:C13">
    <cfRule type="colorScale" priority="7">
      <colorScale>
        <cfvo type="num" val="-1"/>
        <cfvo type="num" val="0"/>
        <color rgb="FF00B050"/>
        <color rgb="FFFFC000"/>
      </colorScale>
    </cfRule>
  </conditionalFormatting>
  <conditionalFormatting sqref="B14:C14">
    <cfRule type="colorScale" priority="6">
      <colorScale>
        <cfvo type="num" val="0"/>
        <cfvo type="num" val="100"/>
        <color rgb="FF00B050"/>
        <color rgb="FFFFC000"/>
      </colorScale>
    </cfRule>
  </conditionalFormatting>
  <conditionalFormatting sqref="B15:C15">
    <cfRule type="colorScale" priority="5">
      <colorScale>
        <cfvo type="num" val="0"/>
        <cfvo type="num" val="0.5"/>
        <color rgb="FF00B050"/>
        <color rgb="FFFFC000"/>
      </colorScale>
    </cfRule>
  </conditionalFormatting>
  <conditionalFormatting sqref="B16:C16">
    <cfRule type="colorScale" priority="4">
      <colorScale>
        <cfvo type="num" val="0"/>
        <cfvo type="num" val="100"/>
        <color rgb="FF00B050"/>
        <color rgb="FFFFC000"/>
      </colorScale>
    </cfRule>
  </conditionalFormatting>
  <conditionalFormatting sqref="B17:C17">
    <cfRule type="colorScale" priority="3">
      <colorScale>
        <cfvo type="num" val="0"/>
        <cfvo type="num" val="3"/>
        <color rgb="FF00B050"/>
        <color rgb="FFFFC000"/>
      </colorScale>
    </cfRule>
  </conditionalFormatting>
  <conditionalFormatting sqref="B18:C18">
    <cfRule type="colorScale" priority="2">
      <colorScale>
        <cfvo type="num" val="0"/>
        <cfvo type="num" val="40"/>
        <color rgb="FF00B050"/>
        <color rgb="FFFFC000"/>
      </colorScale>
    </cfRule>
  </conditionalFormatting>
  <conditionalFormatting sqref="B19:C19">
    <cfRule type="colorScale" priority="1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2016-11-09T10:59:28Z</dcterms:created>
  <dcterms:modified xsi:type="dcterms:W3CDTF">2016-11-16T13:02:32Z</dcterms:modified>
</cp:coreProperties>
</file>