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37395" windowHeight="16500"/>
  </bookViews>
  <sheets>
    <sheet name="output_report" sheetId="4" r:id="rId1"/>
    <sheet name="dice_report" sheetId="5" state="hidden" r:id="rId2"/>
  </sheets>
  <calcPr calcId="145621"/>
</workbook>
</file>

<file path=xl/calcChain.xml><?xml version="1.0" encoding="utf-8"?>
<calcChain xmlns="http://schemas.openxmlformats.org/spreadsheetml/2006/main">
  <c r="B2" i="5" l="1"/>
  <c r="C2" i="5"/>
  <c r="B3" i="5"/>
  <c r="C3" i="5"/>
  <c r="B5" i="5"/>
  <c r="C5" i="5"/>
  <c r="B6" i="5"/>
  <c r="C6" i="5"/>
  <c r="B7" i="5"/>
  <c r="C7" i="5"/>
  <c r="B9" i="5"/>
  <c r="C9" i="5"/>
  <c r="B10" i="5"/>
  <c r="C10" i="5"/>
  <c r="B11" i="5"/>
  <c r="C11" i="5"/>
  <c r="B12" i="5"/>
  <c r="C12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C45" i="4" l="1"/>
  <c r="C43" i="4"/>
  <c r="C41" i="4"/>
  <c r="C39" i="4"/>
  <c r="C36" i="4"/>
  <c r="C34" i="4"/>
  <c r="C30" i="4"/>
  <c r="C28" i="4"/>
  <c r="C26" i="4"/>
  <c r="C24" i="4"/>
  <c r="C22" i="4"/>
  <c r="C20" i="4"/>
  <c r="C16" i="4"/>
  <c r="C14" i="4"/>
  <c r="C9" i="4"/>
  <c r="B4" i="4"/>
  <c r="B41" i="4"/>
  <c r="B34" i="4"/>
  <c r="B28" i="4"/>
  <c r="B24" i="4"/>
  <c r="B22" i="4"/>
  <c r="B16" i="4"/>
  <c r="B14" i="4"/>
  <c r="B3" i="4"/>
  <c r="C19" i="4"/>
  <c r="C10" i="4"/>
  <c r="B25" i="4"/>
  <c r="B10" i="4"/>
  <c r="B45" i="4"/>
  <c r="B43" i="4"/>
  <c r="B39" i="4"/>
  <c r="B36" i="4"/>
  <c r="B30" i="4"/>
  <c r="B26" i="4"/>
  <c r="B20" i="4"/>
  <c r="B9" i="4"/>
  <c r="C15" i="4"/>
  <c r="B2" i="4"/>
  <c r="B21" i="4"/>
  <c r="B1" i="4"/>
  <c r="C44" i="4"/>
  <c r="C42" i="4"/>
  <c r="C40" i="4"/>
  <c r="C38" i="4"/>
  <c r="C35" i="4"/>
  <c r="C33" i="4"/>
  <c r="C29" i="4"/>
  <c r="C27" i="4"/>
  <c r="C25" i="4"/>
  <c r="C23" i="4"/>
  <c r="C21" i="4"/>
  <c r="C8" i="4"/>
  <c r="B19" i="4"/>
  <c r="B8" i="4"/>
  <c r="B44" i="4"/>
  <c r="B42" i="4"/>
  <c r="B40" i="4"/>
  <c r="B38" i="4"/>
  <c r="B35" i="4"/>
  <c r="B33" i="4"/>
  <c r="B29" i="4"/>
  <c r="B27" i="4"/>
  <c r="B23" i="4"/>
  <c r="B15" i="4"/>
</calcChain>
</file>

<file path=xl/sharedStrings.xml><?xml version="1.0" encoding="utf-8"?>
<sst xmlns="http://schemas.openxmlformats.org/spreadsheetml/2006/main" count="105" uniqueCount="75">
  <si>
    <t>Vehicle Family ID</t>
  </si>
  <si>
    <t>CO2MPAS version</t>
  </si>
  <si>
    <t>Date/Time</t>
  </si>
  <si>
    <t>Type approval mode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</si>
  <si>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</si>
  <si>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</si>
  <si>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</si>
  <si>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</si>
  <si>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</si>
  <si>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</si>
  <si>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</si>
  <si>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deviation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</si>
  <si>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</si>
  <si>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</si>
  <si>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</si>
  <si>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</si>
  <si>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</si>
  <si>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</si>
  <si>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Fuel Type</t>
  </si>
  <si>
    <t>-</t>
  </si>
  <si>
    <t>Engine Capacity</t>
  </si>
  <si>
    <t>cc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</si>
  <si>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</si>
  <si>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</si>
  <si>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</si>
  <si>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</si>
  <si>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</si>
  <si>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</si>
  <si>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</si>
  <si>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</si>
  <si>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</si>
  <si>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</si>
  <si>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</si>
  <si>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</si>
  <si>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</si>
  <si>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</si>
  <si>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</si>
  <si>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</si>
  <si>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</si>
  <si>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</si>
  <si>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</si>
  <si>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</si>
  <si>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</si>
  <si>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</si>
  <si>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</si>
  <si>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</si>
  <si>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</si>
  <si>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</si>
  <si>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</si>
  <si>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</si>
  <si>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</si>
  <si>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start_stop_model</t>
  </si>
  <si>
    <t>engine_speed_model</t>
  </si>
  <si>
    <t>engine_coolant_temperature_model</t>
  </si>
  <si>
    <t>engine_cold_start_speed_model</t>
  </si>
  <si>
    <t>co2_params</t>
  </si>
  <si>
    <t>clutch_torque_converter_model</t>
  </si>
  <si>
    <t>at_model</t>
  </si>
  <si>
    <t>alternator_model</t>
  </si>
  <si>
    <t>Model_scores</t>
  </si>
  <si>
    <t>engine_is_turbo</t>
  </si>
  <si>
    <t>gear_box_type</t>
  </si>
  <si>
    <t>engine_capacity</t>
  </si>
  <si>
    <t>fuel_type</t>
  </si>
  <si>
    <t>Vehicle</t>
  </si>
  <si>
    <t>CO2MPAS_deviation</t>
  </si>
  <si>
    <t>TA_mode</t>
  </si>
  <si>
    <t>datetime</t>
  </si>
  <si>
    <t>dice_report</t>
  </si>
  <si>
    <t>report_type</t>
  </si>
  <si>
    <t>CO2MPAS_version</t>
  </si>
  <si>
    <t>vehicle_family_id</t>
  </si>
  <si>
    <t>vehicle-L</t>
  </si>
  <si>
    <t>vehicle-H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</si>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</sst>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9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7" fillId="5" borderId="1" xfId="1" applyNumberFormat="1" applyFont="1" applyFill="1" applyBorder="1" applyAlignment="1" applyProtection="1">
      <alignment horizontal="center" vertical="center"/>
      <protection hidden="1"/>
    </xf>
    <xf numFmtId="2" fontId="7" fillId="5" borderId="9" xfId="1" applyNumberFormat="1" applyFont="1" applyFill="1" applyBorder="1" applyAlignment="1" applyProtection="1">
      <alignment horizontal="center" vertical="center"/>
      <protection hidden="1"/>
    </xf>
    <xf numFmtId="2" fontId="7" fillId="5" borderId="11" xfId="1" applyNumberFormat="1" applyFont="1" applyFill="1" applyBorder="1" applyAlignment="1" applyProtection="1">
      <alignment horizontal="center" vertical="center"/>
      <protection hidden="1"/>
    </xf>
    <xf numFmtId="2" fontId="7" fillId="5" borderId="12" xfId="1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horizontal="center" vertical="top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/>
  <cols>
    <col min="1" max="1" width="39.8554687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5.75" customHeight="1">
      <c r="A1" s="1" t="s">
        <v>0</v>
      </c>
      <c r="B1" s="2" t="str">
        <f ca="1">IFERROR(INDIRECT("summary!_info_vehicle_family_id_Value"),"")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 t="s">
        <v>1</v>
      </c>
      <c r="B2" s="2" t="str">
        <f ca="1">IFERROR(INDIRECT("summary!_info_CO2MPAS_version_Value"),"")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1" t="s">
        <v>2</v>
      </c>
      <c r="B3" s="2" t="str">
        <f ca="1">IFERROR(INDIRECT("summary!_info_Simulation_started_Value"),"")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1" t="s">
        <v>3</v>
      </c>
      <c r="B4" s="6" t="str">
        <f ca="1">IFERROR(INDIRECT("summary!_info_type_approval_mode_Value"),"")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thickBot="1">
      <c r="A7" s="8" t="s">
        <v>4</v>
      </c>
      <c r="B7" s="9" t="s">
        <v>5</v>
      </c>
      <c r="C7" s="10" t="s">
        <v>6</v>
      </c>
      <c r="D7" s="11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12" t="s">
        <v>8</v>
      </c>
      <c r="B8" s="13" t="str">
        <f ca="1">IFERROR(INDIRECT("summary!_results_nedc_h_prediction_target_declared_co2_emission_declared_value__CO2g_km_"),"")</f>
        <v/>
      </c>
      <c r="C8" s="14" t="str">
        <f ca="1">IFERROR(INDIRECT("summary!_results_nedc_l_prediction_target_declared_co2_emission_declared_value__CO2g_km_"),"")</f>
        <v/>
      </c>
      <c r="D8" s="7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15" t="s">
        <v>10</v>
      </c>
      <c r="B9" s="16" t="str">
        <f ca="1">IFERROR(INDIRECT("summary!_results_nedc_h_prediction_output_declared_co2_emission_declared_value__CO2g_km_"),"")</f>
        <v/>
      </c>
      <c r="C9" s="17" t="str">
        <f ca="1">IFERROR(INDIRECT("summary!_results_nedc_l_prediction_output_declared_co2_emission_declared_value__CO2g_km_"),"")</f>
        <v/>
      </c>
      <c r="D9" s="7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thickBot="1">
      <c r="A10" s="18" t="s">
        <v>11</v>
      </c>
      <c r="B10" s="19" t="str">
        <f ca="1">IFERROR((INDIRECT("summary!_comparison_declared_co2_emission_value_prediction_nedc_h_prediction_target_ratio")-1)*100,"")</f>
        <v/>
      </c>
      <c r="C10" s="20" t="str">
        <f ca="1">IFERROR((INDIRECT("summary!_comparison_declared_co2_emission_value_prediction_nedc_l_prediction_target_ratio")-1)*100, "")</f>
        <v/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21" t="s">
        <v>13</v>
      </c>
      <c r="B11" s="22"/>
      <c r="C11" s="2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thickBot="1">
      <c r="A12" s="4"/>
      <c r="B12" s="24"/>
      <c r="C12" s="3"/>
      <c r="D12" s="7"/>
      <c r="E12" s="7"/>
      <c r="F12" s="7"/>
      <c r="G12" s="7"/>
      <c r="H12" s="25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thickBot="1">
      <c r="A13" s="8" t="s">
        <v>14</v>
      </c>
      <c r="B13" s="9" t="s">
        <v>5</v>
      </c>
      <c r="C13" s="10" t="s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>
      <c r="A14" s="12" t="s">
        <v>15</v>
      </c>
      <c r="B14" s="26" t="str">
        <f ca="1">IFERROR(INDIRECT("summary!_results_nedc_h_prediction_output_co2_emission_value__CO2g_km_"),"")</f>
        <v/>
      </c>
      <c r="C14" s="27" t="str">
        <f ca="1">IFERROR(INDIRECT("summary!_results_nedc_l_prediction_output_co2_emission_value__CO2g_km_"),"")</f>
        <v/>
      </c>
      <c r="D14" s="7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>
      <c r="A15" s="15" t="s">
        <v>16</v>
      </c>
      <c r="B15" s="16" t="str">
        <f ca="1">IFERROR(INDIRECT("summary!_results_nedc_h_prediction_output_co2_emission_UDC__CO2g_km_"),"")</f>
        <v/>
      </c>
      <c r="C15" s="17" t="str">
        <f ca="1">IFERROR(INDIRECT("summary!_results_nedc_l_prediction_output_co2_emission_UDC__CO2g_km_"),"")</f>
        <v/>
      </c>
      <c r="D15" s="7" t="s">
        <v>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thickBot="1">
      <c r="A16" s="18" t="s">
        <v>17</v>
      </c>
      <c r="B16" s="28" t="str">
        <f ca="1">IFERROR(INDIRECT("summary!_results_nedc_h_prediction_output_co2_emission_EUDC__CO2g_km_"),"")</f>
        <v/>
      </c>
      <c r="C16" s="29" t="str">
        <f ca="1">IFERROR(INDIRECT("summary!_results_nedc_l_prediction_output_co2_emission_EUDC__CO2g_km_"),"")</f>
        <v/>
      </c>
      <c r="D16" s="7" t="s">
        <v>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customHeight="1" thickBot="1">
      <c r="A17" s="30"/>
      <c r="B17" s="31"/>
      <c r="C17" s="3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thickBot="1">
      <c r="A18" s="32"/>
      <c r="B18" s="33" t="s">
        <v>5</v>
      </c>
      <c r="C18" s="34" t="s">
        <v>6</v>
      </c>
      <c r="D18" s="11" t="s">
        <v>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>
      <c r="A19" s="35" t="s">
        <v>18</v>
      </c>
      <c r="B19" s="36" t="str">
        <f ca="1">IFERROR(INDIRECT("summary!_results_nedc_h_prediction_output_vehicle_fuel_type__"),"")</f>
        <v/>
      </c>
      <c r="C19" s="37" t="str">
        <f ca="1">IFERROR(INDIRECT("summary!_results_nedc_l_prediction_output_vehicle_fuel_type__"),"")</f>
        <v/>
      </c>
      <c r="D19" s="7" t="s">
        <v>19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>
      <c r="A20" s="15" t="s">
        <v>20</v>
      </c>
      <c r="B20" s="38" t="str">
        <f ca="1">IFERROR(INDIRECT("summary!_results_nedc_h_prediction_output_vehicle_engine_capacity__cm3_"),"")</f>
        <v/>
      </c>
      <c r="C20" s="39" t="str">
        <f ca="1">IFERROR(INDIRECT("summary!_results_nedc_l_prediction_output_vehicle_engine_capacity__cm3_"),"")</f>
        <v/>
      </c>
      <c r="D20" s="7" t="s">
        <v>21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>
      <c r="A21" s="15" t="s">
        <v>22</v>
      </c>
      <c r="B21" s="38" t="str">
        <f ca="1">IFERROR(INDIRECT("summary!_results_nedc_h_prediction_output_vehicle_gear_box_type__"),"")</f>
        <v/>
      </c>
      <c r="C21" s="39" t="str">
        <f ca="1">IFERROR(INDIRECT("summary!_results_nedc_l_prediction_output_vehicle_gear_box_type__"),"")</f>
        <v/>
      </c>
      <c r="D21" s="7" t="s">
        <v>19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5.75" customHeight="1" thickBot="1">
      <c r="A22" s="18" t="s">
        <v>23</v>
      </c>
      <c r="B22" s="40" t="str">
        <f ca="1">IFERROR(INDIRECT("summary!_results_nedc_h_prediction_output_vehicle_engine_is_turbo__"),"")</f>
        <v/>
      </c>
      <c r="C22" s="41" t="str">
        <f ca="1">IFERROR(INDIRECT("summary!_results_nedc_l_prediction_output_vehicle_engine_is_turbo__"),"")</f>
        <v/>
      </c>
      <c r="D22" s="7" t="s">
        <v>19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5.75" customHeight="1">
      <c r="A23" s="15" t="s">
        <v>24</v>
      </c>
      <c r="B23" s="42" t="str">
        <f ca="1">IFERROR(INDIRECT("data.calibration.model_scores!_score_by_model_alternator_model_wltp_h_score"),"")</f>
        <v/>
      </c>
      <c r="C23" s="43" t="str">
        <f ca="1">IFERROR(INDIRECT("data.calibration.model_scores!_score_by_model_alternator_model_wltp_l_score"),"")</f>
        <v/>
      </c>
      <c r="D23" s="7" t="s">
        <v>25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customHeight="1">
      <c r="A24" s="15" t="s">
        <v>26</v>
      </c>
      <c r="B24" s="42" t="str">
        <f ca="1">IFERROR(INDIRECT("data.calibration.model_scores!_score_by_model_at_model_wltp_h_score"),"")</f>
        <v/>
      </c>
      <c r="C24" s="43" t="str">
        <f ca="1">IFERROR(INDIRECT("data.calibration.model_scores!_score_by_model_at_model_wltp_l_score"),"")</f>
        <v/>
      </c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customHeight="1">
      <c r="A25" s="15" t="s">
        <v>27</v>
      </c>
      <c r="B25" s="42" t="str">
        <f ca="1">IFERROR(INDIRECT("data.calibration.model_scores!_score_by_model_clutch_torque_converter_model_wltp_h_score"),"")</f>
        <v/>
      </c>
      <c r="C25" s="43" t="str">
        <f ca="1">IFERROR(INDIRECT("data.calibration.model_scores!_score_by_model_clutch_torque_converter_model_wltp_l_score"),"")</f>
        <v/>
      </c>
      <c r="D25" s="7" t="s">
        <v>28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5.75" customHeight="1">
      <c r="A26" s="15" t="s">
        <v>29</v>
      </c>
      <c r="B26" s="42" t="str">
        <f ca="1">IFERROR(INDIRECT("data.calibration.model_scores!_score_by_model_co2_params_wltp_h_score"),"")</f>
        <v/>
      </c>
      <c r="C26" s="43" t="str">
        <f ca="1">IFERROR(INDIRECT("data.calibration.model_scores!_score_by_model_co2_params_wltp_l_score"),"")</f>
        <v/>
      </c>
      <c r="D26" s="7" t="s">
        <v>30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5.75" customHeight="1">
      <c r="A27" s="15" t="s">
        <v>31</v>
      </c>
      <c r="B27" s="42" t="str">
        <f ca="1">IFERROR(INDIRECT("data.calibration.model_scores!_score_by_model_engine_cold_start_speed_model_wltp_h_score"),"")</f>
        <v/>
      </c>
      <c r="C27" s="43" t="str">
        <f ca="1">IFERROR(INDIRECT("data.calibration.model_scores!_score_by_model_engine_cold_start_speed_model_wltp_l_score"),"")</f>
        <v/>
      </c>
      <c r="D27" s="7" t="s">
        <v>28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>
      <c r="A28" s="15" t="s">
        <v>32</v>
      </c>
      <c r="B28" s="42" t="str">
        <f ca="1">IFERROR(INDIRECT("data.calibration.model_scores!_score_by_model_engine_coolant_temperature_model_wltp_h_score"),"")</f>
        <v/>
      </c>
      <c r="C28" s="43" t="str">
        <f ca="1">IFERROR(INDIRECT("data.calibration.model_scores!_score_by_model_engine_coolant_temperature_model_wltp_l_score"),"")</f>
        <v/>
      </c>
      <c r="D28" s="7" t="s">
        <v>33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customHeight="1">
      <c r="A29" s="15" t="s">
        <v>34</v>
      </c>
      <c r="B29" s="42" t="str">
        <f ca="1">IFERROR(INDIRECT("data.calibration.model_scores!_score_by_model_engine_speed_model_wltp_h_score"),"")</f>
        <v/>
      </c>
      <c r="C29" s="43" t="str">
        <f ca="1">IFERROR(INDIRECT("data.calibration.model_scores!_score_by_model_engine_speed_model_wltp_l_score"),"")</f>
        <v/>
      </c>
      <c r="D29" s="7" t="s">
        <v>28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customHeight="1" thickBot="1">
      <c r="A30" s="18" t="s">
        <v>35</v>
      </c>
      <c r="B30" s="44" t="str">
        <f ca="1">IFERROR(INDIRECT("data.calibration.model_scores!_score_by_model_start_stop_model_wltp_h_score"),"")</f>
        <v/>
      </c>
      <c r="C30" s="45" t="str">
        <f ca="1">IFERROR(INDIRECT("data.calibration.model_scores!_score_by_model_start_stop_model_wltp_l_score"),"")</f>
        <v/>
      </c>
      <c r="D30" s="7" t="s">
        <v>19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customHeight="1">
      <c r="A31" s="4"/>
      <c r="B31" s="24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customHeight="1">
      <c r="A32" s="46" t="s">
        <v>36</v>
      </c>
      <c r="B32" s="46" t="s">
        <v>5</v>
      </c>
      <c r="C32" s="46" t="s">
        <v>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customHeight="1">
      <c r="A33" s="47" t="s">
        <v>37</v>
      </c>
      <c r="B33" s="16" t="str">
        <f ca="1">IFERROR(INDIRECT("summary!_results_nedc_h_prediction_output_vehicle_f0__N_"),"")</f>
        <v/>
      </c>
      <c r="C33" s="16" t="str">
        <f ca="1">IFERROR(INDIRECT("summary!_results_nedc_l_prediction_output_vehicle_f0__N_"),"")</f>
        <v/>
      </c>
      <c r="D33" s="7" t="s">
        <v>38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customHeight="1">
      <c r="A34" s="48" t="s">
        <v>39</v>
      </c>
      <c r="B34" s="49" t="str">
        <f ca="1">IFERROR(INDIRECT("summary!_results_nedc_h_prediction_output_vehicle_f1__N__km_h__"),"")</f>
        <v/>
      </c>
      <c r="C34" s="49" t="str">
        <f ca="1">IFERROR(INDIRECT("summary!_results_nedc_l_prediction_output_vehicle_f1__N__km_h__"),"")</f>
        <v/>
      </c>
      <c r="D34" s="7" t="s">
        <v>40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5.75" customHeight="1">
      <c r="A35" s="48" t="s">
        <v>41</v>
      </c>
      <c r="B35" s="49" t="str">
        <f ca="1">IFERROR(INDIRECT("summary!_results_nedc_h_prediction_output_vehicle_f2__N__km_h__2_"),"")</f>
        <v/>
      </c>
      <c r="C35" s="49" t="str">
        <f ca="1">IFERROR(INDIRECT("summary!_results_nedc_l_prediction_output_vehicle_f2__N__km_h__2_"),"")</f>
        <v/>
      </c>
      <c r="D35" s="7" t="s">
        <v>42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5.75" customHeight="1">
      <c r="A36" s="47" t="s">
        <v>43</v>
      </c>
      <c r="B36" s="50" t="str">
        <f ca="1">IFERROR(INDIRECT("summary!_results_nedc_h_prediction_output_vehicle_mass__kg_"),"")</f>
        <v/>
      </c>
      <c r="C36" s="50" t="str">
        <f ca="1">IFERROR(INDIRECT("summary!_results_nedc_l_prediction_output_vehicle_mass__kg_"),"")</f>
        <v/>
      </c>
      <c r="D36" s="51" t="s">
        <v>44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customHeight="1">
      <c r="A37" s="46" t="s">
        <v>45</v>
      </c>
      <c r="B37" s="46" t="s">
        <v>5</v>
      </c>
      <c r="C37" s="46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customHeight="1">
      <c r="A38" s="47" t="s">
        <v>37</v>
      </c>
      <c r="B38" s="16" t="str">
        <f ca="1">IFERROR(INDIRECT("summary!_results_wltp_h_calibration_output_vehicle_f0__N_"),"")</f>
        <v/>
      </c>
      <c r="C38" s="16" t="str">
        <f ca="1">IFERROR(INDIRECT("summary!_results_wltp_l_calibration_output_vehicle_f0__N_"),"")</f>
        <v/>
      </c>
      <c r="D38" s="7" t="s">
        <v>38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5.75" customHeight="1">
      <c r="A39" s="48" t="s">
        <v>39</v>
      </c>
      <c r="B39" s="49" t="str">
        <f ca="1">IFERROR(INDIRECT("summary!_results_wltp_h_calibration_output_vehicle_f1__N__km_h__"),"")</f>
        <v/>
      </c>
      <c r="C39" s="49" t="str">
        <f ca="1">IFERROR(INDIRECT("summary!_results_wltp_l_calibration_output_vehicle_f1__N__km_h__"),"")</f>
        <v/>
      </c>
      <c r="D39" s="7" t="s">
        <v>40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customHeight="1">
      <c r="A40" s="48" t="s">
        <v>41</v>
      </c>
      <c r="B40" s="49" t="str">
        <f ca="1">IFERROR(INDIRECT("summary!_results_wltp_h_calibration_output_vehicle_f2__N__km_h__2_"),"")</f>
        <v/>
      </c>
      <c r="C40" s="49" t="str">
        <f ca="1">IFERROR(INDIRECT("summary!_results_wltp_l_calibration_output_vehicle_f2__N__km_h__2_"),"")</f>
        <v/>
      </c>
      <c r="D40" s="7" t="s">
        <v>42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5.75" customHeight="1">
      <c r="A41" s="47" t="s">
        <v>46</v>
      </c>
      <c r="B41" s="50" t="str">
        <f ca="1">IFERROR(INDIRECT("summary!_results_wltp_h_calibration_output_vehicle_mass__kg_"),"")</f>
        <v/>
      </c>
      <c r="C41" s="50" t="str">
        <f ca="1">IFERROR(INDIRECT("summary!_results_wltp_l_calibration_output_vehicle_mass__kg_"),"")</f>
        <v/>
      </c>
      <c r="D41" s="51" t="s">
        <v>44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5.75" customHeight="1">
      <c r="A42" s="47" t="s">
        <v>47</v>
      </c>
      <c r="B42" s="16" t="str">
        <f ca="1">IFERROR(INDIRECT("summary!_results_wltp_h_calibration_output_co2_emission_low__CO2g_km_"),"")</f>
        <v/>
      </c>
      <c r="C42" s="16" t="str">
        <f ca="1">IFERROR(INDIRECT("summary!_results_wltp_l_calibration_output_co2_emission_low__CO2g_km_"),"")</f>
        <v/>
      </c>
      <c r="D42" s="51" t="s">
        <v>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5.75" customHeight="1">
      <c r="A43" s="47" t="s">
        <v>48</v>
      </c>
      <c r="B43" s="16" t="str">
        <f ca="1">IFERROR(INDIRECT("summary!_results_wltp_h_calibration_output_co2_emission_medium__CO2g_km_"),"")</f>
        <v/>
      </c>
      <c r="C43" s="16" t="str">
        <f ca="1">IFERROR(INDIRECT("summary!_results_wltp_l_calibration_output_co2_emission_medium__CO2g_km_"),"")</f>
        <v/>
      </c>
      <c r="D43" s="51" t="s">
        <v>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customHeight="1">
      <c r="A44" s="47" t="s">
        <v>49</v>
      </c>
      <c r="B44" s="16" t="str">
        <f ca="1">IFERROR(INDIRECT("summary!_results_wltp_h_calibration_output_co2_emission_high__CO2g_km_"),"")</f>
        <v/>
      </c>
      <c r="C44" s="16" t="str">
        <f ca="1">IFERROR(INDIRECT("summary!_results_wltp_l_calibration_output_co2_emission_high__CO2g_km_"),"")</f>
        <v/>
      </c>
      <c r="D44" s="51" t="s">
        <v>9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customHeight="1">
      <c r="A45" s="47" t="s">
        <v>50</v>
      </c>
      <c r="B45" s="16" t="str">
        <f ca="1">IFERROR(INDIRECT("summary!_results_wltp_h_calibration_output_co2_emission_extra_high__CO2g_km_"),"")</f>
        <v/>
      </c>
      <c r="C45" s="16" t="str">
        <f ca="1">IFERROR(INDIRECT("summary!_results_wltp_l_calibration_output_co2_emission_extra_high__CO2g_km_"),"")</f>
        <v/>
      </c>
      <c r="D45" s="51" t="s">
        <v>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idden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7"/>
      <c r="O46" s="7"/>
      <c r="P46" s="7"/>
      <c r="Q46" s="7"/>
    </row>
    <row r="47" spans="1:17" hidden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</row>
    <row r="48" spans="1:17" hidden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7"/>
      <c r="N48" s="7"/>
      <c r="O48" s="7"/>
      <c r="P48" s="7"/>
      <c r="Q48" s="7"/>
    </row>
    <row r="49" spans="1:17" hidden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idden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idden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idden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idden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idden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idden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idden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5" customHeight="1"/>
    <row r="58" spans="1:17" ht="15" customHeight="1"/>
  </sheetData>
  <sheetProtection sheet="1" objects="1" scenarios="1"/>
  <conditionalFormatting sqref="B10:C10">
    <cfRule type="colorScale" priority="1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9">
      <formula>$B$4="False"</formula>
    </cfRule>
    <cfRule type="expression" dxfId="4" priority="10">
      <formula>$B$4="True"</formula>
    </cfRule>
  </conditionalFormatting>
  <conditionalFormatting sqref="B23:C23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B24:C24">
    <cfRule type="colorScale" priority="7">
      <colorScale>
        <cfvo type="num" val="-1"/>
        <cfvo type="num" val="0"/>
        <color rgb="FF00B050"/>
        <color rgb="FFFFC000"/>
      </colorScale>
    </cfRule>
  </conditionalFormatting>
  <conditionalFormatting sqref="B25:C25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26:C26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27:C27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28:C28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29:C29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30:C30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showRuler="0" view="pageLayout" zoomScaleNormal="100" workbookViewId="0">
      <selection activeCell="B2" sqref="B2"/>
    </sheetView>
  </sheetViews>
  <sheetFormatPr defaultColWidth="11.85546875" defaultRowHeight="12"/>
  <cols>
    <col min="1" max="1" width="34.5703125" style="52" bestFit="1" customWidth="1"/>
    <col min="2" max="3" width="27.140625" style="52" customWidth="1"/>
    <col min="4" max="16384" width="11.85546875" style="52"/>
  </cols>
  <sheetData>
    <row r="1" spans="1:3" s="5" customFormat="1" ht="15">
      <c r="A1" s="53" t="s">
        <v>74</v>
      </c>
      <c r="B1" s="53" t="s">
        <v>73</v>
      </c>
      <c r="C1" s="53" t="s">
        <v>72</v>
      </c>
    </row>
    <row r="2" spans="1:3" s="5" customFormat="1" ht="15">
      <c r="A2" s="1" t="s">
        <v>71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>
      <c r="A3" s="1" t="s">
        <v>70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>
      <c r="A4" s="1" t="s">
        <v>69</v>
      </c>
      <c r="B4" s="2" t="s">
        <v>68</v>
      </c>
      <c r="C4" s="2"/>
    </row>
    <row r="5" spans="1:3" s="5" customFormat="1" ht="15">
      <c r="A5" s="1" t="s">
        <v>67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>
      <c r="A6" s="1" t="s">
        <v>66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>
      <c r="A7" s="54" t="s">
        <v>65</v>
      </c>
      <c r="B7" s="54" t="str">
        <f ca="1">IFERROR((INDIRECT("summary!_comparison_declared_co2_emission_value_prediction_nedc_h_prediction_target_ratio")-1)*100,"")</f>
        <v/>
      </c>
      <c r="C7" s="54" t="str">
        <f ca="1">IFERROR((INDIRECT("summary!_comparison_declared_co2_emission_value_prediction_nedc_l_prediction_target_ratio")-1)*100,"")</f>
        <v/>
      </c>
    </row>
    <row r="8" spans="1:3" s="5" customFormat="1" ht="15">
      <c r="A8" s="53" t="s">
        <v>64</v>
      </c>
      <c r="B8" s="53"/>
      <c r="C8" s="53"/>
    </row>
    <row r="9" spans="1:3" s="5" customFormat="1" ht="15">
      <c r="A9" s="47" t="s">
        <v>63</v>
      </c>
      <c r="B9" s="38" t="str">
        <f ca="1">IFERROR(INDIRECT("summary!_results_nedc_h_prediction_output_vehicle_fuel_type__"),"")</f>
        <v/>
      </c>
      <c r="C9" s="38" t="str">
        <f ca="1">IFERROR(INDIRECT("summary!_results_nedc_l_prediction_output_vehicle_fuel_type__"),"")</f>
        <v/>
      </c>
    </row>
    <row r="10" spans="1:3" s="5" customFormat="1" ht="15">
      <c r="A10" s="47" t="s">
        <v>62</v>
      </c>
      <c r="B10" s="38" t="str">
        <f ca="1">IFERROR(INDIRECT("summary!_results_nedc_h_prediction_output_vehicle_engine_capacity__cm3_"),"")</f>
        <v/>
      </c>
      <c r="C10" s="38" t="str">
        <f ca="1">IFERROR(INDIRECT("summary!_results_nedc_l_prediction_output_vehicle_engine_capacity__cm3_"),"")</f>
        <v/>
      </c>
    </row>
    <row r="11" spans="1:3" s="5" customFormat="1" ht="15">
      <c r="A11" s="47" t="s">
        <v>61</v>
      </c>
      <c r="B11" s="38" t="str">
        <f ca="1">IFERROR(INDIRECT("summary!_results_nedc_h_prediction_output_vehicle_gear_box_type__"),"")</f>
        <v/>
      </c>
      <c r="C11" s="38" t="str">
        <f ca="1">IFERROR(INDIRECT("summary!_results_nedc_l_prediction_output_vehicle_gear_box_type__"),"")</f>
        <v/>
      </c>
    </row>
    <row r="12" spans="1:3" s="5" customFormat="1" ht="15">
      <c r="A12" s="47" t="s">
        <v>60</v>
      </c>
      <c r="B12" s="38" t="str">
        <f ca="1">IFERROR(INDIRECT("summary!_results_nedc_h_prediction_output_vehicle_engine_is_turbo__"),"")</f>
        <v/>
      </c>
      <c r="C12" s="38" t="str">
        <f ca="1">IFERROR(INDIRECT("summary!_results_nedc_l_prediction_output_vehicle_engine_is_turbo__"),"")</f>
        <v/>
      </c>
    </row>
    <row r="13" spans="1:3" s="5" customFormat="1" ht="15">
      <c r="A13" s="53" t="s">
        <v>59</v>
      </c>
      <c r="B13" s="53"/>
      <c r="C13" s="53"/>
    </row>
    <row r="14" spans="1:3" s="5" customFormat="1" ht="15">
      <c r="A14" s="47" t="s">
        <v>58</v>
      </c>
      <c r="B14" s="38" t="str">
        <f ca="1">IFERROR(INDIRECT("data.calibration.model_scores!_score_by_model_alternator_model_wltp_h_score"),"")</f>
        <v/>
      </c>
      <c r="C14" s="38" t="str">
        <f ca="1">IFERROR(INDIRECT("data.calibration.model_scores!_score_by_model_alternator_model_wltp_l_score"),"")</f>
        <v/>
      </c>
    </row>
    <row r="15" spans="1:3" s="5" customFormat="1" ht="15">
      <c r="A15" s="47" t="s">
        <v>57</v>
      </c>
      <c r="B15" s="38" t="str">
        <f ca="1">IFERROR(INDIRECT("data.calibration.model_scores!_score_by_model_at_model_wltp_h_score"),"")</f>
        <v/>
      </c>
      <c r="C15" s="38" t="str">
        <f ca="1">IFERROR(INDIRECT("data.calibration.model_scores!_score_by_model_at_model_wltp_l_score"),"")</f>
        <v/>
      </c>
    </row>
    <row r="16" spans="1:3" s="5" customFormat="1" ht="15">
      <c r="A16" s="47" t="s">
        <v>56</v>
      </c>
      <c r="B16" s="38" t="str">
        <f ca="1">IFERROR(INDIRECT("data.calibration.model_scores!_score_by_model_clutch_torque_converter_model_wltp_h_score"),"")</f>
        <v/>
      </c>
      <c r="C16" s="38" t="str">
        <f ca="1">IFERROR(INDIRECT("data.calibration.model_scores!_score_by_model_clutch_torque_converter_model_wltp_l_score"),"")</f>
        <v/>
      </c>
    </row>
    <row r="17" spans="1:3" s="5" customFormat="1" ht="15">
      <c r="A17" s="47" t="s">
        <v>55</v>
      </c>
      <c r="B17" s="38" t="str">
        <f ca="1">IFERROR(INDIRECT("data.calibration.model_scores!_score_by_model_co2_params_wltp_h_score"),"")</f>
        <v/>
      </c>
      <c r="C17" s="38" t="str">
        <f ca="1">IFERROR(INDIRECT("data.calibration.model_scores!_score_by_model_co2_params_wltp_l_score"),"")</f>
        <v/>
      </c>
    </row>
    <row r="18" spans="1:3" s="5" customFormat="1" ht="15">
      <c r="A18" s="47" t="s">
        <v>54</v>
      </c>
      <c r="B18" s="38" t="str">
        <f ca="1">IFERROR(INDIRECT("data.calibration.model_scores!_score_by_model_engine_cold_start_speed_model_wltp_h_score"),"")</f>
        <v/>
      </c>
      <c r="C18" s="38" t="str">
        <f ca="1">IFERROR(INDIRECT("data.calibration.model_scores!_score_by_model_engine_cold_start_speed_model_wltp_l_score"),"")</f>
        <v/>
      </c>
    </row>
    <row r="19" spans="1:3" s="5" customFormat="1" ht="15">
      <c r="A19" s="47" t="s">
        <v>53</v>
      </c>
      <c r="B19" s="38" t="str">
        <f ca="1">IFERROR(INDIRECT("data.calibration.model_scores!_score_by_model_engine_coolant_temperature_model_wltp_h_score"),"")</f>
        <v/>
      </c>
      <c r="C19" s="38" t="str">
        <f ca="1">IFERROR(INDIRECT("data.calibration.model_scores!_score_by_model_engine_coolant_temperature_model_wltp_l_score"),"")</f>
        <v/>
      </c>
    </row>
    <row r="20" spans="1:3" ht="15">
      <c r="A20" s="47" t="s">
        <v>52</v>
      </c>
      <c r="B20" s="38" t="str">
        <f ca="1">IFERROR(INDIRECT("data.calibration.model_scores!_score_by_model_engine_speed_model_wltp_h_score"),"")</f>
        <v/>
      </c>
      <c r="C20" s="38" t="str">
        <f ca="1">IFERROR(INDIRECT("data.calibration.model_scores!_score_by_model_engine_speed_model_wltp_l_score"),"")</f>
        <v/>
      </c>
    </row>
    <row r="21" spans="1:3" ht="15">
      <c r="A21" s="47" t="s">
        <v>51</v>
      </c>
      <c r="B21" s="38" t="str">
        <f ca="1">IFERROR(INDIRECT("data.calibration.model_scores!_score_by_model_start_stop_model_wltp_h_score"),"")</f>
        <v/>
      </c>
      <c r="C21" s="38" t="str">
        <f ca="1">IFERROR(INDIRECT("data.calibration.model_scores!_score_by_model_start_stop_model_wltp_l_score"),"")</f>
        <v/>
      </c>
    </row>
  </sheetData>
  <sheetProtection sheet="1" objects="1" scenarios="1"/>
  <conditionalFormatting sqref="B7:C7">
    <cfRule type="colorScale" priority="6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4">
      <formula>$B$6="False"</formula>
    </cfRule>
    <cfRule type="expression" dxfId="2" priority="5">
      <formula>$B$6="True"</formula>
    </cfRule>
  </conditionalFormatting>
  <conditionalFormatting sqref="A7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2017-02-10T10:05:36Z</dcterms:created>
  <dcterms:modified xsi:type="dcterms:W3CDTF">2017-02-10T10:07:17Z</dcterms:modified>
</cp:coreProperties>
</file>