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August\"/>
    </mc:Choice>
  </mc:AlternateContent>
  <bookViews>
    <workbookView xWindow="0" yWindow="0" windowWidth="16380" windowHeight="8190" tabRatio="500" activeTab="1"/>
  </bookViews>
  <sheets>
    <sheet name="TWS data" sheetId="1" r:id="rId1"/>
    <sheet name="Aug 3" sheetId="2" r:id="rId2"/>
    <sheet name="Aug 5" sheetId="3" r:id="rId3"/>
    <sheet name="July 7-14 - Second_old" sheetId="4" state="hidden" r:id="rId4"/>
    <sheet name="Aug 7" sheetId="5" r:id="rId5"/>
    <sheet name="Aug 10" sheetId="6" r:id="rId6"/>
    <sheet name="Aug 12" sheetId="7" r:id="rId7"/>
    <sheet name="Aug 14" sheetId="8" r:id="rId8"/>
    <sheet name="Aug 18" sheetId="9" r:id="rId9"/>
    <sheet name="Aug 21" sheetId="10" r:id="rId10"/>
    <sheet name="Aug 24" sheetId="11" r:id="rId11"/>
    <sheet name="Aug 26" sheetId="12" r:id="rId12"/>
    <sheet name="Aug 28" sheetId="13" r:id="rId13"/>
    <sheet name="Aug 31" sheetId="14" r:id="rId14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5" i="2" l="1"/>
  <c r="I1" i="2"/>
  <c r="K2" i="2"/>
  <c r="P3" i="2"/>
  <c r="P7" i="14"/>
  <c r="P7" i="13"/>
  <c r="P7" i="12"/>
  <c r="P7" i="11"/>
  <c r="P10" i="11"/>
  <c r="P7" i="10"/>
  <c r="P7" i="9"/>
  <c r="P7" i="8"/>
  <c r="P7" i="7"/>
  <c r="P7" i="6"/>
  <c r="P7" i="5"/>
  <c r="P7" i="3"/>
  <c r="O19" i="2"/>
  <c r="O9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O66" i="14"/>
  <c r="P66" i="14" s="1"/>
  <c r="O65" i="14"/>
  <c r="P65" i="14" s="1"/>
  <c r="O64" i="14"/>
  <c r="P64" i="14" s="1"/>
  <c r="O63" i="14"/>
  <c r="P63" i="14" s="1"/>
  <c r="O62" i="14"/>
  <c r="P62" i="14" s="1"/>
  <c r="O61" i="14"/>
  <c r="P61" i="14" s="1"/>
  <c r="O60" i="14"/>
  <c r="P60" i="14" s="1"/>
  <c r="O59" i="14"/>
  <c r="P59" i="14" s="1"/>
  <c r="O58" i="14"/>
  <c r="P58" i="14" s="1"/>
  <c r="O57" i="14"/>
  <c r="P57" i="14" s="1"/>
  <c r="O56" i="14"/>
  <c r="P56" i="14" s="1"/>
  <c r="O55" i="14"/>
  <c r="P55" i="14" s="1"/>
  <c r="O54" i="14"/>
  <c r="O53" i="14"/>
  <c r="O52" i="14"/>
  <c r="O51" i="14"/>
  <c r="O50" i="14"/>
  <c r="O49" i="14"/>
  <c r="O48" i="14"/>
  <c r="P48" i="14" s="1"/>
  <c r="O47" i="14"/>
  <c r="P47" i="14" s="1"/>
  <c r="O46" i="14"/>
  <c r="P46" i="14" s="1"/>
  <c r="O45" i="14"/>
  <c r="P45" i="14" s="1"/>
  <c r="O44" i="14"/>
  <c r="P44" i="14" s="1"/>
  <c r="O43" i="14"/>
  <c r="P43" i="14" s="1"/>
  <c r="O42" i="14"/>
  <c r="P42" i="14" s="1"/>
  <c r="O41" i="14"/>
  <c r="P41" i="14" s="1"/>
  <c r="O40" i="14"/>
  <c r="P40" i="14" s="1"/>
  <c r="O39" i="14"/>
  <c r="P39" i="14" s="1"/>
  <c r="O38" i="14"/>
  <c r="P38" i="14" s="1"/>
  <c r="O37" i="14"/>
  <c r="P37" i="14" s="1"/>
  <c r="O36" i="14"/>
  <c r="P36" i="14" s="1"/>
  <c r="O35" i="14"/>
  <c r="P35" i="14" s="1"/>
  <c r="O34" i="14"/>
  <c r="P34" i="14" s="1"/>
  <c r="O33" i="14"/>
  <c r="P33" i="14" s="1"/>
  <c r="O32" i="14"/>
  <c r="P32" i="14" s="1"/>
  <c r="O31" i="14"/>
  <c r="P31" i="14" s="1"/>
  <c r="O30" i="14"/>
  <c r="P30" i="14" s="1"/>
  <c r="O29" i="14"/>
  <c r="P29" i="14" s="1"/>
  <c r="O28" i="14"/>
  <c r="P28" i="14" s="1"/>
  <c r="O27" i="14"/>
  <c r="P27" i="14" s="1"/>
  <c r="O26" i="14"/>
  <c r="P26" i="14" s="1"/>
  <c r="O25" i="14"/>
  <c r="P25" i="14" s="1"/>
  <c r="O24" i="14"/>
  <c r="P24" i="14" s="1"/>
  <c r="O23" i="14"/>
  <c r="P23" i="14" s="1"/>
  <c r="O22" i="14"/>
  <c r="O21" i="14"/>
  <c r="O20" i="14"/>
  <c r="O19" i="14"/>
  <c r="O18" i="14"/>
  <c r="O17" i="14"/>
  <c r="O16" i="14"/>
  <c r="P16" i="14" s="1"/>
  <c r="O15" i="14"/>
  <c r="P15" i="14" s="1"/>
  <c r="O14" i="14"/>
  <c r="P14" i="14" s="1"/>
  <c r="O13" i="14"/>
  <c r="P13" i="14" s="1"/>
  <c r="O12" i="14"/>
  <c r="P12" i="14" s="1"/>
  <c r="O11" i="14"/>
  <c r="P11" i="14" s="1"/>
  <c r="O10" i="14"/>
  <c r="P10" i="14" s="1"/>
  <c r="P54" i="14"/>
  <c r="P53" i="14"/>
  <c r="P52" i="14"/>
  <c r="P51" i="14"/>
  <c r="P50" i="14"/>
  <c r="P49" i="14"/>
  <c r="P22" i="14"/>
  <c r="P21" i="14"/>
  <c r="P20" i="14"/>
  <c r="P19" i="14"/>
  <c r="P18" i="14"/>
  <c r="P17" i="14"/>
  <c r="P9" i="14"/>
  <c r="P66" i="13"/>
  <c r="O29" i="13"/>
  <c r="P29" i="13" s="1"/>
  <c r="O30" i="13"/>
  <c r="P30" i="13" s="1"/>
  <c r="O31" i="13"/>
  <c r="P31" i="13" s="1"/>
  <c r="O32" i="13"/>
  <c r="P32" i="13" s="1"/>
  <c r="O34" i="13"/>
  <c r="P34" i="13" s="1"/>
  <c r="O42" i="13"/>
  <c r="O43" i="13"/>
  <c r="O44" i="13"/>
  <c r="O51" i="13"/>
  <c r="O52" i="13"/>
  <c r="O53" i="13"/>
  <c r="O54" i="13"/>
  <c r="O55" i="13"/>
  <c r="O5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P56" i="13"/>
  <c r="P55" i="13"/>
  <c r="P54" i="13"/>
  <c r="P53" i="13"/>
  <c r="P52" i="13"/>
  <c r="P51" i="13"/>
  <c r="P44" i="13"/>
  <c r="P43" i="13"/>
  <c r="P42" i="13"/>
  <c r="O65" i="12"/>
  <c r="O64" i="12"/>
  <c r="O63" i="12"/>
  <c r="O62" i="12"/>
  <c r="O61" i="12"/>
  <c r="O60" i="12"/>
  <c r="O59" i="12"/>
  <c r="O58" i="12"/>
  <c r="P58" i="12" s="1"/>
  <c r="O57" i="12"/>
  <c r="P57" i="12" s="1"/>
  <c r="O56" i="12"/>
  <c r="P56" i="12" s="1"/>
  <c r="O55" i="12"/>
  <c r="P55" i="12" s="1"/>
  <c r="O54" i="12"/>
  <c r="P54" i="12" s="1"/>
  <c r="O53" i="12"/>
  <c r="P53" i="12" s="1"/>
  <c r="O52" i="12"/>
  <c r="P52" i="12" s="1"/>
  <c r="O51" i="12"/>
  <c r="P51" i="12" s="1"/>
  <c r="O50" i="12"/>
  <c r="P50" i="12" s="1"/>
  <c r="O49" i="12"/>
  <c r="P49" i="12" s="1"/>
  <c r="O48" i="12"/>
  <c r="P48" i="12" s="1"/>
  <c r="O47" i="12"/>
  <c r="P47" i="12" s="1"/>
  <c r="O46" i="12"/>
  <c r="P46" i="12" s="1"/>
  <c r="O45" i="12"/>
  <c r="P45" i="12" s="1"/>
  <c r="O44" i="12"/>
  <c r="P44" i="12" s="1"/>
  <c r="O43" i="12"/>
  <c r="P43" i="12" s="1"/>
  <c r="O42" i="12"/>
  <c r="P42" i="12" s="1"/>
  <c r="O41" i="12"/>
  <c r="P41" i="12" s="1"/>
  <c r="O40" i="12"/>
  <c r="P40" i="12" s="1"/>
  <c r="O39" i="12"/>
  <c r="P39" i="12" s="1"/>
  <c r="O38" i="12"/>
  <c r="P38" i="12" s="1"/>
  <c r="O37" i="12"/>
  <c r="P37" i="12" s="1"/>
  <c r="O36" i="12"/>
  <c r="P36" i="12" s="1"/>
  <c r="O35" i="12"/>
  <c r="P35" i="12" s="1"/>
  <c r="O34" i="12"/>
  <c r="P34" i="12" s="1"/>
  <c r="O33" i="12"/>
  <c r="O32" i="12"/>
  <c r="O31" i="12"/>
  <c r="O30" i="12"/>
  <c r="O29" i="12"/>
  <c r="O28" i="12"/>
  <c r="O27" i="12"/>
  <c r="O26" i="12"/>
  <c r="P26" i="12" s="1"/>
  <c r="O25" i="12"/>
  <c r="P25" i="12" s="1"/>
  <c r="O24" i="12"/>
  <c r="P24" i="12" s="1"/>
  <c r="O23" i="12"/>
  <c r="P23" i="12" s="1"/>
  <c r="O22" i="12"/>
  <c r="P22" i="12" s="1"/>
  <c r="O21" i="12"/>
  <c r="P21" i="12" s="1"/>
  <c r="O20" i="12"/>
  <c r="P20" i="12" s="1"/>
  <c r="O19" i="12"/>
  <c r="P19" i="12" s="1"/>
  <c r="O18" i="12"/>
  <c r="P18" i="12" s="1"/>
  <c r="O17" i="12"/>
  <c r="P17" i="12" s="1"/>
  <c r="O16" i="12"/>
  <c r="P16" i="12" s="1"/>
  <c r="O15" i="12"/>
  <c r="P15" i="12" s="1"/>
  <c r="O14" i="12"/>
  <c r="P14" i="12" s="1"/>
  <c r="O13" i="12"/>
  <c r="P13" i="12" s="1"/>
  <c r="O12" i="12"/>
  <c r="P12" i="12" s="1"/>
  <c r="O11" i="12"/>
  <c r="P11" i="12" s="1"/>
  <c r="O10" i="12"/>
  <c r="P10" i="12" s="1"/>
  <c r="O9" i="12"/>
  <c r="P65" i="12"/>
  <c r="P64" i="12"/>
  <c r="P63" i="12"/>
  <c r="P62" i="12"/>
  <c r="P61" i="12"/>
  <c r="P60" i="12"/>
  <c r="P59" i="12"/>
  <c r="P33" i="12"/>
  <c r="P32" i="12"/>
  <c r="P31" i="12"/>
  <c r="P30" i="12"/>
  <c r="P29" i="12"/>
  <c r="P28" i="12"/>
  <c r="P27" i="12"/>
  <c r="P9" i="12"/>
  <c r="O65" i="11"/>
  <c r="O64" i="11"/>
  <c r="O63" i="11"/>
  <c r="O62" i="11"/>
  <c r="O61" i="11"/>
  <c r="O60" i="11"/>
  <c r="O59" i="11"/>
  <c r="O58" i="11"/>
  <c r="P58" i="11" s="1"/>
  <c r="O57" i="11"/>
  <c r="P57" i="11" s="1"/>
  <c r="O56" i="11"/>
  <c r="P56" i="11" s="1"/>
  <c r="O55" i="11"/>
  <c r="P55" i="11" s="1"/>
  <c r="O54" i="11"/>
  <c r="P54" i="11" s="1"/>
  <c r="O53" i="11"/>
  <c r="P53" i="11" s="1"/>
  <c r="O52" i="11"/>
  <c r="P52" i="11" s="1"/>
  <c r="O51" i="11"/>
  <c r="P51" i="11" s="1"/>
  <c r="O50" i="11"/>
  <c r="P50" i="11" s="1"/>
  <c r="O49" i="11"/>
  <c r="P49" i="11" s="1"/>
  <c r="O48" i="11"/>
  <c r="P48" i="11" s="1"/>
  <c r="O47" i="11"/>
  <c r="P47" i="11" s="1"/>
  <c r="O46" i="11"/>
  <c r="P46" i="11" s="1"/>
  <c r="O45" i="11"/>
  <c r="P45" i="11" s="1"/>
  <c r="O44" i="11"/>
  <c r="P44" i="11" s="1"/>
  <c r="O43" i="11"/>
  <c r="P43" i="11" s="1"/>
  <c r="O42" i="11"/>
  <c r="P42" i="11" s="1"/>
  <c r="O41" i="11"/>
  <c r="P41" i="11" s="1"/>
  <c r="O40" i="11"/>
  <c r="P40" i="11" s="1"/>
  <c r="O39" i="11"/>
  <c r="P39" i="11" s="1"/>
  <c r="O38" i="11"/>
  <c r="P38" i="11" s="1"/>
  <c r="O37" i="11"/>
  <c r="P37" i="11" s="1"/>
  <c r="O36" i="11"/>
  <c r="P36" i="11" s="1"/>
  <c r="O35" i="11"/>
  <c r="P35" i="11" s="1"/>
  <c r="O34" i="11"/>
  <c r="P34" i="11" s="1"/>
  <c r="O33" i="11"/>
  <c r="O32" i="11"/>
  <c r="O31" i="11"/>
  <c r="O30" i="11"/>
  <c r="O29" i="11"/>
  <c r="O28" i="11"/>
  <c r="O27" i="11"/>
  <c r="O26" i="11"/>
  <c r="P26" i="11" s="1"/>
  <c r="O25" i="11"/>
  <c r="P25" i="11" s="1"/>
  <c r="O24" i="11"/>
  <c r="P24" i="11" s="1"/>
  <c r="O23" i="11"/>
  <c r="P23" i="11" s="1"/>
  <c r="O22" i="11"/>
  <c r="P22" i="11" s="1"/>
  <c r="O21" i="11"/>
  <c r="P21" i="11" s="1"/>
  <c r="O20" i="11"/>
  <c r="P20" i="11" s="1"/>
  <c r="O19" i="11"/>
  <c r="P19" i="11" s="1"/>
  <c r="O18" i="11"/>
  <c r="P18" i="11" s="1"/>
  <c r="O17" i="11"/>
  <c r="P17" i="11" s="1"/>
  <c r="O16" i="11"/>
  <c r="P16" i="11" s="1"/>
  <c r="O15" i="11"/>
  <c r="P15" i="11" s="1"/>
  <c r="O14" i="11"/>
  <c r="P14" i="11" s="1"/>
  <c r="O13" i="11"/>
  <c r="P13" i="11" s="1"/>
  <c r="O12" i="11"/>
  <c r="P12" i="11" s="1"/>
  <c r="O11" i="11"/>
  <c r="P11" i="11" s="1"/>
  <c r="O10" i="11"/>
  <c r="O9" i="11"/>
  <c r="P65" i="11"/>
  <c r="P64" i="11"/>
  <c r="P63" i="11"/>
  <c r="P62" i="11"/>
  <c r="P61" i="11"/>
  <c r="P60" i="11"/>
  <c r="P59" i="11"/>
  <c r="P33" i="11"/>
  <c r="P32" i="11"/>
  <c r="P31" i="11"/>
  <c r="P30" i="11"/>
  <c r="P29" i="11"/>
  <c r="P28" i="11"/>
  <c r="P27" i="11"/>
  <c r="P9" i="11"/>
  <c r="O65" i="10"/>
  <c r="O64" i="10"/>
  <c r="O63" i="10"/>
  <c r="O62" i="10"/>
  <c r="O61" i="10"/>
  <c r="O60" i="10"/>
  <c r="O59" i="10"/>
  <c r="O58" i="10"/>
  <c r="P58" i="10" s="1"/>
  <c r="O57" i="10"/>
  <c r="P57" i="10" s="1"/>
  <c r="O56" i="10"/>
  <c r="P56" i="10" s="1"/>
  <c r="O55" i="10"/>
  <c r="P55" i="10" s="1"/>
  <c r="O54" i="10"/>
  <c r="P54" i="10" s="1"/>
  <c r="O53" i="10"/>
  <c r="P53" i="10" s="1"/>
  <c r="O52" i="10"/>
  <c r="P52" i="10" s="1"/>
  <c r="O51" i="10"/>
  <c r="P51" i="10" s="1"/>
  <c r="O50" i="10"/>
  <c r="P50" i="10" s="1"/>
  <c r="O49" i="10"/>
  <c r="P49" i="10" s="1"/>
  <c r="O48" i="10"/>
  <c r="P48" i="10" s="1"/>
  <c r="O47" i="10"/>
  <c r="P47" i="10" s="1"/>
  <c r="O46" i="10"/>
  <c r="P46" i="10" s="1"/>
  <c r="O45" i="10"/>
  <c r="P45" i="10" s="1"/>
  <c r="O44" i="10"/>
  <c r="P44" i="10" s="1"/>
  <c r="O43" i="10"/>
  <c r="P43" i="10" s="1"/>
  <c r="O42" i="10"/>
  <c r="P42" i="10" s="1"/>
  <c r="O41" i="10"/>
  <c r="P41" i="10" s="1"/>
  <c r="O40" i="10"/>
  <c r="P40" i="10" s="1"/>
  <c r="O39" i="10"/>
  <c r="P39" i="10" s="1"/>
  <c r="O38" i="10"/>
  <c r="P38" i="10" s="1"/>
  <c r="O37" i="10"/>
  <c r="P37" i="10" s="1"/>
  <c r="O36" i="10"/>
  <c r="P36" i="10" s="1"/>
  <c r="O35" i="10"/>
  <c r="P35" i="10" s="1"/>
  <c r="O34" i="10"/>
  <c r="P34" i="10" s="1"/>
  <c r="O33" i="10"/>
  <c r="O32" i="10"/>
  <c r="O31" i="10"/>
  <c r="O30" i="10"/>
  <c r="O29" i="10"/>
  <c r="O28" i="10"/>
  <c r="O27" i="10"/>
  <c r="O26" i="10"/>
  <c r="P26" i="10" s="1"/>
  <c r="O25" i="10"/>
  <c r="P25" i="10" s="1"/>
  <c r="O24" i="10"/>
  <c r="P24" i="10" s="1"/>
  <c r="O23" i="10"/>
  <c r="P23" i="10" s="1"/>
  <c r="O22" i="10"/>
  <c r="P22" i="10" s="1"/>
  <c r="O21" i="10"/>
  <c r="P21" i="10" s="1"/>
  <c r="O20" i="10"/>
  <c r="P20" i="10" s="1"/>
  <c r="O19" i="10"/>
  <c r="P19" i="10" s="1"/>
  <c r="O18" i="10"/>
  <c r="P18" i="10" s="1"/>
  <c r="O17" i="10"/>
  <c r="P17" i="10" s="1"/>
  <c r="O16" i="10"/>
  <c r="P16" i="10" s="1"/>
  <c r="O15" i="10"/>
  <c r="P15" i="10" s="1"/>
  <c r="O14" i="10"/>
  <c r="P14" i="10" s="1"/>
  <c r="O13" i="10"/>
  <c r="P13" i="10" s="1"/>
  <c r="O12" i="10"/>
  <c r="P12" i="10" s="1"/>
  <c r="O11" i="10"/>
  <c r="P11" i="10" s="1"/>
  <c r="O10" i="10"/>
  <c r="P10" i="10" s="1"/>
  <c r="O9" i="10"/>
  <c r="P65" i="10"/>
  <c r="P64" i="10"/>
  <c r="P63" i="10"/>
  <c r="P62" i="10"/>
  <c r="P61" i="10"/>
  <c r="P60" i="10"/>
  <c r="P59" i="10"/>
  <c r="P33" i="10"/>
  <c r="P32" i="10"/>
  <c r="P31" i="10"/>
  <c r="P30" i="10"/>
  <c r="P29" i="10"/>
  <c r="P28" i="10"/>
  <c r="P27" i="10"/>
  <c r="P9" i="10"/>
  <c r="O37" i="9"/>
  <c r="O65" i="9"/>
  <c r="O64" i="9"/>
  <c r="O63" i="9"/>
  <c r="O62" i="9"/>
  <c r="O61" i="9"/>
  <c r="O60" i="9"/>
  <c r="O59" i="9"/>
  <c r="O58" i="9"/>
  <c r="P58" i="9" s="1"/>
  <c r="O57" i="9"/>
  <c r="P57" i="9" s="1"/>
  <c r="O56" i="9"/>
  <c r="P56" i="9" s="1"/>
  <c r="O55" i="9"/>
  <c r="P55" i="9" s="1"/>
  <c r="O54" i="9"/>
  <c r="P54" i="9" s="1"/>
  <c r="O53" i="9"/>
  <c r="P53" i="9" s="1"/>
  <c r="O52" i="9"/>
  <c r="P52" i="9" s="1"/>
  <c r="O51" i="9"/>
  <c r="P51" i="9" s="1"/>
  <c r="O50" i="9"/>
  <c r="P50" i="9" s="1"/>
  <c r="O49" i="9"/>
  <c r="P49" i="9" s="1"/>
  <c r="O48" i="9"/>
  <c r="P48" i="9" s="1"/>
  <c r="O47" i="9"/>
  <c r="P47" i="9" s="1"/>
  <c r="O46" i="9"/>
  <c r="P46" i="9" s="1"/>
  <c r="O45" i="9"/>
  <c r="P45" i="9" s="1"/>
  <c r="O44" i="9"/>
  <c r="P44" i="9" s="1"/>
  <c r="O43" i="9"/>
  <c r="P43" i="9" s="1"/>
  <c r="O42" i="9"/>
  <c r="P42" i="9" s="1"/>
  <c r="O41" i="9"/>
  <c r="P41" i="9" s="1"/>
  <c r="O40" i="9"/>
  <c r="P40" i="9" s="1"/>
  <c r="O39" i="9"/>
  <c r="P39" i="9" s="1"/>
  <c r="O38" i="9"/>
  <c r="P38" i="9" s="1"/>
  <c r="P37" i="9"/>
  <c r="O36" i="9"/>
  <c r="P36" i="9" s="1"/>
  <c r="O35" i="9"/>
  <c r="P35" i="9" s="1"/>
  <c r="O34" i="9"/>
  <c r="P34" i="9" s="1"/>
  <c r="O33" i="9"/>
  <c r="O32" i="9"/>
  <c r="O31" i="9"/>
  <c r="O30" i="9"/>
  <c r="O29" i="9"/>
  <c r="O28" i="9"/>
  <c r="O27" i="9"/>
  <c r="O26" i="9"/>
  <c r="P26" i="9" s="1"/>
  <c r="O25" i="9"/>
  <c r="P25" i="9" s="1"/>
  <c r="O24" i="9"/>
  <c r="P24" i="9" s="1"/>
  <c r="O23" i="9"/>
  <c r="P23" i="9" s="1"/>
  <c r="O22" i="9"/>
  <c r="P22" i="9" s="1"/>
  <c r="O21" i="9"/>
  <c r="P21" i="9" s="1"/>
  <c r="O20" i="9"/>
  <c r="P20" i="9" s="1"/>
  <c r="O19" i="9"/>
  <c r="P19" i="9" s="1"/>
  <c r="O18" i="9"/>
  <c r="P18" i="9" s="1"/>
  <c r="O17" i="9"/>
  <c r="P17" i="9" s="1"/>
  <c r="O16" i="9"/>
  <c r="P16" i="9" s="1"/>
  <c r="O15" i="9"/>
  <c r="P15" i="9" s="1"/>
  <c r="O14" i="9"/>
  <c r="P14" i="9" s="1"/>
  <c r="O13" i="9"/>
  <c r="P13" i="9" s="1"/>
  <c r="O12" i="9"/>
  <c r="P12" i="9" s="1"/>
  <c r="O11" i="9"/>
  <c r="P11" i="9" s="1"/>
  <c r="O10" i="9"/>
  <c r="P10" i="9" s="1"/>
  <c r="O9" i="9"/>
  <c r="P9" i="9" s="1"/>
  <c r="P65" i="9"/>
  <c r="P64" i="9"/>
  <c r="P63" i="9"/>
  <c r="P62" i="9"/>
  <c r="P61" i="9"/>
  <c r="P60" i="9"/>
  <c r="P59" i="9"/>
  <c r="P33" i="9"/>
  <c r="P32" i="9"/>
  <c r="P31" i="9"/>
  <c r="P30" i="9"/>
  <c r="P29" i="9"/>
  <c r="P28" i="9"/>
  <c r="P27" i="9"/>
  <c r="O9" i="8"/>
  <c r="O65" i="8" l="1"/>
  <c r="O64" i="8"/>
  <c r="O63" i="8"/>
  <c r="O62" i="8"/>
  <c r="O61" i="8"/>
  <c r="O60" i="8"/>
  <c r="O59" i="8"/>
  <c r="O58" i="8"/>
  <c r="P58" i="8" s="1"/>
  <c r="O57" i="8"/>
  <c r="P57" i="8" s="1"/>
  <c r="O56" i="8"/>
  <c r="P56" i="8" s="1"/>
  <c r="O55" i="8"/>
  <c r="P55" i="8" s="1"/>
  <c r="O54" i="8"/>
  <c r="P54" i="8" s="1"/>
  <c r="O53" i="8"/>
  <c r="P53" i="8" s="1"/>
  <c r="O52" i="8"/>
  <c r="P52" i="8" s="1"/>
  <c r="O51" i="8"/>
  <c r="P51" i="8" s="1"/>
  <c r="O50" i="8"/>
  <c r="P50" i="8" s="1"/>
  <c r="O49" i="8"/>
  <c r="P49" i="8" s="1"/>
  <c r="O48" i="8"/>
  <c r="P48" i="8" s="1"/>
  <c r="O47" i="8"/>
  <c r="P47" i="8" s="1"/>
  <c r="O46" i="8"/>
  <c r="P46" i="8" s="1"/>
  <c r="O45" i="8"/>
  <c r="P45" i="8" s="1"/>
  <c r="O44" i="8"/>
  <c r="P44" i="8" s="1"/>
  <c r="O43" i="8"/>
  <c r="P43" i="8" s="1"/>
  <c r="O42" i="8"/>
  <c r="O41" i="8"/>
  <c r="O40" i="8"/>
  <c r="O39" i="8"/>
  <c r="O38" i="8"/>
  <c r="P38" i="8" s="1"/>
  <c r="O37" i="8"/>
  <c r="P37" i="8" s="1"/>
  <c r="O36" i="8"/>
  <c r="P36" i="8" s="1"/>
  <c r="O35" i="8"/>
  <c r="O34" i="8"/>
  <c r="P34" i="8" s="1"/>
  <c r="O33" i="8"/>
  <c r="O32" i="8"/>
  <c r="O31" i="8"/>
  <c r="O30" i="8"/>
  <c r="O29" i="8"/>
  <c r="O28" i="8"/>
  <c r="O27" i="8"/>
  <c r="O26" i="8"/>
  <c r="P26" i="8" s="1"/>
  <c r="O25" i="8"/>
  <c r="P25" i="8" s="1"/>
  <c r="O24" i="8"/>
  <c r="P24" i="8" s="1"/>
  <c r="O23" i="8"/>
  <c r="P23" i="8" s="1"/>
  <c r="O22" i="8"/>
  <c r="P22" i="8" s="1"/>
  <c r="O21" i="8"/>
  <c r="P21" i="8" s="1"/>
  <c r="O20" i="8"/>
  <c r="P20" i="8" s="1"/>
  <c r="O19" i="8"/>
  <c r="P19" i="8" s="1"/>
  <c r="O18" i="8"/>
  <c r="P18" i="8" s="1"/>
  <c r="O17" i="8"/>
  <c r="P17" i="8" s="1"/>
  <c r="O16" i="8"/>
  <c r="P16" i="8" s="1"/>
  <c r="O15" i="8"/>
  <c r="P15" i="8" s="1"/>
  <c r="O14" i="8"/>
  <c r="P14" i="8" s="1"/>
  <c r="O13" i="8"/>
  <c r="P13" i="8" s="1"/>
  <c r="O12" i="8"/>
  <c r="P12" i="8" s="1"/>
  <c r="O11" i="8"/>
  <c r="P11" i="8" s="1"/>
  <c r="O10" i="8"/>
  <c r="P65" i="8"/>
  <c r="P64" i="8"/>
  <c r="P63" i="8"/>
  <c r="P62" i="8"/>
  <c r="P61" i="8"/>
  <c r="P60" i="8"/>
  <c r="P59" i="8"/>
  <c r="P42" i="8"/>
  <c r="P41" i="8"/>
  <c r="P40" i="8"/>
  <c r="P39" i="8"/>
  <c r="P35" i="8"/>
  <c r="P33" i="8"/>
  <c r="P32" i="8"/>
  <c r="P31" i="8"/>
  <c r="P30" i="8"/>
  <c r="P29" i="8"/>
  <c r="P28" i="8"/>
  <c r="P27" i="8"/>
  <c r="P10" i="8"/>
  <c r="P9" i="8"/>
  <c r="O65" i="7"/>
  <c r="O64" i="7"/>
  <c r="O63" i="7"/>
  <c r="O62" i="7"/>
  <c r="O61" i="7"/>
  <c r="O60" i="7"/>
  <c r="O59" i="7"/>
  <c r="O58" i="7"/>
  <c r="P58" i="7" s="1"/>
  <c r="O57" i="7"/>
  <c r="P57" i="7" s="1"/>
  <c r="O56" i="7"/>
  <c r="P56" i="7" s="1"/>
  <c r="O55" i="7"/>
  <c r="P55" i="7" s="1"/>
  <c r="O54" i="7"/>
  <c r="P54" i="7" s="1"/>
  <c r="O53" i="7"/>
  <c r="P53" i="7" s="1"/>
  <c r="O52" i="7"/>
  <c r="P52" i="7" s="1"/>
  <c r="O51" i="7"/>
  <c r="P51" i="7" s="1"/>
  <c r="O50" i="7"/>
  <c r="P50" i="7" s="1"/>
  <c r="O49" i="7"/>
  <c r="P49" i="7" s="1"/>
  <c r="O48" i="7"/>
  <c r="P48" i="7" s="1"/>
  <c r="O47" i="7"/>
  <c r="P47" i="7" s="1"/>
  <c r="O46" i="7"/>
  <c r="P46" i="7" s="1"/>
  <c r="O45" i="7"/>
  <c r="P45" i="7" s="1"/>
  <c r="O44" i="7"/>
  <c r="P44" i="7" s="1"/>
  <c r="O43" i="7"/>
  <c r="P43" i="7" s="1"/>
  <c r="O42" i="7"/>
  <c r="P42" i="7" s="1"/>
  <c r="O41" i="7"/>
  <c r="P41" i="7" s="1"/>
  <c r="O40" i="7"/>
  <c r="O39" i="7"/>
  <c r="P39" i="7" s="1"/>
  <c r="O38" i="7"/>
  <c r="P38" i="7" s="1"/>
  <c r="O37" i="7"/>
  <c r="P37" i="7" s="1"/>
  <c r="O36" i="7"/>
  <c r="P36" i="7" s="1"/>
  <c r="O35" i="7"/>
  <c r="O34" i="7"/>
  <c r="O33" i="7"/>
  <c r="O32" i="7"/>
  <c r="O31" i="7"/>
  <c r="O30" i="7"/>
  <c r="O29" i="7"/>
  <c r="O28" i="7"/>
  <c r="O27" i="7"/>
  <c r="O26" i="7"/>
  <c r="P26" i="7" s="1"/>
  <c r="O25" i="7"/>
  <c r="P25" i="7" s="1"/>
  <c r="O24" i="7"/>
  <c r="P24" i="7" s="1"/>
  <c r="O23" i="7"/>
  <c r="P23" i="7" s="1"/>
  <c r="O22" i="7"/>
  <c r="P22" i="7" s="1"/>
  <c r="O21" i="7"/>
  <c r="P21" i="7" s="1"/>
  <c r="O20" i="7"/>
  <c r="P20" i="7" s="1"/>
  <c r="O19" i="7"/>
  <c r="P19" i="7" s="1"/>
  <c r="O18" i="7"/>
  <c r="P18" i="7" s="1"/>
  <c r="O17" i="7"/>
  <c r="P17" i="7" s="1"/>
  <c r="O16" i="7"/>
  <c r="P16" i="7" s="1"/>
  <c r="O15" i="7"/>
  <c r="P15" i="7" s="1"/>
  <c r="O14" i="7"/>
  <c r="P14" i="7" s="1"/>
  <c r="O13" i="7"/>
  <c r="P13" i="7" s="1"/>
  <c r="O12" i="7"/>
  <c r="P12" i="7" s="1"/>
  <c r="O11" i="7"/>
  <c r="P11" i="7" s="1"/>
  <c r="O10" i="7"/>
  <c r="P10" i="7" s="1"/>
  <c r="O9" i="7"/>
  <c r="P65" i="7"/>
  <c r="P64" i="7"/>
  <c r="P63" i="7"/>
  <c r="P62" i="7"/>
  <c r="P61" i="7"/>
  <c r="P60" i="7"/>
  <c r="P59" i="7"/>
  <c r="P40" i="7"/>
  <c r="P35" i="7"/>
  <c r="P34" i="7"/>
  <c r="P33" i="7"/>
  <c r="P32" i="7"/>
  <c r="P31" i="7"/>
  <c r="P30" i="7"/>
  <c r="P29" i="7"/>
  <c r="P28" i="7"/>
  <c r="P27" i="7"/>
  <c r="P9" i="7"/>
  <c r="O65" i="6"/>
  <c r="O64" i="6"/>
  <c r="O63" i="6"/>
  <c r="O62" i="6"/>
  <c r="O61" i="6"/>
  <c r="O60" i="6"/>
  <c r="O59" i="6"/>
  <c r="O58" i="6"/>
  <c r="P58" i="6" s="1"/>
  <c r="O57" i="6"/>
  <c r="P57" i="6" s="1"/>
  <c r="O56" i="6"/>
  <c r="P56" i="6" s="1"/>
  <c r="O55" i="6"/>
  <c r="P55" i="6" s="1"/>
  <c r="O54" i="6"/>
  <c r="P54" i="6" s="1"/>
  <c r="O53" i="6"/>
  <c r="P53" i="6" s="1"/>
  <c r="O52" i="6"/>
  <c r="P52" i="6" s="1"/>
  <c r="O51" i="6"/>
  <c r="P51" i="6" s="1"/>
  <c r="O50" i="6"/>
  <c r="P50" i="6" s="1"/>
  <c r="O49" i="6"/>
  <c r="P49" i="6" s="1"/>
  <c r="O48" i="6"/>
  <c r="P48" i="6" s="1"/>
  <c r="O47" i="6"/>
  <c r="P47" i="6" s="1"/>
  <c r="O46" i="6"/>
  <c r="P46" i="6" s="1"/>
  <c r="O45" i="6"/>
  <c r="P45" i="6" s="1"/>
  <c r="O44" i="6"/>
  <c r="P44" i="6" s="1"/>
  <c r="O43" i="6"/>
  <c r="P43" i="6" s="1"/>
  <c r="O42" i="6"/>
  <c r="O41" i="6"/>
  <c r="P41" i="6" s="1"/>
  <c r="O40" i="6"/>
  <c r="P40" i="6" s="1"/>
  <c r="O39" i="6"/>
  <c r="O38" i="6"/>
  <c r="O37" i="6"/>
  <c r="O36" i="6"/>
  <c r="O35" i="6"/>
  <c r="P35" i="6" s="1"/>
  <c r="O34" i="6"/>
  <c r="O33" i="6"/>
  <c r="O32" i="6"/>
  <c r="O31" i="6"/>
  <c r="O30" i="6"/>
  <c r="O29" i="6"/>
  <c r="O28" i="6"/>
  <c r="O27" i="6"/>
  <c r="O26" i="6"/>
  <c r="P26" i="6" s="1"/>
  <c r="O25" i="6"/>
  <c r="P25" i="6" s="1"/>
  <c r="O24" i="6"/>
  <c r="P24" i="6" s="1"/>
  <c r="O23" i="6"/>
  <c r="P23" i="6" s="1"/>
  <c r="O22" i="6"/>
  <c r="P22" i="6" s="1"/>
  <c r="O21" i="6"/>
  <c r="P21" i="6" s="1"/>
  <c r="O20" i="6"/>
  <c r="P20" i="6" s="1"/>
  <c r="O19" i="6"/>
  <c r="P19" i="6" s="1"/>
  <c r="O18" i="6"/>
  <c r="P18" i="6" s="1"/>
  <c r="O17" i="6"/>
  <c r="P17" i="6" s="1"/>
  <c r="O16" i="6"/>
  <c r="P16" i="6" s="1"/>
  <c r="O15" i="6"/>
  <c r="P15" i="6" s="1"/>
  <c r="O14" i="6"/>
  <c r="P14" i="6" s="1"/>
  <c r="O13" i="6"/>
  <c r="P13" i="6" s="1"/>
  <c r="O12" i="6"/>
  <c r="P12" i="6" s="1"/>
  <c r="O11" i="6"/>
  <c r="P11" i="6" s="1"/>
  <c r="O10" i="6"/>
  <c r="O9" i="6"/>
  <c r="P65" i="6"/>
  <c r="P64" i="6"/>
  <c r="P63" i="6"/>
  <c r="P62" i="6"/>
  <c r="P61" i="6"/>
  <c r="P60" i="6"/>
  <c r="P59" i="6"/>
  <c r="P42" i="6"/>
  <c r="P39" i="6"/>
  <c r="P38" i="6"/>
  <c r="P37" i="6"/>
  <c r="P36" i="6"/>
  <c r="P34" i="6"/>
  <c r="P33" i="6"/>
  <c r="P32" i="6"/>
  <c r="P31" i="6"/>
  <c r="P30" i="6"/>
  <c r="P29" i="6"/>
  <c r="P28" i="6"/>
  <c r="P27" i="6"/>
  <c r="P10" i="6"/>
  <c r="P9" i="6"/>
  <c r="O65" i="5"/>
  <c r="O64" i="5"/>
  <c r="O63" i="5"/>
  <c r="O62" i="5"/>
  <c r="O61" i="5"/>
  <c r="O60" i="5"/>
  <c r="O59" i="5"/>
  <c r="O58" i="5"/>
  <c r="O57" i="5"/>
  <c r="O56" i="5"/>
  <c r="P56" i="5" s="1"/>
  <c r="O55" i="5"/>
  <c r="P55" i="5" s="1"/>
  <c r="O54" i="5"/>
  <c r="P54" i="5" s="1"/>
  <c r="O53" i="5"/>
  <c r="P53" i="5" s="1"/>
  <c r="O52" i="5"/>
  <c r="P52" i="5" s="1"/>
  <c r="O51" i="5"/>
  <c r="P51" i="5" s="1"/>
  <c r="O50" i="5"/>
  <c r="P50" i="5" s="1"/>
  <c r="O49" i="5"/>
  <c r="P49" i="5" s="1"/>
  <c r="O48" i="5"/>
  <c r="P48" i="5" s="1"/>
  <c r="O47" i="5"/>
  <c r="O46" i="5"/>
  <c r="P46" i="5" s="1"/>
  <c r="O45" i="5"/>
  <c r="P45" i="5" s="1"/>
  <c r="O44" i="5"/>
  <c r="O43" i="5"/>
  <c r="P43" i="5" s="1"/>
  <c r="O42" i="5"/>
  <c r="P42" i="5" s="1"/>
  <c r="O41" i="5"/>
  <c r="P41" i="5" s="1"/>
  <c r="O40" i="5"/>
  <c r="P40" i="5" s="1"/>
  <c r="O39" i="5"/>
  <c r="O38" i="5"/>
  <c r="O37" i="5"/>
  <c r="P37" i="5" s="1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P24" i="5" s="1"/>
  <c r="O23" i="5"/>
  <c r="P23" i="5" s="1"/>
  <c r="O22" i="5"/>
  <c r="P22" i="5" s="1"/>
  <c r="O21" i="5"/>
  <c r="P21" i="5" s="1"/>
  <c r="O20" i="5"/>
  <c r="P20" i="5" s="1"/>
  <c r="O19" i="5"/>
  <c r="P19" i="5" s="1"/>
  <c r="O18" i="5"/>
  <c r="P18" i="5" s="1"/>
  <c r="O17" i="5"/>
  <c r="P17" i="5" s="1"/>
  <c r="O16" i="5"/>
  <c r="P16" i="5" s="1"/>
  <c r="O15" i="5"/>
  <c r="O14" i="5"/>
  <c r="P14" i="5" s="1"/>
  <c r="O13" i="5"/>
  <c r="P13" i="5" s="1"/>
  <c r="O12" i="5"/>
  <c r="O11" i="5"/>
  <c r="P11" i="5" s="1"/>
  <c r="O10" i="5"/>
  <c r="P10" i="5" s="1"/>
  <c r="O9" i="5"/>
  <c r="P65" i="5"/>
  <c r="P64" i="5"/>
  <c r="P63" i="5"/>
  <c r="P62" i="5"/>
  <c r="P61" i="5"/>
  <c r="P60" i="5"/>
  <c r="P59" i="5"/>
  <c r="P58" i="5"/>
  <c r="P57" i="5"/>
  <c r="P47" i="5"/>
  <c r="P44" i="5"/>
  <c r="P39" i="5"/>
  <c r="P38" i="5"/>
  <c r="P36" i="5"/>
  <c r="P35" i="5"/>
  <c r="P34" i="5"/>
  <c r="P33" i="5"/>
  <c r="P32" i="5"/>
  <c r="P31" i="5"/>
  <c r="P30" i="5"/>
  <c r="P29" i="5"/>
  <c r="P28" i="5"/>
  <c r="P27" i="5"/>
  <c r="P26" i="5"/>
  <c r="P25" i="5"/>
  <c r="P15" i="5"/>
  <c r="P12" i="5"/>
  <c r="P9" i="5"/>
  <c r="O9" i="3"/>
  <c r="P9" i="3" s="1"/>
  <c r="O65" i="3"/>
  <c r="O64" i="3"/>
  <c r="O63" i="3"/>
  <c r="O62" i="3"/>
  <c r="O61" i="3"/>
  <c r="O60" i="3"/>
  <c r="O59" i="3"/>
  <c r="O58" i="3"/>
  <c r="P58" i="3" s="1"/>
  <c r="O57" i="3"/>
  <c r="P57" i="3" s="1"/>
  <c r="O56" i="3"/>
  <c r="O55" i="3"/>
  <c r="P55" i="3" s="1"/>
  <c r="O54" i="3"/>
  <c r="P54" i="3" s="1"/>
  <c r="O53" i="3"/>
  <c r="P53" i="3" s="1"/>
  <c r="O52" i="3"/>
  <c r="P52" i="3" s="1"/>
  <c r="O51" i="3"/>
  <c r="P51" i="3" s="1"/>
  <c r="O50" i="3"/>
  <c r="P50" i="3" s="1"/>
  <c r="O49" i="3"/>
  <c r="P49" i="3" s="1"/>
  <c r="O48" i="3"/>
  <c r="P48" i="3" s="1"/>
  <c r="O47" i="3"/>
  <c r="P47" i="3" s="1"/>
  <c r="O46" i="3"/>
  <c r="P46" i="3" s="1"/>
  <c r="O45" i="3"/>
  <c r="P45" i="3" s="1"/>
  <c r="O44" i="3"/>
  <c r="O43" i="3"/>
  <c r="P43" i="3" s="1"/>
  <c r="O42" i="3"/>
  <c r="P42" i="3" s="1"/>
  <c r="O41" i="3"/>
  <c r="P41" i="3" s="1"/>
  <c r="O40" i="3"/>
  <c r="P40" i="3" s="1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P26" i="3" s="1"/>
  <c r="O25" i="3"/>
  <c r="P25" i="3" s="1"/>
  <c r="O24" i="3"/>
  <c r="O23" i="3"/>
  <c r="P23" i="3" s="1"/>
  <c r="O22" i="3"/>
  <c r="P22" i="3" s="1"/>
  <c r="O21" i="3"/>
  <c r="P21" i="3" s="1"/>
  <c r="O20" i="3"/>
  <c r="P20" i="3" s="1"/>
  <c r="O19" i="3"/>
  <c r="P19" i="3" s="1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O12" i="3"/>
  <c r="P12" i="3" s="1"/>
  <c r="O11" i="3"/>
  <c r="P11" i="3" s="1"/>
  <c r="O10" i="3"/>
  <c r="P10" i="3" s="1"/>
  <c r="P65" i="3"/>
  <c r="P64" i="3"/>
  <c r="P63" i="3"/>
  <c r="P62" i="3"/>
  <c r="P61" i="3"/>
  <c r="P60" i="3"/>
  <c r="P59" i="3"/>
  <c r="P56" i="3"/>
  <c r="P44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4" i="3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7" i="2" s="1"/>
  <c r="P18" i="2"/>
  <c r="P17" i="2"/>
  <c r="P16" i="2"/>
  <c r="P15" i="2"/>
  <c r="P14" i="2"/>
  <c r="P13" i="2"/>
  <c r="P12" i="2"/>
  <c r="P11" i="2"/>
  <c r="P10" i="2"/>
  <c r="P9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8" i="2"/>
  <c r="O17" i="2"/>
  <c r="O16" i="2"/>
  <c r="O15" i="2"/>
  <c r="O14" i="2"/>
  <c r="O13" i="2"/>
  <c r="O12" i="2"/>
  <c r="O11" i="2"/>
  <c r="O10" i="2"/>
  <c r="O9" i="2"/>
  <c r="D72" i="14"/>
  <c r="H64" i="14"/>
  <c r="J64" i="14" s="1"/>
  <c r="F64" i="14"/>
  <c r="K64" i="14" s="1"/>
  <c r="J63" i="14"/>
  <c r="H63" i="14"/>
  <c r="E63" i="14"/>
  <c r="K62" i="14"/>
  <c r="J62" i="14"/>
  <c r="H62" i="14"/>
  <c r="F62" i="14"/>
  <c r="J61" i="14"/>
  <c r="H61" i="14"/>
  <c r="H60" i="14"/>
  <c r="J60" i="14" s="1"/>
  <c r="F60" i="14"/>
  <c r="K60" i="14" s="1"/>
  <c r="E60" i="14"/>
  <c r="H59" i="14"/>
  <c r="J59" i="14" s="1"/>
  <c r="H58" i="14"/>
  <c r="J58" i="14" s="1"/>
  <c r="J57" i="14"/>
  <c r="H57" i="14"/>
  <c r="J56" i="14"/>
  <c r="H56" i="14"/>
  <c r="K55" i="14"/>
  <c r="H55" i="14"/>
  <c r="J55" i="14" s="1"/>
  <c r="G55" i="14"/>
  <c r="F55" i="14"/>
  <c r="E55" i="14"/>
  <c r="D52" i="14"/>
  <c r="E52" i="14" s="1"/>
  <c r="H50" i="14"/>
  <c r="J50" i="14" s="1"/>
  <c r="F50" i="14"/>
  <c r="K50" i="14" s="1"/>
  <c r="E50" i="14"/>
  <c r="K49" i="14"/>
  <c r="J49" i="14"/>
  <c r="H49" i="14"/>
  <c r="F49" i="14"/>
  <c r="J48" i="14"/>
  <c r="H48" i="14"/>
  <c r="F48" i="14"/>
  <c r="K48" i="14" s="1"/>
  <c r="H47" i="14"/>
  <c r="J47" i="14" s="1"/>
  <c r="F47" i="14"/>
  <c r="K47" i="14" s="1"/>
  <c r="E47" i="14"/>
  <c r="G47" i="14" s="1"/>
  <c r="K46" i="14"/>
  <c r="H46" i="14"/>
  <c r="J46" i="14" s="1"/>
  <c r="G46" i="14"/>
  <c r="F46" i="14"/>
  <c r="E46" i="14"/>
  <c r="K45" i="14"/>
  <c r="H45" i="14"/>
  <c r="J45" i="14" s="1"/>
  <c r="G45" i="14"/>
  <c r="F45" i="14"/>
  <c r="E45" i="14"/>
  <c r="J44" i="14"/>
  <c r="H44" i="14"/>
  <c r="H43" i="14"/>
  <c r="J43" i="14" s="1"/>
  <c r="F43" i="14"/>
  <c r="K43" i="14" s="1"/>
  <c r="H42" i="14"/>
  <c r="J42" i="14" s="1"/>
  <c r="J41" i="14"/>
  <c r="H41" i="14"/>
  <c r="F41" i="14"/>
  <c r="G41" i="14" s="1"/>
  <c r="E41" i="14"/>
  <c r="D39" i="14"/>
  <c r="E39" i="14" s="1"/>
  <c r="J37" i="14"/>
  <c r="H37" i="14"/>
  <c r="H36" i="14"/>
  <c r="J36" i="14" s="1"/>
  <c r="E36" i="14"/>
  <c r="J35" i="14"/>
  <c r="H35" i="14"/>
  <c r="E35" i="14"/>
  <c r="H34" i="14"/>
  <c r="J34" i="14" s="1"/>
  <c r="H33" i="14"/>
  <c r="J33" i="14" s="1"/>
  <c r="J32" i="14"/>
  <c r="H32" i="14"/>
  <c r="H31" i="14"/>
  <c r="J31" i="14" s="1"/>
  <c r="F31" i="14"/>
  <c r="K31" i="14" s="1"/>
  <c r="E31" i="14"/>
  <c r="G31" i="14" s="1"/>
  <c r="K29" i="14"/>
  <c r="J29" i="14"/>
  <c r="H29" i="14"/>
  <c r="F29" i="14"/>
  <c r="E29" i="14"/>
  <c r="G29" i="14" s="1"/>
  <c r="E27" i="14"/>
  <c r="D27" i="14"/>
  <c r="G5" i="14" s="1"/>
  <c r="K24" i="14"/>
  <c r="J24" i="14"/>
  <c r="H24" i="14"/>
  <c r="F24" i="14"/>
  <c r="K23" i="14"/>
  <c r="H23" i="14"/>
  <c r="J23" i="14" s="1"/>
  <c r="F23" i="14"/>
  <c r="H22" i="14"/>
  <c r="J22" i="14" s="1"/>
  <c r="H21" i="14"/>
  <c r="J21" i="14" s="1"/>
  <c r="E21" i="14"/>
  <c r="G21" i="14" s="1"/>
  <c r="J20" i="14"/>
  <c r="H20" i="14"/>
  <c r="E20" i="14"/>
  <c r="H19" i="14"/>
  <c r="J19" i="14" s="1"/>
  <c r="H18" i="14"/>
  <c r="J18" i="14" s="1"/>
  <c r="E18" i="14"/>
  <c r="G18" i="14" s="1"/>
  <c r="H17" i="14"/>
  <c r="J17" i="14" s="1"/>
  <c r="H16" i="14"/>
  <c r="J16" i="14" s="1"/>
  <c r="H15" i="14"/>
  <c r="J15" i="14" s="1"/>
  <c r="J14" i="14"/>
  <c r="H14" i="14"/>
  <c r="H13" i="14"/>
  <c r="J13" i="14" s="1"/>
  <c r="F13" i="14"/>
  <c r="K13" i="14" s="1"/>
  <c r="E13" i="14"/>
  <c r="J12" i="14"/>
  <c r="H12" i="14"/>
  <c r="F12" i="14"/>
  <c r="E12" i="14"/>
  <c r="H11" i="14"/>
  <c r="J11" i="14" s="1"/>
  <c r="J10" i="14"/>
  <c r="H10" i="14"/>
  <c r="H9" i="14"/>
  <c r="J9" i="14" s="1"/>
  <c r="C6" i="14"/>
  <c r="E58" i="14" s="1"/>
  <c r="D74" i="13"/>
  <c r="K66" i="13"/>
  <c r="J66" i="13"/>
  <c r="O66" i="13" s="1"/>
  <c r="G66" i="13"/>
  <c r="E66" i="13"/>
  <c r="K65" i="13"/>
  <c r="J65" i="13"/>
  <c r="O65" i="13" s="1"/>
  <c r="P65" i="13" s="1"/>
  <c r="K64" i="13"/>
  <c r="J64" i="13"/>
  <c r="O64" i="13" s="1"/>
  <c r="P64" i="13" s="1"/>
  <c r="K63" i="13"/>
  <c r="J63" i="13"/>
  <c r="O63" i="13" s="1"/>
  <c r="P63" i="13" s="1"/>
  <c r="E63" i="13"/>
  <c r="G63" i="13" s="1"/>
  <c r="K62" i="13"/>
  <c r="J62" i="13"/>
  <c r="O62" i="13" s="1"/>
  <c r="P62" i="13" s="1"/>
  <c r="E62" i="13"/>
  <c r="G62" i="13" s="1"/>
  <c r="K61" i="13"/>
  <c r="J61" i="13"/>
  <c r="O61" i="13" s="1"/>
  <c r="P61" i="13" s="1"/>
  <c r="E61" i="13"/>
  <c r="G61" i="13" s="1"/>
  <c r="K60" i="13"/>
  <c r="J60" i="13"/>
  <c r="O60" i="13" s="1"/>
  <c r="P60" i="13" s="1"/>
  <c r="E60" i="13"/>
  <c r="G60" i="13" s="1"/>
  <c r="K59" i="13"/>
  <c r="J59" i="13"/>
  <c r="O59" i="13" s="1"/>
  <c r="P59" i="13" s="1"/>
  <c r="E59" i="13"/>
  <c r="G59" i="13" s="1"/>
  <c r="K58" i="13"/>
  <c r="J58" i="13"/>
  <c r="O58" i="13" s="1"/>
  <c r="P58" i="13" s="1"/>
  <c r="K57" i="13"/>
  <c r="J57" i="13"/>
  <c r="O57" i="13" s="1"/>
  <c r="P57" i="13" s="1"/>
  <c r="E57" i="13"/>
  <c r="G57" i="13" s="1"/>
  <c r="D54" i="13"/>
  <c r="E54" i="13" s="1"/>
  <c r="K50" i="13"/>
  <c r="J50" i="13"/>
  <c r="O50" i="13" s="1"/>
  <c r="P50" i="13" s="1"/>
  <c r="E50" i="13"/>
  <c r="G50" i="13" s="1"/>
  <c r="K49" i="13"/>
  <c r="J49" i="13"/>
  <c r="O49" i="13" s="1"/>
  <c r="P49" i="13" s="1"/>
  <c r="E49" i="13"/>
  <c r="G49" i="13" s="1"/>
  <c r="K48" i="13"/>
  <c r="J48" i="13"/>
  <c r="O48" i="13" s="1"/>
  <c r="P48" i="13" s="1"/>
  <c r="E48" i="13"/>
  <c r="G48" i="13" s="1"/>
  <c r="K47" i="13"/>
  <c r="K54" i="13" s="1"/>
  <c r="J47" i="13"/>
  <c r="O47" i="13" s="1"/>
  <c r="P47" i="13" s="1"/>
  <c r="K46" i="13"/>
  <c r="J46" i="13"/>
  <c r="O46" i="13" s="1"/>
  <c r="P46" i="13" s="1"/>
  <c r="K45" i="13"/>
  <c r="J45" i="13"/>
  <c r="O45" i="13" s="1"/>
  <c r="P45" i="13" s="1"/>
  <c r="E45" i="13"/>
  <c r="G45" i="13" s="1"/>
  <c r="D43" i="13"/>
  <c r="E43" i="13" s="1"/>
  <c r="K41" i="13"/>
  <c r="J41" i="13"/>
  <c r="O41" i="13" s="1"/>
  <c r="P41" i="13" s="1"/>
  <c r="E41" i="13"/>
  <c r="G41" i="13" s="1"/>
  <c r="K40" i="13"/>
  <c r="J40" i="13"/>
  <c r="O40" i="13" s="1"/>
  <c r="P40" i="13" s="1"/>
  <c r="E40" i="13"/>
  <c r="G40" i="13" s="1"/>
  <c r="K39" i="13"/>
  <c r="J39" i="13"/>
  <c r="O39" i="13" s="1"/>
  <c r="P39" i="13" s="1"/>
  <c r="E39" i="13"/>
  <c r="G39" i="13" s="1"/>
  <c r="K38" i="13"/>
  <c r="J38" i="13"/>
  <c r="O38" i="13" s="1"/>
  <c r="P38" i="13" s="1"/>
  <c r="K37" i="13"/>
  <c r="J37" i="13"/>
  <c r="O37" i="13" s="1"/>
  <c r="P37" i="13" s="1"/>
  <c r="E37" i="13"/>
  <c r="G37" i="13" s="1"/>
  <c r="K36" i="13"/>
  <c r="J36" i="13"/>
  <c r="O36" i="13" s="1"/>
  <c r="P36" i="13" s="1"/>
  <c r="E36" i="13"/>
  <c r="G36" i="13" s="1"/>
  <c r="K35" i="13"/>
  <c r="K43" i="13" s="1"/>
  <c r="J35" i="13"/>
  <c r="O35" i="13" s="1"/>
  <c r="P35" i="13" s="1"/>
  <c r="E35" i="13"/>
  <c r="G35" i="13" s="1"/>
  <c r="K33" i="13"/>
  <c r="J33" i="13"/>
  <c r="O33" i="13" s="1"/>
  <c r="P33" i="13" s="1"/>
  <c r="E33" i="13"/>
  <c r="G33" i="13" s="1"/>
  <c r="E31" i="13"/>
  <c r="D31" i="13"/>
  <c r="K28" i="13"/>
  <c r="J28" i="13"/>
  <c r="O28" i="13" s="1"/>
  <c r="P28" i="13" s="1"/>
  <c r="K27" i="13"/>
  <c r="J27" i="13"/>
  <c r="O27" i="13" s="1"/>
  <c r="P27" i="13" s="1"/>
  <c r="K26" i="13"/>
  <c r="J26" i="13"/>
  <c r="O26" i="13" s="1"/>
  <c r="P26" i="13" s="1"/>
  <c r="E26" i="13"/>
  <c r="G26" i="13" s="1"/>
  <c r="K25" i="13"/>
  <c r="J25" i="13"/>
  <c r="O25" i="13" s="1"/>
  <c r="P25" i="13" s="1"/>
  <c r="E25" i="13"/>
  <c r="G25" i="13" s="1"/>
  <c r="K24" i="13"/>
  <c r="J24" i="13"/>
  <c r="O24" i="13" s="1"/>
  <c r="P24" i="13" s="1"/>
  <c r="E24" i="13"/>
  <c r="G24" i="13" s="1"/>
  <c r="K23" i="13"/>
  <c r="J23" i="13"/>
  <c r="O23" i="13" s="1"/>
  <c r="P23" i="13" s="1"/>
  <c r="E23" i="13"/>
  <c r="G23" i="13" s="1"/>
  <c r="K22" i="13"/>
  <c r="J22" i="13"/>
  <c r="O22" i="13" s="1"/>
  <c r="P22" i="13" s="1"/>
  <c r="E22" i="13"/>
  <c r="G22" i="13" s="1"/>
  <c r="K21" i="13"/>
  <c r="J21" i="13"/>
  <c r="O21" i="13" s="1"/>
  <c r="P21" i="13" s="1"/>
  <c r="K20" i="13"/>
  <c r="J20" i="13"/>
  <c r="O20" i="13" s="1"/>
  <c r="P20" i="13" s="1"/>
  <c r="E20" i="13"/>
  <c r="G20" i="13" s="1"/>
  <c r="K19" i="13"/>
  <c r="J19" i="13"/>
  <c r="O19" i="13" s="1"/>
  <c r="P19" i="13" s="1"/>
  <c r="E19" i="13"/>
  <c r="G19" i="13" s="1"/>
  <c r="K18" i="13"/>
  <c r="J18" i="13"/>
  <c r="O18" i="13" s="1"/>
  <c r="P18" i="13" s="1"/>
  <c r="E18" i="13"/>
  <c r="G18" i="13" s="1"/>
  <c r="K17" i="13"/>
  <c r="J17" i="13"/>
  <c r="O17" i="13" s="1"/>
  <c r="P17" i="13" s="1"/>
  <c r="E17" i="13"/>
  <c r="G17" i="13" s="1"/>
  <c r="K16" i="13"/>
  <c r="J16" i="13"/>
  <c r="O16" i="13" s="1"/>
  <c r="P16" i="13" s="1"/>
  <c r="E16" i="13"/>
  <c r="G16" i="13" s="1"/>
  <c r="K15" i="13"/>
  <c r="J15" i="13"/>
  <c r="O15" i="13" s="1"/>
  <c r="P15" i="13" s="1"/>
  <c r="K14" i="13"/>
  <c r="J14" i="13"/>
  <c r="O14" i="13" s="1"/>
  <c r="P14" i="13" s="1"/>
  <c r="K13" i="13"/>
  <c r="J13" i="13"/>
  <c r="O13" i="13" s="1"/>
  <c r="P13" i="13" s="1"/>
  <c r="E13" i="13"/>
  <c r="G13" i="13" s="1"/>
  <c r="K12" i="13"/>
  <c r="J12" i="13"/>
  <c r="O12" i="13" s="1"/>
  <c r="P12" i="13" s="1"/>
  <c r="E12" i="13"/>
  <c r="G12" i="13" s="1"/>
  <c r="K11" i="13"/>
  <c r="J11" i="13"/>
  <c r="O11" i="13" s="1"/>
  <c r="P11" i="13" s="1"/>
  <c r="E11" i="13"/>
  <c r="G11" i="13" s="1"/>
  <c r="K10" i="13"/>
  <c r="J10" i="13"/>
  <c r="O10" i="13" s="1"/>
  <c r="P10" i="13" s="1"/>
  <c r="E10" i="13"/>
  <c r="G10" i="13" s="1"/>
  <c r="K9" i="13"/>
  <c r="J9" i="13"/>
  <c r="O9" i="13" s="1"/>
  <c r="P9" i="13" s="1"/>
  <c r="E9" i="13"/>
  <c r="G9" i="13" s="1"/>
  <c r="C6" i="13"/>
  <c r="E38" i="13" s="1"/>
  <c r="G38" i="13" s="1"/>
  <c r="K67" i="12"/>
  <c r="D67" i="12"/>
  <c r="K59" i="12"/>
  <c r="J59" i="12"/>
  <c r="K58" i="12"/>
  <c r="J58" i="12"/>
  <c r="K57" i="12"/>
  <c r="J57" i="12"/>
  <c r="K56" i="12"/>
  <c r="J56" i="12"/>
  <c r="K55" i="12"/>
  <c r="J55" i="12"/>
  <c r="K54" i="12"/>
  <c r="J54" i="12"/>
  <c r="K53" i="12"/>
  <c r="J53" i="12"/>
  <c r="K52" i="12"/>
  <c r="J52" i="12"/>
  <c r="K51" i="12"/>
  <c r="J51" i="12"/>
  <c r="K50" i="12"/>
  <c r="J50" i="12"/>
  <c r="D47" i="12"/>
  <c r="K43" i="12"/>
  <c r="J43" i="12"/>
  <c r="K42" i="12"/>
  <c r="J42" i="12"/>
  <c r="K41" i="12"/>
  <c r="J41" i="12"/>
  <c r="K40" i="12"/>
  <c r="J40" i="12"/>
  <c r="K39" i="12"/>
  <c r="J39" i="12"/>
  <c r="K38" i="12"/>
  <c r="J38" i="12"/>
  <c r="D36" i="12"/>
  <c r="K34" i="12"/>
  <c r="J34" i="12"/>
  <c r="K33" i="12"/>
  <c r="J33" i="12"/>
  <c r="K32" i="12"/>
  <c r="J32" i="12"/>
  <c r="K31" i="12"/>
  <c r="J31" i="12"/>
  <c r="K30" i="12"/>
  <c r="J30" i="12"/>
  <c r="K29" i="12"/>
  <c r="J29" i="12"/>
  <c r="K28" i="12"/>
  <c r="J28" i="12"/>
  <c r="K26" i="12"/>
  <c r="J26" i="12"/>
  <c r="K22" i="12"/>
  <c r="J22" i="12"/>
  <c r="K21" i="12"/>
  <c r="J21" i="12"/>
  <c r="K20" i="12"/>
  <c r="J20" i="12"/>
  <c r="K19" i="12"/>
  <c r="J19" i="12"/>
  <c r="K18" i="12"/>
  <c r="J18" i="12"/>
  <c r="K17" i="12"/>
  <c r="J17" i="12"/>
  <c r="K16" i="12"/>
  <c r="J16" i="12"/>
  <c r="K15" i="12"/>
  <c r="J15" i="12"/>
  <c r="K14" i="12"/>
  <c r="J14" i="12"/>
  <c r="K13" i="12"/>
  <c r="J13" i="12"/>
  <c r="K12" i="12"/>
  <c r="J12" i="12"/>
  <c r="K11" i="12"/>
  <c r="J11" i="12"/>
  <c r="K10" i="12"/>
  <c r="J10" i="12"/>
  <c r="K9" i="12"/>
  <c r="J9" i="12"/>
  <c r="C6" i="12"/>
  <c r="E28" i="12" s="1"/>
  <c r="G28" i="12" s="1"/>
  <c r="G5" i="12"/>
  <c r="D67" i="11"/>
  <c r="K59" i="11"/>
  <c r="J59" i="11"/>
  <c r="E59" i="11"/>
  <c r="G59" i="11" s="1"/>
  <c r="K58" i="11"/>
  <c r="J58" i="11"/>
  <c r="E58" i="11"/>
  <c r="G58" i="11" s="1"/>
  <c r="K57" i="11"/>
  <c r="J57" i="11"/>
  <c r="E57" i="11"/>
  <c r="G57" i="11" s="1"/>
  <c r="K56" i="11"/>
  <c r="J56" i="11"/>
  <c r="E56" i="11"/>
  <c r="G56" i="11" s="1"/>
  <c r="K55" i="11"/>
  <c r="J55" i="11"/>
  <c r="K54" i="11"/>
  <c r="J54" i="11"/>
  <c r="K53" i="11"/>
  <c r="J53" i="11"/>
  <c r="E53" i="11"/>
  <c r="G53" i="11" s="1"/>
  <c r="K52" i="11"/>
  <c r="J52" i="11"/>
  <c r="E52" i="11"/>
  <c r="G52" i="11" s="1"/>
  <c r="K51" i="11"/>
  <c r="J51" i="11"/>
  <c r="K50" i="11"/>
  <c r="J50" i="11"/>
  <c r="G50" i="11"/>
  <c r="E50" i="11"/>
  <c r="D47" i="11"/>
  <c r="E47" i="11" s="1"/>
  <c r="K43" i="11"/>
  <c r="J43" i="11"/>
  <c r="K42" i="11"/>
  <c r="J42" i="11"/>
  <c r="K41" i="11"/>
  <c r="J41" i="11"/>
  <c r="E41" i="11"/>
  <c r="G41" i="11" s="1"/>
  <c r="K40" i="11"/>
  <c r="J40" i="11"/>
  <c r="G40" i="11"/>
  <c r="E40" i="11"/>
  <c r="K39" i="11"/>
  <c r="K47" i="11" s="1"/>
  <c r="J39" i="11"/>
  <c r="G39" i="11"/>
  <c r="E39" i="11"/>
  <c r="K38" i="11"/>
  <c r="J38" i="11"/>
  <c r="E38" i="11"/>
  <c r="G38" i="11" s="1"/>
  <c r="E36" i="11"/>
  <c r="D36" i="11"/>
  <c r="K34" i="11"/>
  <c r="J34" i="11"/>
  <c r="K33" i="11"/>
  <c r="J33" i="11"/>
  <c r="K32" i="11"/>
  <c r="J32" i="11"/>
  <c r="E32" i="11"/>
  <c r="G32" i="11" s="1"/>
  <c r="K31" i="11"/>
  <c r="J31" i="11"/>
  <c r="E31" i="11"/>
  <c r="G31" i="11" s="1"/>
  <c r="K30" i="11"/>
  <c r="J30" i="11"/>
  <c r="G30" i="11"/>
  <c r="E30" i="11"/>
  <c r="K29" i="11"/>
  <c r="K36" i="11" s="1"/>
  <c r="J29" i="11"/>
  <c r="G29" i="11"/>
  <c r="E29" i="11"/>
  <c r="K28" i="11"/>
  <c r="J28" i="11"/>
  <c r="K26" i="11"/>
  <c r="J26" i="11"/>
  <c r="D24" i="11"/>
  <c r="G5" i="11" s="1"/>
  <c r="K22" i="11"/>
  <c r="J22" i="11"/>
  <c r="E22" i="11"/>
  <c r="G22" i="11" s="1"/>
  <c r="K21" i="11"/>
  <c r="J21" i="11"/>
  <c r="E21" i="11"/>
  <c r="G21" i="11" s="1"/>
  <c r="K20" i="11"/>
  <c r="J20" i="11"/>
  <c r="E20" i="11"/>
  <c r="G20" i="11" s="1"/>
  <c r="K19" i="11"/>
  <c r="J19" i="11"/>
  <c r="K18" i="11"/>
  <c r="J18" i="11"/>
  <c r="K17" i="11"/>
  <c r="J17" i="11"/>
  <c r="K16" i="11"/>
  <c r="J16" i="11"/>
  <c r="G16" i="11"/>
  <c r="E16" i="11"/>
  <c r="K15" i="11"/>
  <c r="J15" i="11"/>
  <c r="G15" i="11"/>
  <c r="E15" i="11"/>
  <c r="K14" i="11"/>
  <c r="J14" i="11"/>
  <c r="E14" i="11"/>
  <c r="G14" i="11" s="1"/>
  <c r="K13" i="11"/>
  <c r="J13" i="11"/>
  <c r="E13" i="11"/>
  <c r="G13" i="11" s="1"/>
  <c r="K12" i="11"/>
  <c r="J12" i="11"/>
  <c r="K11" i="11"/>
  <c r="J11" i="11"/>
  <c r="K10" i="11"/>
  <c r="J10" i="11"/>
  <c r="G10" i="11"/>
  <c r="E10" i="11"/>
  <c r="K9" i="11"/>
  <c r="J9" i="11"/>
  <c r="G9" i="11"/>
  <c r="E9" i="11"/>
  <c r="C6" i="11"/>
  <c r="E51" i="11" s="1"/>
  <c r="G51" i="11" s="1"/>
  <c r="D76" i="10"/>
  <c r="K68" i="10"/>
  <c r="J68" i="10"/>
  <c r="K67" i="10"/>
  <c r="J67" i="10"/>
  <c r="K66" i="10"/>
  <c r="J66" i="10"/>
  <c r="E66" i="10"/>
  <c r="G66" i="10" s="1"/>
  <c r="K65" i="10"/>
  <c r="J65" i="10"/>
  <c r="K64" i="10"/>
  <c r="J64" i="10"/>
  <c r="K63" i="10"/>
  <c r="J63" i="10"/>
  <c r="K62" i="10"/>
  <c r="J62" i="10"/>
  <c r="K61" i="10"/>
  <c r="J61" i="10"/>
  <c r="K60" i="10"/>
  <c r="J60" i="10"/>
  <c r="K59" i="10"/>
  <c r="K76" i="10" s="1"/>
  <c r="J59" i="10"/>
  <c r="D56" i="10"/>
  <c r="E56" i="10" s="1"/>
  <c r="K52" i="10"/>
  <c r="J52" i="10"/>
  <c r="K51" i="10"/>
  <c r="J51" i="10"/>
  <c r="K50" i="10"/>
  <c r="J50" i="10"/>
  <c r="K49" i="10"/>
  <c r="J49" i="10"/>
  <c r="K48" i="10"/>
  <c r="J48" i="10"/>
  <c r="K47" i="10"/>
  <c r="J47" i="10"/>
  <c r="K46" i="10"/>
  <c r="J46" i="10"/>
  <c r="K44" i="10"/>
  <c r="D44" i="10"/>
  <c r="K42" i="10"/>
  <c r="J42" i="10"/>
  <c r="K41" i="10"/>
  <c r="J41" i="10"/>
  <c r="K40" i="10"/>
  <c r="J40" i="10"/>
  <c r="K39" i="10"/>
  <c r="J39" i="10"/>
  <c r="K38" i="10"/>
  <c r="J38" i="10"/>
  <c r="K37" i="10"/>
  <c r="J37" i="10"/>
  <c r="E37" i="10"/>
  <c r="G37" i="10" s="1"/>
  <c r="K36" i="10"/>
  <c r="J36" i="10"/>
  <c r="K34" i="10"/>
  <c r="J34" i="10"/>
  <c r="D32" i="10"/>
  <c r="E32" i="10" s="1"/>
  <c r="K30" i="10"/>
  <c r="J30" i="10"/>
  <c r="K29" i="10"/>
  <c r="J29" i="10"/>
  <c r="K28" i="10"/>
  <c r="J28" i="10"/>
  <c r="K27" i="10"/>
  <c r="J27" i="10"/>
  <c r="K26" i="10"/>
  <c r="J26" i="10"/>
  <c r="K25" i="10"/>
  <c r="J25" i="10"/>
  <c r="K24" i="10"/>
  <c r="J24" i="10"/>
  <c r="K23" i="10"/>
  <c r="J23" i="10"/>
  <c r="G23" i="10"/>
  <c r="K22" i="10"/>
  <c r="J22" i="10"/>
  <c r="K21" i="10"/>
  <c r="J21" i="10"/>
  <c r="K20" i="10"/>
  <c r="J20" i="10"/>
  <c r="K19" i="10"/>
  <c r="J19" i="10"/>
  <c r="K18" i="10"/>
  <c r="J18" i="10"/>
  <c r="K17" i="10"/>
  <c r="J17" i="10"/>
  <c r="K16" i="10"/>
  <c r="J16" i="10"/>
  <c r="E16" i="10"/>
  <c r="G16" i="10" s="1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K32" i="10" s="1"/>
  <c r="J9" i="10"/>
  <c r="C6" i="10"/>
  <c r="E23" i="10" s="1"/>
  <c r="D66" i="9"/>
  <c r="K58" i="9"/>
  <c r="J58" i="9"/>
  <c r="K57" i="9"/>
  <c r="J57" i="9"/>
  <c r="E57" i="9"/>
  <c r="G57" i="9" s="1"/>
  <c r="K56" i="9"/>
  <c r="J56" i="9"/>
  <c r="E56" i="9"/>
  <c r="G56" i="9" s="1"/>
  <c r="K55" i="9"/>
  <c r="J55" i="9"/>
  <c r="E55" i="9"/>
  <c r="G55" i="9" s="1"/>
  <c r="K54" i="9"/>
  <c r="J54" i="9"/>
  <c r="K53" i="9"/>
  <c r="J53" i="9"/>
  <c r="K52" i="9"/>
  <c r="J52" i="9"/>
  <c r="E52" i="9"/>
  <c r="G52" i="9" s="1"/>
  <c r="K51" i="9"/>
  <c r="J51" i="9"/>
  <c r="K50" i="9"/>
  <c r="J50" i="9"/>
  <c r="E50" i="9"/>
  <c r="G50" i="9" s="1"/>
  <c r="K49" i="9"/>
  <c r="J49" i="9"/>
  <c r="E49" i="9"/>
  <c r="G49" i="9" s="1"/>
  <c r="E46" i="9"/>
  <c r="D46" i="9"/>
  <c r="K42" i="9"/>
  <c r="J42" i="9"/>
  <c r="K41" i="9"/>
  <c r="J41" i="9"/>
  <c r="K40" i="9"/>
  <c r="J40" i="9"/>
  <c r="E40" i="9"/>
  <c r="G40" i="9" s="1"/>
  <c r="K39" i="9"/>
  <c r="J39" i="9"/>
  <c r="E39" i="9"/>
  <c r="G39" i="9" s="1"/>
  <c r="K38" i="9"/>
  <c r="K46" i="9" s="1"/>
  <c r="J38" i="9"/>
  <c r="K37" i="9"/>
  <c r="J37" i="9"/>
  <c r="E37" i="9"/>
  <c r="G37" i="9" s="1"/>
  <c r="D35" i="9"/>
  <c r="E35" i="9" s="1"/>
  <c r="K33" i="9"/>
  <c r="J33" i="9"/>
  <c r="K32" i="9"/>
  <c r="J32" i="9"/>
  <c r="K31" i="9"/>
  <c r="J31" i="9"/>
  <c r="G31" i="9"/>
  <c r="E31" i="9"/>
  <c r="K30" i="9"/>
  <c r="J30" i="9"/>
  <c r="E30" i="9"/>
  <c r="G30" i="9" s="1"/>
  <c r="K29" i="9"/>
  <c r="K35" i="9" s="1"/>
  <c r="J29" i="9"/>
  <c r="G29" i="9"/>
  <c r="E29" i="9"/>
  <c r="K28" i="9"/>
  <c r="J28" i="9"/>
  <c r="K27" i="9"/>
  <c r="J27" i="9"/>
  <c r="K25" i="9"/>
  <c r="J25" i="9"/>
  <c r="D23" i="9"/>
  <c r="E23" i="9" s="1"/>
  <c r="K21" i="9"/>
  <c r="J21" i="9"/>
  <c r="E21" i="9"/>
  <c r="G21" i="9" s="1"/>
  <c r="K20" i="9"/>
  <c r="J20" i="9"/>
  <c r="E20" i="9"/>
  <c r="G20" i="9" s="1"/>
  <c r="K19" i="9"/>
  <c r="J19" i="9"/>
  <c r="G19" i="9"/>
  <c r="E19" i="9"/>
  <c r="K18" i="9"/>
  <c r="J18" i="9"/>
  <c r="E18" i="9"/>
  <c r="G18" i="9" s="1"/>
  <c r="K17" i="9"/>
  <c r="J17" i="9"/>
  <c r="K16" i="9"/>
  <c r="J16" i="9"/>
  <c r="K15" i="9"/>
  <c r="J15" i="9"/>
  <c r="G15" i="9"/>
  <c r="E15" i="9"/>
  <c r="K14" i="9"/>
  <c r="J14" i="9"/>
  <c r="E14" i="9"/>
  <c r="G14" i="9" s="1"/>
  <c r="K13" i="9"/>
  <c r="J13" i="9"/>
  <c r="E13" i="9"/>
  <c r="G13" i="9" s="1"/>
  <c r="K12" i="9"/>
  <c r="J12" i="9"/>
  <c r="G12" i="9"/>
  <c r="E12" i="9"/>
  <c r="K11" i="9"/>
  <c r="J11" i="9"/>
  <c r="K10" i="9"/>
  <c r="J10" i="9"/>
  <c r="K9" i="9"/>
  <c r="J9" i="9"/>
  <c r="C6" i="9"/>
  <c r="E28" i="9" s="1"/>
  <c r="G28" i="9" s="1"/>
  <c r="D66" i="8"/>
  <c r="K58" i="8"/>
  <c r="J58" i="8"/>
  <c r="K57" i="8"/>
  <c r="J57" i="8"/>
  <c r="K56" i="8"/>
  <c r="J56" i="8"/>
  <c r="K55" i="8"/>
  <c r="J55" i="8"/>
  <c r="K54" i="8"/>
  <c r="J54" i="8"/>
  <c r="K53" i="8"/>
  <c r="J53" i="8"/>
  <c r="K52" i="8"/>
  <c r="J52" i="8"/>
  <c r="K51" i="8"/>
  <c r="K66" i="8" s="1"/>
  <c r="J51" i="8"/>
  <c r="K50" i="8"/>
  <c r="J50" i="8"/>
  <c r="K49" i="8"/>
  <c r="J49" i="8"/>
  <c r="K46" i="8"/>
  <c r="D46" i="8"/>
  <c r="K42" i="8"/>
  <c r="J42" i="8"/>
  <c r="K41" i="8"/>
  <c r="J41" i="8"/>
  <c r="K40" i="8"/>
  <c r="J40" i="8"/>
  <c r="K39" i="8"/>
  <c r="J39" i="8"/>
  <c r="K38" i="8"/>
  <c r="J38" i="8"/>
  <c r="K37" i="8"/>
  <c r="J37" i="8"/>
  <c r="K35" i="8"/>
  <c r="D35" i="8"/>
  <c r="K33" i="8"/>
  <c r="J33" i="8"/>
  <c r="K32" i="8"/>
  <c r="J32" i="8"/>
  <c r="K31" i="8"/>
  <c r="J31" i="8"/>
  <c r="K30" i="8"/>
  <c r="J30" i="8"/>
  <c r="K29" i="8"/>
  <c r="J29" i="8"/>
  <c r="K28" i="8"/>
  <c r="J28" i="8"/>
  <c r="K27" i="8"/>
  <c r="J27" i="8"/>
  <c r="K25" i="8"/>
  <c r="J25" i="8"/>
  <c r="D23" i="8"/>
  <c r="K21" i="8"/>
  <c r="J21" i="8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K9" i="8"/>
  <c r="J9" i="8"/>
  <c r="C6" i="8"/>
  <c r="D69" i="7"/>
  <c r="K61" i="7"/>
  <c r="J61" i="7"/>
  <c r="E61" i="7"/>
  <c r="G61" i="7" s="1"/>
  <c r="K60" i="7"/>
  <c r="J60" i="7"/>
  <c r="E60" i="7"/>
  <c r="G60" i="7" s="1"/>
  <c r="K59" i="7"/>
  <c r="J59" i="7"/>
  <c r="E59" i="7"/>
  <c r="G59" i="7" s="1"/>
  <c r="K58" i="7"/>
  <c r="J58" i="7"/>
  <c r="E58" i="7"/>
  <c r="G58" i="7" s="1"/>
  <c r="K57" i="7"/>
  <c r="J57" i="7"/>
  <c r="K56" i="7"/>
  <c r="J56" i="7"/>
  <c r="G56" i="7"/>
  <c r="E56" i="7"/>
  <c r="K55" i="7"/>
  <c r="J55" i="7"/>
  <c r="E55" i="7"/>
  <c r="G55" i="7" s="1"/>
  <c r="K54" i="7"/>
  <c r="J54" i="7"/>
  <c r="G54" i="7"/>
  <c r="E54" i="7"/>
  <c r="K53" i="7"/>
  <c r="J53" i="7"/>
  <c r="G53" i="7"/>
  <c r="E53" i="7"/>
  <c r="K52" i="7"/>
  <c r="J52" i="7"/>
  <c r="E52" i="7"/>
  <c r="G52" i="7" s="1"/>
  <c r="D49" i="7"/>
  <c r="K45" i="7"/>
  <c r="J45" i="7"/>
  <c r="K44" i="7"/>
  <c r="J44" i="7"/>
  <c r="G44" i="7"/>
  <c r="E44" i="7"/>
  <c r="K43" i="7"/>
  <c r="K49" i="7" s="1"/>
  <c r="J43" i="7"/>
  <c r="E43" i="7"/>
  <c r="G43" i="7" s="1"/>
  <c r="K42" i="7"/>
  <c r="J42" i="7"/>
  <c r="G42" i="7"/>
  <c r="E42" i="7"/>
  <c r="K41" i="7"/>
  <c r="J41" i="7"/>
  <c r="G41" i="7"/>
  <c r="E41" i="7"/>
  <c r="K40" i="7"/>
  <c r="J40" i="7"/>
  <c r="E40" i="7"/>
  <c r="G40" i="7" s="1"/>
  <c r="D38" i="7"/>
  <c r="E38" i="7" s="1"/>
  <c r="K36" i="7"/>
  <c r="J36" i="7"/>
  <c r="E36" i="7"/>
  <c r="G36" i="7" s="1"/>
  <c r="K35" i="7"/>
  <c r="J35" i="7"/>
  <c r="E35" i="7"/>
  <c r="G35" i="7" s="1"/>
  <c r="K34" i="7"/>
  <c r="J34" i="7"/>
  <c r="E34" i="7"/>
  <c r="G34" i="7" s="1"/>
  <c r="K33" i="7"/>
  <c r="J33" i="7"/>
  <c r="G33" i="7"/>
  <c r="E33" i="7"/>
  <c r="K32" i="7"/>
  <c r="J32" i="7"/>
  <c r="G32" i="7"/>
  <c r="E32" i="7"/>
  <c r="K31" i="7"/>
  <c r="J31" i="7"/>
  <c r="K30" i="7"/>
  <c r="J30" i="7"/>
  <c r="K28" i="7"/>
  <c r="J28" i="7"/>
  <c r="E28" i="7"/>
  <c r="G28" i="7" s="1"/>
  <c r="D26" i="7"/>
  <c r="E26" i="7" s="1"/>
  <c r="K24" i="7"/>
  <c r="J24" i="7"/>
  <c r="E24" i="7"/>
  <c r="G24" i="7" s="1"/>
  <c r="K23" i="7"/>
  <c r="J23" i="7"/>
  <c r="G23" i="7"/>
  <c r="E23" i="7"/>
  <c r="K22" i="7"/>
  <c r="J22" i="7"/>
  <c r="E22" i="7"/>
  <c r="G22" i="7" s="1"/>
  <c r="K21" i="7"/>
  <c r="J21" i="7"/>
  <c r="K20" i="7"/>
  <c r="J20" i="7"/>
  <c r="E20" i="7"/>
  <c r="G20" i="7" s="1"/>
  <c r="K19" i="7"/>
  <c r="J19" i="7"/>
  <c r="E19" i="7"/>
  <c r="G19" i="7" s="1"/>
  <c r="K18" i="7"/>
  <c r="J18" i="7"/>
  <c r="E18" i="7"/>
  <c r="G18" i="7" s="1"/>
  <c r="K17" i="7"/>
  <c r="J17" i="7"/>
  <c r="E17" i="7"/>
  <c r="G17" i="7" s="1"/>
  <c r="K16" i="7"/>
  <c r="J16" i="7"/>
  <c r="E16" i="7"/>
  <c r="G16" i="7" s="1"/>
  <c r="K15" i="7"/>
  <c r="J15" i="7"/>
  <c r="K14" i="7"/>
  <c r="J14" i="7"/>
  <c r="K13" i="7"/>
  <c r="J13" i="7"/>
  <c r="E13" i="7"/>
  <c r="G13" i="7" s="1"/>
  <c r="K12" i="7"/>
  <c r="J12" i="7"/>
  <c r="E12" i="7"/>
  <c r="G12" i="7" s="1"/>
  <c r="K11" i="7"/>
  <c r="J11" i="7"/>
  <c r="E11" i="7"/>
  <c r="G11" i="7" s="1"/>
  <c r="K10" i="7"/>
  <c r="J10" i="7"/>
  <c r="E10" i="7"/>
  <c r="G10" i="7" s="1"/>
  <c r="K9" i="7"/>
  <c r="K26" i="7" s="1"/>
  <c r="J9" i="7"/>
  <c r="G9" i="7"/>
  <c r="E9" i="7"/>
  <c r="C6" i="7"/>
  <c r="E21" i="7" s="1"/>
  <c r="G21" i="7" s="1"/>
  <c r="K67" i="6"/>
  <c r="D67" i="6"/>
  <c r="K59" i="6"/>
  <c r="J59" i="6"/>
  <c r="E59" i="6"/>
  <c r="G59" i="6" s="1"/>
  <c r="K58" i="6"/>
  <c r="J58" i="6"/>
  <c r="K57" i="6"/>
  <c r="J57" i="6"/>
  <c r="E57" i="6"/>
  <c r="G57" i="6" s="1"/>
  <c r="K56" i="6"/>
  <c r="J56" i="6"/>
  <c r="K55" i="6"/>
  <c r="J55" i="6"/>
  <c r="K54" i="6"/>
  <c r="J54" i="6"/>
  <c r="E54" i="6"/>
  <c r="G54" i="6" s="1"/>
  <c r="K53" i="6"/>
  <c r="J53" i="6"/>
  <c r="G53" i="6"/>
  <c r="E53" i="6"/>
  <c r="K52" i="6"/>
  <c r="J52" i="6"/>
  <c r="E52" i="6"/>
  <c r="G52" i="6" s="1"/>
  <c r="K51" i="6"/>
  <c r="J51" i="6"/>
  <c r="K50" i="6"/>
  <c r="J50" i="6"/>
  <c r="D47" i="6"/>
  <c r="E47" i="6" s="1"/>
  <c r="K43" i="6"/>
  <c r="J43" i="6"/>
  <c r="E43" i="6"/>
  <c r="G43" i="6" s="1"/>
  <c r="K42" i="6"/>
  <c r="J42" i="6"/>
  <c r="E42" i="6"/>
  <c r="G42" i="6" s="1"/>
  <c r="K41" i="6"/>
  <c r="J41" i="6"/>
  <c r="G41" i="6"/>
  <c r="E41" i="6"/>
  <c r="K40" i="6"/>
  <c r="J40" i="6"/>
  <c r="E40" i="6"/>
  <c r="G40" i="6" s="1"/>
  <c r="K39" i="6"/>
  <c r="J39" i="6"/>
  <c r="G39" i="6"/>
  <c r="E39" i="6"/>
  <c r="K38" i="6"/>
  <c r="J38" i="6"/>
  <c r="D36" i="6"/>
  <c r="K34" i="6"/>
  <c r="J34" i="6"/>
  <c r="K33" i="6"/>
  <c r="J33" i="6"/>
  <c r="E33" i="6"/>
  <c r="G33" i="6" s="1"/>
  <c r="K32" i="6"/>
  <c r="J32" i="6"/>
  <c r="E32" i="6"/>
  <c r="G32" i="6" s="1"/>
  <c r="K31" i="6"/>
  <c r="J31" i="6"/>
  <c r="E31" i="6"/>
  <c r="G31" i="6" s="1"/>
  <c r="K30" i="6"/>
  <c r="J30" i="6"/>
  <c r="G30" i="6"/>
  <c r="E30" i="6"/>
  <c r="K29" i="6"/>
  <c r="J29" i="6"/>
  <c r="K28" i="6"/>
  <c r="J28" i="6"/>
  <c r="K26" i="6"/>
  <c r="J26" i="6"/>
  <c r="D24" i="6"/>
  <c r="E24" i="6" s="1"/>
  <c r="K22" i="6"/>
  <c r="J22" i="6"/>
  <c r="E22" i="6"/>
  <c r="G22" i="6" s="1"/>
  <c r="K21" i="6"/>
  <c r="J21" i="6"/>
  <c r="G21" i="6"/>
  <c r="E21" i="6"/>
  <c r="K20" i="6"/>
  <c r="J20" i="6"/>
  <c r="K19" i="6"/>
  <c r="J19" i="6"/>
  <c r="K18" i="6"/>
  <c r="J18" i="6"/>
  <c r="E18" i="6"/>
  <c r="G18" i="6" s="1"/>
  <c r="K17" i="6"/>
  <c r="J17" i="6"/>
  <c r="K16" i="6"/>
  <c r="J16" i="6"/>
  <c r="K15" i="6"/>
  <c r="J15" i="6"/>
  <c r="E15" i="6"/>
  <c r="G15" i="6" s="1"/>
  <c r="K14" i="6"/>
  <c r="J14" i="6"/>
  <c r="E14" i="6"/>
  <c r="G14" i="6" s="1"/>
  <c r="K13" i="6"/>
  <c r="J13" i="6"/>
  <c r="K12" i="6"/>
  <c r="J12" i="6"/>
  <c r="E12" i="6"/>
  <c r="G12" i="6" s="1"/>
  <c r="K11" i="6"/>
  <c r="J11" i="6"/>
  <c r="E11" i="6"/>
  <c r="G11" i="6" s="1"/>
  <c r="K10" i="6"/>
  <c r="J10" i="6"/>
  <c r="K9" i="6"/>
  <c r="J9" i="6"/>
  <c r="C6" i="6"/>
  <c r="E26" i="6" s="1"/>
  <c r="G26" i="6" s="1"/>
  <c r="D66" i="5"/>
  <c r="K58" i="5"/>
  <c r="J58" i="5"/>
  <c r="K57" i="5"/>
  <c r="J57" i="5"/>
  <c r="E57" i="5"/>
  <c r="G57" i="5" s="1"/>
  <c r="K56" i="5"/>
  <c r="J56" i="5"/>
  <c r="K55" i="5"/>
  <c r="J55" i="5"/>
  <c r="K54" i="5"/>
  <c r="J54" i="5"/>
  <c r="K53" i="5"/>
  <c r="J53" i="5"/>
  <c r="K52" i="5"/>
  <c r="J52" i="5"/>
  <c r="K51" i="5"/>
  <c r="J51" i="5"/>
  <c r="E51" i="5"/>
  <c r="G51" i="5" s="1"/>
  <c r="K50" i="5"/>
  <c r="J50" i="5"/>
  <c r="E50" i="5"/>
  <c r="G50" i="5" s="1"/>
  <c r="K49" i="5"/>
  <c r="K66" i="5" s="1"/>
  <c r="J49" i="5"/>
  <c r="D46" i="5"/>
  <c r="K42" i="5"/>
  <c r="J42" i="5"/>
  <c r="K41" i="5"/>
  <c r="J41" i="5"/>
  <c r="K40" i="5"/>
  <c r="J40" i="5"/>
  <c r="K39" i="5"/>
  <c r="J39" i="5"/>
  <c r="K38" i="5"/>
  <c r="J38" i="5"/>
  <c r="K37" i="5"/>
  <c r="J37" i="5"/>
  <c r="E37" i="5"/>
  <c r="G37" i="5" s="1"/>
  <c r="D35" i="5"/>
  <c r="E35" i="5" s="1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5" i="5"/>
  <c r="J25" i="5"/>
  <c r="D23" i="5"/>
  <c r="K21" i="5"/>
  <c r="J21" i="5"/>
  <c r="K20" i="5"/>
  <c r="J20" i="5"/>
  <c r="K19" i="5"/>
  <c r="J19" i="5"/>
  <c r="K18" i="5"/>
  <c r="J18" i="5"/>
  <c r="E18" i="5"/>
  <c r="G18" i="5" s="1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C6" i="5"/>
  <c r="E28" i="5" s="1"/>
  <c r="G28" i="5" s="1"/>
  <c r="D94" i="4"/>
  <c r="D47" i="4"/>
  <c r="D46" i="4"/>
  <c r="D45" i="4"/>
  <c r="J44" i="4"/>
  <c r="H44" i="4"/>
  <c r="F44" i="4"/>
  <c r="K44" i="4" s="1"/>
  <c r="E44" i="4"/>
  <c r="G44" i="4" s="1"/>
  <c r="K43" i="4"/>
  <c r="J43" i="4"/>
  <c r="H43" i="4"/>
  <c r="F43" i="4"/>
  <c r="E43" i="4"/>
  <c r="G43" i="4" s="1"/>
  <c r="K42" i="4"/>
  <c r="J42" i="4"/>
  <c r="H42" i="4"/>
  <c r="F42" i="4"/>
  <c r="E42" i="4"/>
  <c r="G42" i="4" s="1"/>
  <c r="D41" i="4"/>
  <c r="H40" i="4"/>
  <c r="J40" i="4" s="1"/>
  <c r="F40" i="4"/>
  <c r="K40" i="4" s="1"/>
  <c r="E40" i="4"/>
  <c r="H39" i="4"/>
  <c r="J39" i="4" s="1"/>
  <c r="F39" i="4"/>
  <c r="K39" i="4" s="1"/>
  <c r="E39" i="4"/>
  <c r="G39" i="4" s="1"/>
  <c r="H38" i="4"/>
  <c r="J38" i="4" s="1"/>
  <c r="F38" i="4"/>
  <c r="K38" i="4" s="1"/>
  <c r="E38" i="4"/>
  <c r="H37" i="4"/>
  <c r="J37" i="4" s="1"/>
  <c r="F37" i="4"/>
  <c r="K37" i="4" s="1"/>
  <c r="E37" i="4"/>
  <c r="H36" i="4"/>
  <c r="J36" i="4" s="1"/>
  <c r="F36" i="4"/>
  <c r="K36" i="4" s="1"/>
  <c r="E36" i="4"/>
  <c r="K35" i="4"/>
  <c r="J35" i="4"/>
  <c r="H35" i="4"/>
  <c r="G35" i="4"/>
  <c r="F35" i="4"/>
  <c r="E35" i="4"/>
  <c r="H34" i="4"/>
  <c r="J34" i="4" s="1"/>
  <c r="F34" i="4"/>
  <c r="K34" i="4" s="1"/>
  <c r="E34" i="4"/>
  <c r="G34" i="4" s="1"/>
  <c r="H33" i="4"/>
  <c r="J33" i="4" s="1"/>
  <c r="F33" i="4"/>
  <c r="K33" i="4" s="1"/>
  <c r="E33" i="4"/>
  <c r="G33" i="4" s="1"/>
  <c r="H32" i="4"/>
  <c r="J32" i="4" s="1"/>
  <c r="F32" i="4"/>
  <c r="K32" i="4" s="1"/>
  <c r="E32" i="4"/>
  <c r="G32" i="4" s="1"/>
  <c r="H31" i="4"/>
  <c r="J31" i="4" s="1"/>
  <c r="F31" i="4"/>
  <c r="K31" i="4" s="1"/>
  <c r="E31" i="4"/>
  <c r="K30" i="4"/>
  <c r="H30" i="4"/>
  <c r="J30" i="4" s="1"/>
  <c r="F30" i="4"/>
  <c r="E30" i="4"/>
  <c r="G30" i="4" s="1"/>
  <c r="H29" i="4"/>
  <c r="J29" i="4" s="1"/>
  <c r="F29" i="4"/>
  <c r="K29" i="4" s="1"/>
  <c r="E29" i="4"/>
  <c r="G29" i="4" s="1"/>
  <c r="H28" i="4"/>
  <c r="J28" i="4" s="1"/>
  <c r="F28" i="4"/>
  <c r="K28" i="4" s="1"/>
  <c r="E28" i="4"/>
  <c r="H27" i="4"/>
  <c r="J27" i="4" s="1"/>
  <c r="F27" i="4"/>
  <c r="K27" i="4" s="1"/>
  <c r="E27" i="4"/>
  <c r="K26" i="4"/>
  <c r="H26" i="4"/>
  <c r="J26" i="4" s="1"/>
  <c r="G26" i="4"/>
  <c r="F26" i="4"/>
  <c r="E26" i="4"/>
  <c r="H25" i="4"/>
  <c r="J25" i="4" s="1"/>
  <c r="F25" i="4"/>
  <c r="K25" i="4" s="1"/>
  <c r="E25" i="4"/>
  <c r="G25" i="4" s="1"/>
  <c r="J24" i="4"/>
  <c r="H24" i="4"/>
  <c r="F24" i="4"/>
  <c r="K24" i="4" s="1"/>
  <c r="E24" i="4"/>
  <c r="G24" i="4" s="1"/>
  <c r="H23" i="4"/>
  <c r="J23" i="4" s="1"/>
  <c r="F23" i="4"/>
  <c r="K23" i="4" s="1"/>
  <c r="E23" i="4"/>
  <c r="E2" i="4" s="1"/>
  <c r="K22" i="4"/>
  <c r="J22" i="4"/>
  <c r="H22" i="4"/>
  <c r="F22" i="4"/>
  <c r="E22" i="4"/>
  <c r="G22" i="4" s="1"/>
  <c r="K21" i="4"/>
  <c r="J21" i="4"/>
  <c r="H21" i="4"/>
  <c r="F21" i="4"/>
  <c r="G21" i="4" s="1"/>
  <c r="E21" i="4"/>
  <c r="H20" i="4"/>
  <c r="J20" i="4" s="1"/>
  <c r="G20" i="4"/>
  <c r="F20" i="4"/>
  <c r="K20" i="4" s="1"/>
  <c r="E20" i="4"/>
  <c r="H19" i="4"/>
  <c r="J19" i="4" s="1"/>
  <c r="F19" i="4"/>
  <c r="K19" i="4" s="1"/>
  <c r="E19" i="4"/>
  <c r="G19" i="4" s="1"/>
  <c r="H18" i="4"/>
  <c r="J18" i="4" s="1"/>
  <c r="F18" i="4"/>
  <c r="K18" i="4" s="1"/>
  <c r="E18" i="4"/>
  <c r="G18" i="4" s="1"/>
  <c r="K17" i="4"/>
  <c r="J17" i="4"/>
  <c r="H17" i="4"/>
  <c r="G17" i="4"/>
  <c r="F17" i="4"/>
  <c r="E17" i="4"/>
  <c r="J16" i="4"/>
  <c r="H16" i="4"/>
  <c r="F16" i="4"/>
  <c r="K16" i="4" s="1"/>
  <c r="E16" i="4"/>
  <c r="G16" i="4" s="1"/>
  <c r="K15" i="4"/>
  <c r="H15" i="4"/>
  <c r="J15" i="4" s="1"/>
  <c r="G15" i="4"/>
  <c r="F15" i="4"/>
  <c r="E15" i="4"/>
  <c r="H14" i="4"/>
  <c r="J14" i="4" s="1"/>
  <c r="F14" i="4"/>
  <c r="K14" i="4" s="1"/>
  <c r="E14" i="4"/>
  <c r="H13" i="4"/>
  <c r="J13" i="4" s="1"/>
  <c r="F13" i="4"/>
  <c r="K13" i="4" s="1"/>
  <c r="E13" i="4"/>
  <c r="G13" i="4" s="1"/>
  <c r="K12" i="4"/>
  <c r="J12" i="4"/>
  <c r="H12" i="4"/>
  <c r="F12" i="4"/>
  <c r="E12" i="4"/>
  <c r="G12" i="4" s="1"/>
  <c r="H11" i="4"/>
  <c r="J11" i="4" s="1"/>
  <c r="F11" i="4"/>
  <c r="K11" i="4" s="1"/>
  <c r="E11" i="4"/>
  <c r="K10" i="4"/>
  <c r="H10" i="4"/>
  <c r="J10" i="4" s="1"/>
  <c r="G10" i="4"/>
  <c r="F10" i="4"/>
  <c r="E10" i="4"/>
  <c r="H9" i="4"/>
  <c r="J9" i="4" s="1"/>
  <c r="F9" i="4"/>
  <c r="K9" i="4" s="1"/>
  <c r="E9" i="4"/>
  <c r="G9" i="4" s="1"/>
  <c r="H8" i="4"/>
  <c r="J8" i="4" s="1"/>
  <c r="F8" i="4"/>
  <c r="K8" i="4" s="1"/>
  <c r="E8" i="4"/>
  <c r="S7" i="4"/>
  <c r="H7" i="4"/>
  <c r="J7" i="4" s="1"/>
  <c r="F7" i="4"/>
  <c r="K7" i="4" s="1"/>
  <c r="E7" i="4"/>
  <c r="K6" i="4"/>
  <c r="S5" i="4"/>
  <c r="P5" i="4"/>
  <c r="S4" i="4"/>
  <c r="S3" i="4"/>
  <c r="E3" i="4"/>
  <c r="S2" i="4"/>
  <c r="D66" i="3"/>
  <c r="K58" i="3"/>
  <c r="J58" i="3"/>
  <c r="E58" i="3"/>
  <c r="G58" i="3" s="1"/>
  <c r="K57" i="3"/>
  <c r="J57" i="3"/>
  <c r="K56" i="3"/>
  <c r="J56" i="3"/>
  <c r="E56" i="3"/>
  <c r="G56" i="3" s="1"/>
  <c r="K55" i="3"/>
  <c r="J55" i="3"/>
  <c r="E55" i="3"/>
  <c r="G55" i="3" s="1"/>
  <c r="K54" i="3"/>
  <c r="J54" i="3"/>
  <c r="G54" i="3"/>
  <c r="E54" i="3"/>
  <c r="K53" i="3"/>
  <c r="J53" i="3"/>
  <c r="G53" i="3"/>
  <c r="E53" i="3"/>
  <c r="K52" i="3"/>
  <c r="J52" i="3"/>
  <c r="E52" i="3"/>
  <c r="G52" i="3" s="1"/>
  <c r="K51" i="3"/>
  <c r="J51" i="3"/>
  <c r="K50" i="3"/>
  <c r="J50" i="3"/>
  <c r="E50" i="3"/>
  <c r="G50" i="3" s="1"/>
  <c r="K49" i="3"/>
  <c r="K66" i="3" s="1"/>
  <c r="J49" i="3"/>
  <c r="E49" i="3"/>
  <c r="K46" i="3"/>
  <c r="E46" i="3"/>
  <c r="D46" i="3"/>
  <c r="K42" i="3"/>
  <c r="J42" i="3"/>
  <c r="G42" i="3"/>
  <c r="E42" i="3"/>
  <c r="K41" i="3"/>
  <c r="J41" i="3"/>
  <c r="E41" i="3"/>
  <c r="G41" i="3" s="1"/>
  <c r="K40" i="3"/>
  <c r="J40" i="3"/>
  <c r="G40" i="3"/>
  <c r="E40" i="3"/>
  <c r="K39" i="3"/>
  <c r="J39" i="3"/>
  <c r="K38" i="3"/>
  <c r="J38" i="3"/>
  <c r="E38" i="3"/>
  <c r="G38" i="3" s="1"/>
  <c r="K37" i="3"/>
  <c r="J37" i="3"/>
  <c r="E37" i="3"/>
  <c r="G37" i="3" s="1"/>
  <c r="D35" i="3"/>
  <c r="E35" i="3" s="1"/>
  <c r="K33" i="3"/>
  <c r="J33" i="3"/>
  <c r="E33" i="3"/>
  <c r="G33" i="3" s="1"/>
  <c r="K32" i="3"/>
  <c r="J32" i="3"/>
  <c r="E32" i="3"/>
  <c r="G32" i="3" s="1"/>
  <c r="K31" i="3"/>
  <c r="K35" i="3" s="1"/>
  <c r="J31" i="3"/>
  <c r="E31" i="3"/>
  <c r="G31" i="3" s="1"/>
  <c r="K30" i="3"/>
  <c r="J30" i="3"/>
  <c r="E30" i="3"/>
  <c r="G30" i="3" s="1"/>
  <c r="K29" i="3"/>
  <c r="J29" i="3"/>
  <c r="E29" i="3"/>
  <c r="G29" i="3" s="1"/>
  <c r="K28" i="3"/>
  <c r="J28" i="3"/>
  <c r="E28" i="3"/>
  <c r="G28" i="3" s="1"/>
  <c r="K27" i="3"/>
  <c r="J27" i="3"/>
  <c r="E27" i="3"/>
  <c r="G27" i="3" s="1"/>
  <c r="K25" i="3"/>
  <c r="J25" i="3"/>
  <c r="E25" i="3"/>
  <c r="G25" i="3" s="1"/>
  <c r="K23" i="3"/>
  <c r="E23" i="3"/>
  <c r="D23" i="3"/>
  <c r="K21" i="3"/>
  <c r="J21" i="3"/>
  <c r="K20" i="3"/>
  <c r="J20" i="3"/>
  <c r="E20" i="3"/>
  <c r="G20" i="3" s="1"/>
  <c r="K19" i="3"/>
  <c r="J19" i="3"/>
  <c r="E19" i="3"/>
  <c r="G19" i="3" s="1"/>
  <c r="K18" i="3"/>
  <c r="J18" i="3"/>
  <c r="E18" i="3"/>
  <c r="G18" i="3" s="1"/>
  <c r="K17" i="3"/>
  <c r="J17" i="3"/>
  <c r="E17" i="3"/>
  <c r="G17" i="3" s="1"/>
  <c r="K16" i="3"/>
  <c r="J16" i="3"/>
  <c r="E16" i="3"/>
  <c r="G16" i="3" s="1"/>
  <c r="K15" i="3"/>
  <c r="J15" i="3"/>
  <c r="E15" i="3"/>
  <c r="G15" i="3" s="1"/>
  <c r="K14" i="3"/>
  <c r="J14" i="3"/>
  <c r="E14" i="3"/>
  <c r="G14" i="3" s="1"/>
  <c r="K13" i="3"/>
  <c r="J13" i="3"/>
  <c r="E13" i="3"/>
  <c r="G13" i="3" s="1"/>
  <c r="K12" i="3"/>
  <c r="J12" i="3"/>
  <c r="E12" i="3"/>
  <c r="G12" i="3" s="1"/>
  <c r="K11" i="3"/>
  <c r="J11" i="3"/>
  <c r="E11" i="3"/>
  <c r="G11" i="3" s="1"/>
  <c r="K10" i="3"/>
  <c r="J10" i="3"/>
  <c r="E10" i="3"/>
  <c r="G10" i="3" s="1"/>
  <c r="K9" i="3"/>
  <c r="J9" i="3"/>
  <c r="E9" i="3"/>
  <c r="G9" i="3" s="1"/>
  <c r="C6" i="3"/>
  <c r="E51" i="3" s="1"/>
  <c r="G51" i="3" s="1"/>
  <c r="D73" i="2"/>
  <c r="K65" i="2"/>
  <c r="J65" i="2"/>
  <c r="K64" i="2"/>
  <c r="J64" i="2"/>
  <c r="E64" i="2"/>
  <c r="G64" i="2" s="1"/>
  <c r="K63" i="2"/>
  <c r="J63" i="2"/>
  <c r="E63" i="2"/>
  <c r="G63" i="2" s="1"/>
  <c r="K62" i="2"/>
  <c r="J62" i="2"/>
  <c r="K61" i="2"/>
  <c r="J61" i="2"/>
  <c r="K60" i="2"/>
  <c r="J60" i="2"/>
  <c r="E60" i="2"/>
  <c r="G60" i="2" s="1"/>
  <c r="K59" i="2"/>
  <c r="J59" i="2"/>
  <c r="E59" i="2"/>
  <c r="G59" i="2" s="1"/>
  <c r="K58" i="2"/>
  <c r="J58" i="2"/>
  <c r="K57" i="2"/>
  <c r="J57" i="2"/>
  <c r="E57" i="2"/>
  <c r="G57" i="2" s="1"/>
  <c r="K56" i="2"/>
  <c r="J56" i="2"/>
  <c r="E56" i="2"/>
  <c r="G56" i="2" s="1"/>
  <c r="D53" i="2"/>
  <c r="E53" i="2" s="1"/>
  <c r="K49" i="2"/>
  <c r="J49" i="2"/>
  <c r="E49" i="2"/>
  <c r="G49" i="2" s="1"/>
  <c r="K48" i="2"/>
  <c r="J48" i="2"/>
  <c r="G48" i="2"/>
  <c r="E48" i="2"/>
  <c r="K47" i="2"/>
  <c r="J47" i="2"/>
  <c r="E47" i="2"/>
  <c r="K46" i="2"/>
  <c r="J46" i="2"/>
  <c r="E46" i="2"/>
  <c r="K45" i="2"/>
  <c r="J45" i="2"/>
  <c r="K44" i="2"/>
  <c r="J44" i="2"/>
  <c r="E44" i="2"/>
  <c r="G44" i="2" s="1"/>
  <c r="K43" i="2"/>
  <c r="J43" i="2"/>
  <c r="K41" i="2"/>
  <c r="J41" i="2"/>
  <c r="E41" i="2"/>
  <c r="G41" i="2" s="1"/>
  <c r="K40" i="2"/>
  <c r="J40" i="2"/>
  <c r="E40" i="2"/>
  <c r="G40" i="2" s="1"/>
  <c r="D38" i="2"/>
  <c r="E38" i="2" s="1"/>
  <c r="K36" i="2"/>
  <c r="J36" i="2"/>
  <c r="G36" i="2"/>
  <c r="E36" i="2"/>
  <c r="K35" i="2"/>
  <c r="J35" i="2"/>
  <c r="G35" i="2"/>
  <c r="E35" i="2"/>
  <c r="K34" i="2"/>
  <c r="J34" i="2"/>
  <c r="K33" i="2"/>
  <c r="J33" i="2"/>
  <c r="K32" i="2"/>
  <c r="J32" i="2"/>
  <c r="E32" i="2"/>
  <c r="G32" i="2" s="1"/>
  <c r="K31" i="2"/>
  <c r="J31" i="2"/>
  <c r="E31" i="2"/>
  <c r="G31" i="2" s="1"/>
  <c r="K30" i="2"/>
  <c r="J30" i="2"/>
  <c r="G30" i="2"/>
  <c r="E30" i="2"/>
  <c r="K28" i="2"/>
  <c r="J28" i="2"/>
  <c r="G28" i="2"/>
  <c r="E28" i="2"/>
  <c r="D26" i="2"/>
  <c r="E26" i="2" s="1"/>
  <c r="K24" i="2"/>
  <c r="J24" i="2"/>
  <c r="K23" i="2"/>
  <c r="J23" i="2"/>
  <c r="K22" i="2"/>
  <c r="J22" i="2"/>
  <c r="E22" i="2"/>
  <c r="G22" i="2" s="1"/>
  <c r="K21" i="2"/>
  <c r="J21" i="2"/>
  <c r="E21" i="2"/>
  <c r="G21" i="2" s="1"/>
  <c r="K20" i="2"/>
  <c r="J20" i="2"/>
  <c r="G20" i="2"/>
  <c r="E20" i="2"/>
  <c r="K19" i="2"/>
  <c r="J19" i="2"/>
  <c r="G19" i="2"/>
  <c r="E19" i="2"/>
  <c r="K18" i="2"/>
  <c r="J18" i="2"/>
  <c r="K17" i="2"/>
  <c r="J17" i="2"/>
  <c r="E17" i="2"/>
  <c r="K16" i="2"/>
  <c r="J16" i="2"/>
  <c r="E16" i="2"/>
  <c r="G16" i="2" s="1"/>
  <c r="K15" i="2"/>
  <c r="J15" i="2"/>
  <c r="E15" i="2"/>
  <c r="G15" i="2" s="1"/>
  <c r="K14" i="2"/>
  <c r="J14" i="2"/>
  <c r="E14" i="2"/>
  <c r="G14" i="2" s="1"/>
  <c r="K13" i="2"/>
  <c r="J13" i="2"/>
  <c r="G13" i="2"/>
  <c r="E13" i="2"/>
  <c r="K12" i="2"/>
  <c r="J12" i="2"/>
  <c r="K11" i="2"/>
  <c r="J11" i="2"/>
  <c r="K10" i="2"/>
  <c r="J10" i="2"/>
  <c r="E10" i="2"/>
  <c r="G10" i="2" s="1"/>
  <c r="K9" i="2"/>
  <c r="J9" i="2"/>
  <c r="C6" i="2"/>
  <c r="M49" i="1"/>
  <c r="M48" i="1"/>
  <c r="M47" i="1"/>
  <c r="M42" i="1"/>
  <c r="F37" i="14" s="1"/>
  <c r="K37" i="14" s="1"/>
  <c r="M41" i="1"/>
  <c r="F63" i="14" s="1"/>
  <c r="M40" i="1"/>
  <c r="F36" i="14" s="1"/>
  <c r="K36" i="14" s="1"/>
  <c r="M39" i="1"/>
  <c r="F35" i="14" s="1"/>
  <c r="K35" i="14" s="1"/>
  <c r="M38" i="1"/>
  <c r="F34" i="14" s="1"/>
  <c r="K34" i="14" s="1"/>
  <c r="M37" i="1"/>
  <c r="F33" i="14" s="1"/>
  <c r="K33" i="14" s="1"/>
  <c r="M36" i="1"/>
  <c r="F32" i="14" s="1"/>
  <c r="K32" i="14" s="1"/>
  <c r="M35" i="1"/>
  <c r="M34" i="1"/>
  <c r="M33" i="1"/>
  <c r="M32" i="1"/>
  <c r="M31" i="1"/>
  <c r="M30" i="1"/>
  <c r="F61" i="14" s="1"/>
  <c r="K61" i="14" s="1"/>
  <c r="M29" i="1"/>
  <c r="M28" i="1"/>
  <c r="F59" i="14" s="1"/>
  <c r="K59" i="14" s="1"/>
  <c r="M27" i="1"/>
  <c r="F58" i="14" s="1"/>
  <c r="K58" i="14" s="1"/>
  <c r="M26" i="1"/>
  <c r="F57" i="14" s="1"/>
  <c r="K57" i="14" s="1"/>
  <c r="M25" i="1"/>
  <c r="F44" i="14" s="1"/>
  <c r="K44" i="14" s="1"/>
  <c r="M24" i="1"/>
  <c r="M23" i="1"/>
  <c r="F42" i="14" s="1"/>
  <c r="K42" i="14" s="1"/>
  <c r="M22" i="1"/>
  <c r="F56" i="14" s="1"/>
  <c r="K56" i="14" s="1"/>
  <c r="M21" i="1"/>
  <c r="M20" i="1"/>
  <c r="M16" i="1"/>
  <c r="F16" i="14" s="1"/>
  <c r="K16" i="14" s="1"/>
  <c r="M15" i="1"/>
  <c r="F19" i="14" s="1"/>
  <c r="K19" i="14" s="1"/>
  <c r="M14" i="1"/>
  <c r="F11" i="14" s="1"/>
  <c r="K11" i="14" s="1"/>
  <c r="M13" i="1"/>
  <c r="F10" i="14" s="1"/>
  <c r="K10" i="14" s="1"/>
  <c r="M12" i="1"/>
  <c r="F18" i="14" s="1"/>
  <c r="K18" i="14" s="1"/>
  <c r="M11" i="1"/>
  <c r="F9" i="14" s="1"/>
  <c r="K9" i="14" s="1"/>
  <c r="M10" i="1"/>
  <c r="F15" i="14" s="1"/>
  <c r="K15" i="14" s="1"/>
  <c r="M9" i="1"/>
  <c r="M8" i="1"/>
  <c r="M7" i="1"/>
  <c r="F14" i="14" s="1"/>
  <c r="K14" i="14" s="1"/>
  <c r="M6" i="1"/>
  <c r="M5" i="1"/>
  <c r="F21" i="14" s="1"/>
  <c r="K21" i="14" s="1"/>
  <c r="M4" i="1"/>
  <c r="F17" i="14" s="1"/>
  <c r="K17" i="14" s="1"/>
  <c r="M3" i="1"/>
  <c r="F22" i="14" s="1"/>
  <c r="K22" i="14" s="1"/>
  <c r="M2" i="1"/>
  <c r="F20" i="14" s="1"/>
  <c r="K20" i="14" s="1"/>
  <c r="K74" i="13" l="1"/>
  <c r="L12" i="4"/>
  <c r="L37" i="4"/>
  <c r="K46" i="4"/>
  <c r="L46" i="4" s="1"/>
  <c r="L38" i="4"/>
  <c r="L29" i="4"/>
  <c r="L22" i="10"/>
  <c r="L63" i="10"/>
  <c r="E41" i="4"/>
  <c r="E47" i="4" s="1"/>
  <c r="G58" i="14"/>
  <c r="S8" i="4"/>
  <c r="E56" i="8"/>
  <c r="G56" i="8" s="1"/>
  <c r="E30" i="8"/>
  <c r="G30" i="8" s="1"/>
  <c r="E14" i="8"/>
  <c r="G14" i="8" s="1"/>
  <c r="E38" i="8"/>
  <c r="G38" i="8" s="1"/>
  <c r="E50" i="8"/>
  <c r="G50" i="8" s="1"/>
  <c r="E20" i="8"/>
  <c r="G20" i="8" s="1"/>
  <c r="E51" i="8"/>
  <c r="G51" i="8" s="1"/>
  <c r="E21" i="8"/>
  <c r="G21" i="8" s="1"/>
  <c r="E57" i="8"/>
  <c r="G57" i="8" s="1"/>
  <c r="E39" i="8"/>
  <c r="G39" i="8" s="1"/>
  <c r="E42" i="8"/>
  <c r="G42" i="8" s="1"/>
  <c r="E29" i="8"/>
  <c r="G29" i="8" s="1"/>
  <c r="E11" i="8"/>
  <c r="G11" i="8" s="1"/>
  <c r="E32" i="8"/>
  <c r="G32" i="8" s="1"/>
  <c r="E40" i="8"/>
  <c r="G40" i="8" s="1"/>
  <c r="E54" i="8"/>
  <c r="G54" i="8" s="1"/>
  <c r="E13" i="8"/>
  <c r="G13" i="8" s="1"/>
  <c r="E10" i="8"/>
  <c r="G10" i="8" s="1"/>
  <c r="E41" i="8"/>
  <c r="G41" i="8" s="1"/>
  <c r="E31" i="8"/>
  <c r="G31" i="8" s="1"/>
  <c r="E28" i="8"/>
  <c r="G28" i="8" s="1"/>
  <c r="E52" i="8"/>
  <c r="G52" i="8" s="1"/>
  <c r="E53" i="8"/>
  <c r="G53" i="8" s="1"/>
  <c r="E12" i="8"/>
  <c r="G12" i="8" s="1"/>
  <c r="E19" i="8"/>
  <c r="G19" i="8" s="1"/>
  <c r="E16" i="8"/>
  <c r="G16" i="8" s="1"/>
  <c r="E18" i="8"/>
  <c r="G18" i="8" s="1"/>
  <c r="E17" i="8"/>
  <c r="G17" i="8" s="1"/>
  <c r="E58" i="8"/>
  <c r="G58" i="8" s="1"/>
  <c r="E37" i="8"/>
  <c r="G37" i="8" s="1"/>
  <c r="E49" i="8"/>
  <c r="E27" i="8"/>
  <c r="G27" i="8" s="1"/>
  <c r="E9" i="8"/>
  <c r="G9" i="8" s="1"/>
  <c r="E46" i="8"/>
  <c r="E25" i="8"/>
  <c r="G25" i="8" s="1"/>
  <c r="E33" i="8"/>
  <c r="G33" i="8" s="1"/>
  <c r="E15" i="8"/>
  <c r="G15" i="8" s="1"/>
  <c r="E55" i="8"/>
  <c r="G55" i="8" s="1"/>
  <c r="E23" i="8"/>
  <c r="E45" i="4"/>
  <c r="E44" i="10"/>
  <c r="G5" i="10"/>
  <c r="K27" i="14"/>
  <c r="L10" i="10"/>
  <c r="L28" i="4"/>
  <c r="K45" i="4"/>
  <c r="G12" i="14"/>
  <c r="K12" i="14"/>
  <c r="L33" i="4"/>
  <c r="K4" i="3"/>
  <c r="M4" i="3" s="1"/>
  <c r="K2" i="3"/>
  <c r="K69" i="3"/>
  <c r="K69" i="7"/>
  <c r="L47" i="10"/>
  <c r="L9" i="4"/>
  <c r="L27" i="10"/>
  <c r="L39" i="10"/>
  <c r="J85" i="4"/>
  <c r="L13" i="4"/>
  <c r="K4" i="10"/>
  <c r="M4" i="10" s="1"/>
  <c r="L8" i="4"/>
  <c r="L31" i="4"/>
  <c r="L32" i="4"/>
  <c r="L17" i="3"/>
  <c r="L14" i="4"/>
  <c r="K41" i="4"/>
  <c r="L41" i="4" s="1"/>
  <c r="L6" i="4"/>
  <c r="L22" i="4"/>
  <c r="L15" i="4"/>
  <c r="G37" i="4"/>
  <c r="K2" i="4"/>
  <c r="L17" i="4"/>
  <c r="L66" i="3"/>
  <c r="L40" i="4"/>
  <c r="L42" i="4"/>
  <c r="L54" i="3"/>
  <c r="L27" i="3"/>
  <c r="L10" i="4"/>
  <c r="E35" i="8"/>
  <c r="G35" i="14"/>
  <c r="K35" i="5"/>
  <c r="L42" i="3"/>
  <c r="L19" i="3"/>
  <c r="G11" i="4"/>
  <c r="L19" i="4"/>
  <c r="K24" i="6"/>
  <c r="K63" i="14"/>
  <c r="G63" i="14"/>
  <c r="L35" i="4"/>
  <c r="L2" i="4" s="1"/>
  <c r="L36" i="4"/>
  <c r="G27" i="4"/>
  <c r="K47" i="4"/>
  <c r="L47" i="4" s="1"/>
  <c r="L27" i="4"/>
  <c r="L17" i="10"/>
  <c r="G20" i="14"/>
  <c r="E46" i="5"/>
  <c r="E22" i="10"/>
  <c r="G22" i="10" s="1"/>
  <c r="L40" i="10"/>
  <c r="E34" i="12"/>
  <c r="G34" i="12" s="1"/>
  <c r="G31" i="4"/>
  <c r="G36" i="4"/>
  <c r="K46" i="5"/>
  <c r="K23" i="8"/>
  <c r="E24" i="12"/>
  <c r="K31" i="13"/>
  <c r="E23" i="5"/>
  <c r="E56" i="5"/>
  <c r="G56" i="5" s="1"/>
  <c r="E15" i="10"/>
  <c r="G15" i="10" s="1"/>
  <c r="E30" i="10"/>
  <c r="G30" i="10" s="1"/>
  <c r="L41" i="10"/>
  <c r="E52" i="10"/>
  <c r="G52" i="10" s="1"/>
  <c r="E65" i="10"/>
  <c r="G65" i="10" s="1"/>
  <c r="K24" i="11"/>
  <c r="K24" i="12"/>
  <c r="E51" i="12"/>
  <c r="G51" i="12" s="1"/>
  <c r="E59" i="12"/>
  <c r="G59" i="12" s="1"/>
  <c r="G50" i="14"/>
  <c r="E10" i="12"/>
  <c r="G10" i="12" s="1"/>
  <c r="K73" i="2"/>
  <c r="L31" i="3"/>
  <c r="E15" i="5"/>
  <c r="G15" i="5" s="1"/>
  <c r="E49" i="5"/>
  <c r="K36" i="6"/>
  <c r="K26" i="2"/>
  <c r="E16" i="12"/>
  <c r="G16" i="12" s="1"/>
  <c r="E26" i="12"/>
  <c r="G26" i="12" s="1"/>
  <c r="E36" i="12"/>
  <c r="L16" i="4"/>
  <c r="G60" i="14"/>
  <c r="E9" i="12"/>
  <c r="G9" i="12" s="1"/>
  <c r="G36" i="14"/>
  <c r="E61" i="10"/>
  <c r="G61" i="10" s="1"/>
  <c r="E68" i="10"/>
  <c r="G68" i="10" s="1"/>
  <c r="E50" i="10"/>
  <c r="G50" i="10" s="1"/>
  <c r="E34" i="10"/>
  <c r="G34" i="10" s="1"/>
  <c r="E19" i="10"/>
  <c r="G19" i="10" s="1"/>
  <c r="E12" i="10"/>
  <c r="G12" i="10" s="1"/>
  <c r="E41" i="10"/>
  <c r="G41" i="10" s="1"/>
  <c r="E25" i="10"/>
  <c r="G25" i="10" s="1"/>
  <c r="E42" i="10"/>
  <c r="G42" i="10" s="1"/>
  <c r="E26" i="10"/>
  <c r="G26" i="10" s="1"/>
  <c r="E62" i="10"/>
  <c r="G62" i="10" s="1"/>
  <c r="E13" i="10"/>
  <c r="G13" i="10" s="1"/>
  <c r="E17" i="12"/>
  <c r="G17" i="12" s="1"/>
  <c r="E47" i="12"/>
  <c r="E13" i="12"/>
  <c r="G13" i="12" s="1"/>
  <c r="E29" i="12"/>
  <c r="G29" i="12" s="1"/>
  <c r="E55" i="12"/>
  <c r="G55" i="12" s="1"/>
  <c r="E19" i="12"/>
  <c r="G19" i="12" s="1"/>
  <c r="E12" i="12"/>
  <c r="G12" i="12" s="1"/>
  <c r="E57" i="12"/>
  <c r="G57" i="12" s="1"/>
  <c r="E14" i="12"/>
  <c r="G14" i="12" s="1"/>
  <c r="E30" i="12"/>
  <c r="G30" i="12" s="1"/>
  <c r="E50" i="12"/>
  <c r="E20" i="12"/>
  <c r="G20" i="12" s="1"/>
  <c r="E56" i="12"/>
  <c r="G56" i="12" s="1"/>
  <c r="E38" i="12"/>
  <c r="G38" i="12" s="1"/>
  <c r="E53" i="5"/>
  <c r="G53" i="5" s="1"/>
  <c r="E32" i="5"/>
  <c r="G32" i="5" s="1"/>
  <c r="E41" i="5"/>
  <c r="G41" i="5" s="1"/>
  <c r="E25" i="5"/>
  <c r="G25" i="5" s="1"/>
  <c r="E10" i="5"/>
  <c r="G10" i="5" s="1"/>
  <c r="E16" i="5"/>
  <c r="G16" i="5" s="1"/>
  <c r="E42" i="5"/>
  <c r="G42" i="5" s="1"/>
  <c r="E27" i="5"/>
  <c r="G27" i="5" s="1"/>
  <c r="E11" i="5"/>
  <c r="G11" i="5" s="1"/>
  <c r="E33" i="5"/>
  <c r="G33" i="5" s="1"/>
  <c r="E17" i="5"/>
  <c r="G17" i="5" s="1"/>
  <c r="E9" i="5"/>
  <c r="G9" i="5" s="1"/>
  <c r="E9" i="10"/>
  <c r="G9" i="10" s="1"/>
  <c r="E24" i="10"/>
  <c r="G24" i="10" s="1"/>
  <c r="E36" i="10"/>
  <c r="G36" i="10" s="1"/>
  <c r="E46" i="10"/>
  <c r="G46" i="10" s="1"/>
  <c r="K56" i="10"/>
  <c r="K38" i="2"/>
  <c r="G7" i="4"/>
  <c r="E38" i="5"/>
  <c r="G38" i="5" s="1"/>
  <c r="E59" i="10"/>
  <c r="K36" i="12"/>
  <c r="L7" i="4"/>
  <c r="E58" i="5"/>
  <c r="G58" i="5" s="1"/>
  <c r="E17" i="10"/>
  <c r="G17" i="10" s="1"/>
  <c r="E67" i="10"/>
  <c r="G67" i="10" s="1"/>
  <c r="E40" i="12"/>
  <c r="G40" i="12" s="1"/>
  <c r="E53" i="12"/>
  <c r="G53" i="12" s="1"/>
  <c r="E39" i="12"/>
  <c r="G39" i="12" s="1"/>
  <c r="E18" i="10"/>
  <c r="G18" i="10" s="1"/>
  <c r="E31" i="12"/>
  <c r="G31" i="12" s="1"/>
  <c r="E41" i="12"/>
  <c r="G41" i="12" s="1"/>
  <c r="E54" i="12"/>
  <c r="G54" i="12" s="1"/>
  <c r="G38" i="4"/>
  <c r="E29" i="5"/>
  <c r="G29" i="5" s="1"/>
  <c r="L9" i="10"/>
  <c r="E48" i="10"/>
  <c r="G48" i="10" s="1"/>
  <c r="G28" i="4"/>
  <c r="E11" i="12"/>
  <c r="G11" i="12" s="1"/>
  <c r="E32" i="12"/>
  <c r="G32" i="12" s="1"/>
  <c r="E42" i="12"/>
  <c r="G42" i="12" s="1"/>
  <c r="K41" i="14"/>
  <c r="K53" i="2"/>
  <c r="G49" i="3"/>
  <c r="G23" i="4"/>
  <c r="E20" i="10"/>
  <c r="G20" i="10" s="1"/>
  <c r="L62" i="10"/>
  <c r="E21" i="12"/>
  <c r="G21" i="12" s="1"/>
  <c r="E16" i="14"/>
  <c r="G16" i="14" s="1"/>
  <c r="E22" i="14"/>
  <c r="G22" i="14" s="1"/>
  <c r="E52" i="12"/>
  <c r="G52" i="12" s="1"/>
  <c r="L25" i="10"/>
  <c r="L56" i="3"/>
  <c r="L60" i="10"/>
  <c r="E12" i="5"/>
  <c r="G12" i="5" s="1"/>
  <c r="G14" i="4"/>
  <c r="K66" i="9"/>
  <c r="E28" i="10"/>
  <c r="G28" i="10" s="1"/>
  <c r="E39" i="10"/>
  <c r="G39" i="10" s="1"/>
  <c r="E63" i="10"/>
  <c r="G63" i="10" s="1"/>
  <c r="E44" i="14"/>
  <c r="G44" i="14" s="1"/>
  <c r="E37" i="14"/>
  <c r="G37" i="14" s="1"/>
  <c r="E48" i="14"/>
  <c r="G48" i="14" s="1"/>
  <c r="E9" i="14"/>
  <c r="G9" i="14" s="1"/>
  <c r="E61" i="14"/>
  <c r="G61" i="14" s="1"/>
  <c r="E14" i="14"/>
  <c r="G14" i="14" s="1"/>
  <c r="E32" i="14"/>
  <c r="G32" i="14" s="1"/>
  <c r="E23" i="14"/>
  <c r="G23" i="14" s="1"/>
  <c r="E56" i="14"/>
  <c r="G56" i="14" s="1"/>
  <c r="E62" i="14"/>
  <c r="G62" i="14" s="1"/>
  <c r="E15" i="14"/>
  <c r="G15" i="14" s="1"/>
  <c r="E33" i="14"/>
  <c r="G33" i="14" s="1"/>
  <c r="E24" i="14"/>
  <c r="G24" i="14" s="1"/>
  <c r="E57" i="14"/>
  <c r="G57" i="14" s="1"/>
  <c r="E49" i="14"/>
  <c r="G49" i="14" s="1"/>
  <c r="E10" i="14"/>
  <c r="G10" i="14" s="1"/>
  <c r="E19" i="14"/>
  <c r="G19" i="14" s="1"/>
  <c r="E42" i="14"/>
  <c r="G42" i="14" s="1"/>
  <c r="E64" i="14"/>
  <c r="G64" i="14" s="1"/>
  <c r="K23" i="5"/>
  <c r="G13" i="14"/>
  <c r="L59" i="10"/>
  <c r="G8" i="4"/>
  <c r="L49" i="3"/>
  <c r="L18" i="10"/>
  <c r="L34" i="4"/>
  <c r="G40" i="4"/>
  <c r="E13" i="5"/>
  <c r="G13" i="5" s="1"/>
  <c r="E9" i="6"/>
  <c r="G9" i="6" s="1"/>
  <c r="E34" i="6"/>
  <c r="G34" i="6" s="1"/>
  <c r="E50" i="6"/>
  <c r="E49" i="10"/>
  <c r="G49" i="10" s="1"/>
  <c r="E24" i="11"/>
  <c r="K2" i="10"/>
  <c r="L46" i="10" s="1"/>
  <c r="K39" i="14"/>
  <c r="L44" i="4"/>
  <c r="E52" i="5"/>
  <c r="G52" i="5" s="1"/>
  <c r="E31" i="5"/>
  <c r="G31" i="5" s="1"/>
  <c r="E16" i="6"/>
  <c r="G16" i="6" s="1"/>
  <c r="K67" i="11"/>
  <c r="E34" i="14"/>
  <c r="G34" i="14" s="1"/>
  <c r="E47" i="10"/>
  <c r="G47" i="10" s="1"/>
  <c r="E39" i="5"/>
  <c r="G39" i="5" s="1"/>
  <c r="E60" i="10"/>
  <c r="G60" i="10" s="1"/>
  <c r="E27" i="10"/>
  <c r="G27" i="10" s="1"/>
  <c r="K79" i="10"/>
  <c r="L79" i="10" s="1"/>
  <c r="E40" i="5"/>
  <c r="G40" i="5" s="1"/>
  <c r="E29" i="6"/>
  <c r="G29" i="6" s="1"/>
  <c r="E13" i="6"/>
  <c r="G13" i="6" s="1"/>
  <c r="E19" i="6"/>
  <c r="G19" i="6" s="1"/>
  <c r="E55" i="6"/>
  <c r="G55" i="6" s="1"/>
  <c r="E20" i="6"/>
  <c r="G20" i="6" s="1"/>
  <c r="E56" i="6"/>
  <c r="G56" i="6" s="1"/>
  <c r="E38" i="6"/>
  <c r="G38" i="6" s="1"/>
  <c r="E58" i="6"/>
  <c r="G58" i="6" s="1"/>
  <c r="E21" i="10"/>
  <c r="G21" i="10" s="1"/>
  <c r="L49" i="10"/>
  <c r="E33" i="12"/>
  <c r="G33" i="12" s="1"/>
  <c r="E43" i="12"/>
  <c r="G43" i="12" s="1"/>
  <c r="E18" i="12"/>
  <c r="G18" i="12" s="1"/>
  <c r="E30" i="5"/>
  <c r="G30" i="5" s="1"/>
  <c r="E38" i="10"/>
  <c r="G38" i="10" s="1"/>
  <c r="L50" i="3"/>
  <c r="E24" i="2"/>
  <c r="G24" i="2" s="1"/>
  <c r="E43" i="2"/>
  <c r="G43" i="2" s="1"/>
  <c r="E18" i="2"/>
  <c r="E11" i="2"/>
  <c r="E33" i="2"/>
  <c r="G33" i="2" s="1"/>
  <c r="E34" i="2"/>
  <c r="G34" i="2" s="1"/>
  <c r="E12" i="2"/>
  <c r="G12" i="2" s="1"/>
  <c r="E62" i="2"/>
  <c r="G62" i="2" s="1"/>
  <c r="E61" i="2"/>
  <c r="G61" i="2" s="1"/>
  <c r="E9" i="2"/>
  <c r="G9" i="2" s="1"/>
  <c r="E23" i="2"/>
  <c r="G23" i="2" s="1"/>
  <c r="E65" i="2"/>
  <c r="G65" i="2" s="1"/>
  <c r="E21" i="5"/>
  <c r="G21" i="5" s="1"/>
  <c r="E22" i="12"/>
  <c r="G22" i="12" s="1"/>
  <c r="E10" i="10"/>
  <c r="G10" i="10" s="1"/>
  <c r="E11" i="10"/>
  <c r="G11" i="10" s="1"/>
  <c r="E20" i="5"/>
  <c r="G20" i="5" s="1"/>
  <c r="E55" i="5"/>
  <c r="G55" i="5" s="1"/>
  <c r="E17" i="6"/>
  <c r="G17" i="6" s="1"/>
  <c r="E36" i="6"/>
  <c r="K38" i="7"/>
  <c r="E53" i="9"/>
  <c r="G53" i="9" s="1"/>
  <c r="E16" i="9"/>
  <c r="G16" i="9" s="1"/>
  <c r="E41" i="9"/>
  <c r="G41" i="9" s="1"/>
  <c r="E25" i="9"/>
  <c r="G25" i="9" s="1"/>
  <c r="E10" i="9"/>
  <c r="G10" i="9" s="1"/>
  <c r="E54" i="9"/>
  <c r="G54" i="9" s="1"/>
  <c r="E42" i="9"/>
  <c r="G42" i="9" s="1"/>
  <c r="E27" i="9"/>
  <c r="G27" i="9" s="1"/>
  <c r="E11" i="9"/>
  <c r="G11" i="9" s="1"/>
  <c r="E32" i="9"/>
  <c r="G32" i="9" s="1"/>
  <c r="E33" i="9"/>
  <c r="G33" i="9" s="1"/>
  <c r="E17" i="9"/>
  <c r="G17" i="9" s="1"/>
  <c r="E38" i="9"/>
  <c r="G38" i="9" s="1"/>
  <c r="E58" i="9"/>
  <c r="G58" i="9" s="1"/>
  <c r="E14" i="10"/>
  <c r="G14" i="10" s="1"/>
  <c r="E29" i="10"/>
  <c r="G29" i="10" s="1"/>
  <c r="E40" i="10"/>
  <c r="G40" i="10" s="1"/>
  <c r="E64" i="10"/>
  <c r="G64" i="10" s="1"/>
  <c r="E58" i="12"/>
  <c r="G58" i="12" s="1"/>
  <c r="L67" i="10"/>
  <c r="L39" i="4"/>
  <c r="E45" i="2"/>
  <c r="E58" i="2"/>
  <c r="L20" i="4"/>
  <c r="L25" i="4"/>
  <c r="E14" i="5"/>
  <c r="G14" i="5" s="1"/>
  <c r="E10" i="6"/>
  <c r="G10" i="6" s="1"/>
  <c r="E51" i="6"/>
  <c r="G51" i="6" s="1"/>
  <c r="E9" i="9"/>
  <c r="G9" i="9" s="1"/>
  <c r="E51" i="10"/>
  <c r="G51" i="10" s="1"/>
  <c r="E34" i="11"/>
  <c r="G34" i="11" s="1"/>
  <c r="E18" i="11"/>
  <c r="G18" i="11" s="1"/>
  <c r="E54" i="11"/>
  <c r="G54" i="11" s="1"/>
  <c r="E17" i="11"/>
  <c r="G17" i="11" s="1"/>
  <c r="E42" i="11"/>
  <c r="G42" i="11" s="1"/>
  <c r="E26" i="11"/>
  <c r="G26" i="11" s="1"/>
  <c r="E11" i="11"/>
  <c r="G11" i="11" s="1"/>
  <c r="E19" i="11"/>
  <c r="G19" i="11" s="1"/>
  <c r="E55" i="11"/>
  <c r="G55" i="11" s="1"/>
  <c r="E43" i="11"/>
  <c r="G43" i="11" s="1"/>
  <c r="E28" i="11"/>
  <c r="G28" i="11" s="1"/>
  <c r="E12" i="11"/>
  <c r="G12" i="11" s="1"/>
  <c r="E33" i="11"/>
  <c r="G33" i="11" s="1"/>
  <c r="E11" i="14"/>
  <c r="G11" i="14" s="1"/>
  <c r="E17" i="14"/>
  <c r="G17" i="14" s="1"/>
  <c r="E59" i="14"/>
  <c r="G59" i="14" s="1"/>
  <c r="E19" i="5"/>
  <c r="G19" i="5" s="1"/>
  <c r="E54" i="5"/>
  <c r="G54" i="5" s="1"/>
  <c r="E28" i="6"/>
  <c r="G28" i="6" s="1"/>
  <c r="K47" i="6"/>
  <c r="E51" i="9"/>
  <c r="G51" i="9" s="1"/>
  <c r="E15" i="12"/>
  <c r="G15" i="12" s="1"/>
  <c r="G5" i="13"/>
  <c r="E43" i="14"/>
  <c r="G43" i="14" s="1"/>
  <c r="K47" i="12"/>
  <c r="E15" i="7"/>
  <c r="G15" i="7" s="1"/>
  <c r="E31" i="7"/>
  <c r="G31" i="7" s="1"/>
  <c r="E15" i="13"/>
  <c r="G15" i="13" s="1"/>
  <c r="E47" i="13"/>
  <c r="G47" i="13" s="1"/>
  <c r="E65" i="13"/>
  <c r="G65" i="13" s="1"/>
  <c r="E49" i="7"/>
  <c r="E28" i="13"/>
  <c r="G28" i="13" s="1"/>
  <c r="K23" i="9"/>
  <c r="E14" i="7"/>
  <c r="G14" i="7" s="1"/>
  <c r="E30" i="7"/>
  <c r="G30" i="7" s="1"/>
  <c r="E45" i="7"/>
  <c r="G45" i="7" s="1"/>
  <c r="E14" i="13"/>
  <c r="G14" i="13" s="1"/>
  <c r="E46" i="13"/>
  <c r="G46" i="13" s="1"/>
  <c r="E64" i="13"/>
  <c r="G64" i="13" s="1"/>
  <c r="E39" i="3"/>
  <c r="G39" i="3" s="1"/>
  <c r="E57" i="3"/>
  <c r="G57" i="3" s="1"/>
  <c r="E27" i="13"/>
  <c r="G27" i="13" s="1"/>
  <c r="E21" i="3"/>
  <c r="G21" i="3" s="1"/>
  <c r="E57" i="7"/>
  <c r="G57" i="7" s="1"/>
  <c r="E58" i="13"/>
  <c r="G58" i="13" s="1"/>
  <c r="E21" i="13"/>
  <c r="G21" i="13" s="1"/>
  <c r="L69" i="3" l="1"/>
  <c r="E66" i="5"/>
  <c r="G49" i="5"/>
  <c r="L30" i="3"/>
  <c r="L14" i="3"/>
  <c r="M2" i="3"/>
  <c r="L16" i="3"/>
  <c r="L33" i="3"/>
  <c r="L25" i="3"/>
  <c r="L21" i="3"/>
  <c r="L40" i="3"/>
  <c r="L9" i="3"/>
  <c r="L55" i="3"/>
  <c r="L41" i="3"/>
  <c r="L11" i="3"/>
  <c r="L18" i="3"/>
  <c r="K2" i="12"/>
  <c r="L47" i="12" s="1"/>
  <c r="K70" i="12"/>
  <c r="L70" i="12" s="1"/>
  <c r="K4" i="12"/>
  <c r="M4" i="12" s="1"/>
  <c r="L24" i="12"/>
  <c r="L10" i="3"/>
  <c r="L66" i="9"/>
  <c r="L73" i="2"/>
  <c r="L13" i="3"/>
  <c r="L35" i="5"/>
  <c r="L52" i="3"/>
  <c r="E46" i="4"/>
  <c r="L61" i="10"/>
  <c r="L12" i="10"/>
  <c r="L68" i="10"/>
  <c r="L50" i="10"/>
  <c r="L34" i="10"/>
  <c r="L19" i="10"/>
  <c r="L21" i="10"/>
  <c r="L37" i="10"/>
  <c r="L36" i="10"/>
  <c r="L20" i="10"/>
  <c r="L26" i="10"/>
  <c r="L48" i="10"/>
  <c r="L11" i="10"/>
  <c r="L38" i="10"/>
  <c r="L44" i="10"/>
  <c r="L23" i="10"/>
  <c r="L42" i="10"/>
  <c r="M2" i="10"/>
  <c r="L64" i="10"/>
  <c r="L51" i="10"/>
  <c r="L29" i="10"/>
  <c r="L14" i="10"/>
  <c r="L52" i="10"/>
  <c r="L30" i="10"/>
  <c r="L15" i="10"/>
  <c r="L65" i="10"/>
  <c r="L58" i="3"/>
  <c r="L69" i="7"/>
  <c r="L32" i="10"/>
  <c r="E74" i="13"/>
  <c r="G50" i="12"/>
  <c r="E67" i="12"/>
  <c r="L15" i="3"/>
  <c r="L46" i="3"/>
  <c r="K52" i="14"/>
  <c r="L16" i="10"/>
  <c r="L53" i="3"/>
  <c r="K69" i="5"/>
  <c r="K2" i="5"/>
  <c r="L46" i="5" s="1"/>
  <c r="K4" i="5"/>
  <c r="M4" i="5" s="1"/>
  <c r="K70" i="11"/>
  <c r="L70" i="11" s="1"/>
  <c r="K4" i="11"/>
  <c r="M4" i="11" s="1"/>
  <c r="K2" i="11"/>
  <c r="L67" i="11" s="1"/>
  <c r="E4" i="11"/>
  <c r="E2" i="11"/>
  <c r="E76" i="10"/>
  <c r="E4" i="10" s="1"/>
  <c r="G59" i="10"/>
  <c r="E2" i="5"/>
  <c r="E4" i="5"/>
  <c r="L23" i="3"/>
  <c r="L20" i="3"/>
  <c r="L37" i="3"/>
  <c r="K4" i="2"/>
  <c r="M4" i="2" s="1"/>
  <c r="K76" i="2"/>
  <c r="L76" i="2" s="1"/>
  <c r="L26" i="2"/>
  <c r="K4" i="13"/>
  <c r="M4" i="13" s="1"/>
  <c r="K2" i="13"/>
  <c r="K77" i="13"/>
  <c r="L77" i="13" s="1"/>
  <c r="K4" i="6"/>
  <c r="M4" i="6" s="1"/>
  <c r="K2" i="6"/>
  <c r="L24" i="6"/>
  <c r="K70" i="6"/>
  <c r="L70" i="6" s="1"/>
  <c r="L66" i="10"/>
  <c r="L28" i="10"/>
  <c r="E67" i="11"/>
  <c r="E2" i="12"/>
  <c r="E4" i="12"/>
  <c r="L30" i="4"/>
  <c r="M2" i="4"/>
  <c r="L26" i="4"/>
  <c r="L21" i="4"/>
  <c r="L24" i="4"/>
  <c r="L51" i="3"/>
  <c r="K72" i="14"/>
  <c r="K4" i="14" s="1"/>
  <c r="M4" i="14" s="1"/>
  <c r="L23" i="4"/>
  <c r="E66" i="3"/>
  <c r="L57" i="3"/>
  <c r="G50" i="6"/>
  <c r="E67" i="6"/>
  <c r="E4" i="6" s="1"/>
  <c r="K2" i="8"/>
  <c r="K4" i="8"/>
  <c r="M4" i="8" s="1"/>
  <c r="K69" i="8"/>
  <c r="L69" i="8" s="1"/>
  <c r="L23" i="8"/>
  <c r="L43" i="4"/>
  <c r="L76" i="10"/>
  <c r="L38" i="3"/>
  <c r="E72" i="14"/>
  <c r="L56" i="10"/>
  <c r="L28" i="3"/>
  <c r="L29" i="3"/>
  <c r="L12" i="3"/>
  <c r="E66" i="8"/>
  <c r="E2" i="8" s="1"/>
  <c r="G49" i="8"/>
  <c r="G58" i="2"/>
  <c r="E73" i="2"/>
  <c r="L13" i="10"/>
  <c r="K4" i="7"/>
  <c r="M4" i="7" s="1"/>
  <c r="L32" i="3"/>
  <c r="L24" i="10"/>
  <c r="K69" i="9"/>
  <c r="K4" i="9"/>
  <c r="M4" i="9" s="1"/>
  <c r="K2" i="9"/>
  <c r="E69" i="7"/>
  <c r="E4" i="7" s="1"/>
  <c r="K2" i="7"/>
  <c r="L35" i="3"/>
  <c r="L36" i="6"/>
  <c r="L39" i="3"/>
  <c r="E66" i="9"/>
  <c r="L11" i="4"/>
  <c r="L18" i="4"/>
  <c r="K72" i="7"/>
  <c r="L45" i="4"/>
  <c r="L31" i="13" l="1"/>
  <c r="M2" i="7"/>
  <c r="L57" i="7"/>
  <c r="L12" i="7"/>
  <c r="L34" i="7"/>
  <c r="L53" i="7"/>
  <c r="L35" i="7"/>
  <c r="L11" i="7"/>
  <c r="L17" i="7"/>
  <c r="L16" i="7"/>
  <c r="L58" i="7"/>
  <c r="L23" i="7"/>
  <c r="L42" i="7"/>
  <c r="L54" i="7"/>
  <c r="L21" i="7"/>
  <c r="L41" i="7"/>
  <c r="L55" i="7"/>
  <c r="L13" i="7"/>
  <c r="L30" i="7"/>
  <c r="L24" i="7"/>
  <c r="L31" i="7"/>
  <c r="L26" i="7"/>
  <c r="L20" i="7"/>
  <c r="L28" i="7"/>
  <c r="L15" i="7"/>
  <c r="L10" i="7"/>
  <c r="L36" i="7"/>
  <c r="L22" i="7"/>
  <c r="L60" i="7"/>
  <c r="L56" i="7"/>
  <c r="L14" i="7"/>
  <c r="L44" i="7"/>
  <c r="L49" i="7"/>
  <c r="L43" i="7"/>
  <c r="L9" i="7"/>
  <c r="L59" i="7"/>
  <c r="L52" i="7"/>
  <c r="L19" i="7"/>
  <c r="L33" i="7"/>
  <c r="L45" i="7"/>
  <c r="L61" i="7"/>
  <c r="L40" i="7"/>
  <c r="L32" i="7"/>
  <c r="L18" i="7"/>
  <c r="L36" i="12"/>
  <c r="E4" i="2"/>
  <c r="E2" i="2"/>
  <c r="E4" i="14"/>
  <c r="E2" i="14"/>
  <c r="L34" i="11"/>
  <c r="L18" i="11"/>
  <c r="L54" i="11"/>
  <c r="L38" i="11"/>
  <c r="L20" i="11"/>
  <c r="L28" i="11"/>
  <c r="L21" i="11"/>
  <c r="L43" i="11"/>
  <c r="L31" i="11"/>
  <c r="M2" i="11"/>
  <c r="L32" i="11"/>
  <c r="L22" i="11"/>
  <c r="L56" i="11"/>
  <c r="L12" i="11"/>
  <c r="L40" i="11"/>
  <c r="L52" i="11"/>
  <c r="L51" i="11"/>
  <c r="L16" i="11"/>
  <c r="L55" i="11"/>
  <c r="L11" i="11"/>
  <c r="L58" i="11"/>
  <c r="L26" i="11"/>
  <c r="L50" i="11"/>
  <c r="L41" i="11"/>
  <c r="L9" i="11"/>
  <c r="L29" i="11"/>
  <c r="L33" i="11"/>
  <c r="L57" i="11"/>
  <c r="L53" i="11"/>
  <c r="L17" i="11"/>
  <c r="L47" i="11"/>
  <c r="L39" i="11"/>
  <c r="L42" i="11"/>
  <c r="L13" i="11"/>
  <c r="L10" i="11"/>
  <c r="L15" i="11"/>
  <c r="L30" i="11"/>
  <c r="L19" i="11"/>
  <c r="L14" i="11"/>
  <c r="L59" i="11"/>
  <c r="L36" i="11"/>
  <c r="L52" i="14"/>
  <c r="L19" i="6"/>
  <c r="L58" i="6"/>
  <c r="L50" i="6"/>
  <c r="L9" i="6"/>
  <c r="L57" i="6"/>
  <c r="L13" i="6"/>
  <c r="M2" i="6"/>
  <c r="L53" i="6"/>
  <c r="L30" i="6"/>
  <c r="L39" i="6"/>
  <c r="L29" i="6"/>
  <c r="L51" i="6"/>
  <c r="L10" i="6"/>
  <c r="L17" i="6"/>
  <c r="L38" i="6"/>
  <c r="L52" i="6"/>
  <c r="L34" i="6"/>
  <c r="L56" i="6"/>
  <c r="L67" i="6"/>
  <c r="L31" i="6"/>
  <c r="L28" i="6"/>
  <c r="L11" i="6"/>
  <c r="L55" i="6"/>
  <c r="L21" i="6"/>
  <c r="L54" i="6"/>
  <c r="L40" i="6"/>
  <c r="L15" i="6"/>
  <c r="L16" i="6"/>
  <c r="L43" i="6"/>
  <c r="L18" i="6"/>
  <c r="L32" i="6"/>
  <c r="L20" i="6"/>
  <c r="L26" i="6"/>
  <c r="L14" i="6"/>
  <c r="L12" i="6"/>
  <c r="L59" i="6"/>
  <c r="L22" i="6"/>
  <c r="L42" i="6"/>
  <c r="L41" i="6"/>
  <c r="L33" i="6"/>
  <c r="K2" i="14"/>
  <c r="E2" i="3"/>
  <c r="E4" i="3"/>
  <c r="L32" i="9"/>
  <c r="L16" i="9"/>
  <c r="L41" i="9"/>
  <c r="L25" i="9"/>
  <c r="L10" i="9"/>
  <c r="L54" i="9"/>
  <c r="M2" i="9"/>
  <c r="L55" i="9"/>
  <c r="L12" i="9"/>
  <c r="L19" i="9"/>
  <c r="L53" i="9"/>
  <c r="L29" i="9"/>
  <c r="L38" i="9"/>
  <c r="L28" i="9"/>
  <c r="L39" i="9"/>
  <c r="L21" i="9"/>
  <c r="L20" i="9"/>
  <c r="L35" i="9"/>
  <c r="L49" i="9"/>
  <c r="L52" i="9"/>
  <c r="L58" i="9"/>
  <c r="L17" i="9"/>
  <c r="L9" i="9"/>
  <c r="L51" i="9"/>
  <c r="L40" i="9"/>
  <c r="L14" i="9"/>
  <c r="L11" i="9"/>
  <c r="L46" i="9"/>
  <c r="L18" i="9"/>
  <c r="L57" i="9"/>
  <c r="L42" i="9"/>
  <c r="L13" i="9"/>
  <c r="L15" i="9"/>
  <c r="L50" i="9"/>
  <c r="L56" i="9"/>
  <c r="L37" i="9"/>
  <c r="L27" i="9"/>
  <c r="L31" i="9"/>
  <c r="L33" i="9"/>
  <c r="L30" i="9"/>
  <c r="L2" i="3"/>
  <c r="L72" i="14"/>
  <c r="L55" i="12"/>
  <c r="L12" i="12"/>
  <c r="L13" i="12"/>
  <c r="L29" i="12"/>
  <c r="L19" i="12"/>
  <c r="L33" i="12"/>
  <c r="L42" i="12"/>
  <c r="L32" i="12"/>
  <c r="L9" i="12"/>
  <c r="L17" i="12"/>
  <c r="M2" i="12"/>
  <c r="L58" i="12"/>
  <c r="L50" i="12"/>
  <c r="L22" i="12"/>
  <c r="L59" i="12"/>
  <c r="L51" i="12"/>
  <c r="L56" i="12"/>
  <c r="L43" i="12"/>
  <c r="L14" i="12"/>
  <c r="L54" i="12"/>
  <c r="L21" i="12"/>
  <c r="L38" i="12"/>
  <c r="L40" i="12"/>
  <c r="L34" i="12"/>
  <c r="L52" i="12"/>
  <c r="L28" i="12"/>
  <c r="L15" i="12"/>
  <c r="L39" i="12"/>
  <c r="L11" i="12"/>
  <c r="L31" i="12"/>
  <c r="L57" i="12"/>
  <c r="L18" i="12"/>
  <c r="L16" i="12"/>
  <c r="L67" i="12"/>
  <c r="L2" i="12" s="1"/>
  <c r="L20" i="12"/>
  <c r="L53" i="12"/>
  <c r="L30" i="12"/>
  <c r="L41" i="12"/>
  <c r="L26" i="12"/>
  <c r="L10" i="12"/>
  <c r="L2" i="10"/>
  <c r="K75" i="14"/>
  <c r="L75" i="14" s="1"/>
  <c r="L47" i="6"/>
  <c r="E4" i="8"/>
  <c r="L24" i="11"/>
  <c r="L32" i="5"/>
  <c r="L16" i="5"/>
  <c r="L41" i="5"/>
  <c r="L25" i="5"/>
  <c r="L10" i="5"/>
  <c r="L28" i="5"/>
  <c r="L13" i="5"/>
  <c r="L53" i="5"/>
  <c r="L50" i="5"/>
  <c r="L17" i="5"/>
  <c r="M2" i="5"/>
  <c r="L21" i="5"/>
  <c r="L56" i="5"/>
  <c r="L31" i="5"/>
  <c r="L9" i="5"/>
  <c r="L51" i="5"/>
  <c r="L55" i="5"/>
  <c r="L66" i="5"/>
  <c r="L2" i="5" s="1"/>
  <c r="L15" i="5"/>
  <c r="L11" i="5"/>
  <c r="L54" i="5"/>
  <c r="L14" i="5"/>
  <c r="L58" i="5"/>
  <c r="L29" i="5"/>
  <c r="L42" i="5"/>
  <c r="L20" i="5"/>
  <c r="L49" i="5"/>
  <c r="L18" i="5"/>
  <c r="L40" i="5"/>
  <c r="L27" i="5"/>
  <c r="L38" i="5"/>
  <c r="L30" i="5"/>
  <c r="L39" i="5"/>
  <c r="L19" i="5"/>
  <c r="L33" i="5"/>
  <c r="L12" i="5"/>
  <c r="L57" i="5"/>
  <c r="L37" i="5"/>
  <c r="L52" i="5"/>
  <c r="L23" i="5"/>
  <c r="L38" i="7"/>
  <c r="E2" i="6"/>
  <c r="L69" i="9"/>
  <c r="L23" i="9"/>
  <c r="L69" i="5"/>
  <c r="L56" i="8"/>
  <c r="L38" i="8"/>
  <c r="L30" i="8"/>
  <c r="L14" i="8"/>
  <c r="L50" i="8"/>
  <c r="M2" i="8"/>
  <c r="L27" i="8"/>
  <c r="L9" i="8"/>
  <c r="L55" i="8"/>
  <c r="L54" i="8"/>
  <c r="L15" i="8"/>
  <c r="L33" i="8"/>
  <c r="L46" i="8"/>
  <c r="L51" i="8"/>
  <c r="L66" i="8"/>
  <c r="L57" i="8"/>
  <c r="L18" i="8"/>
  <c r="L32" i="8"/>
  <c r="L28" i="8"/>
  <c r="L25" i="8"/>
  <c r="L19" i="8"/>
  <c r="L29" i="8"/>
  <c r="L11" i="8"/>
  <c r="L52" i="8"/>
  <c r="L16" i="8"/>
  <c r="L49" i="8"/>
  <c r="L13" i="8"/>
  <c r="L35" i="8"/>
  <c r="L37" i="8"/>
  <c r="L20" i="8"/>
  <c r="L31" i="8"/>
  <c r="L12" i="8"/>
  <c r="L41" i="8"/>
  <c r="L21" i="8"/>
  <c r="L53" i="8"/>
  <c r="L42" i="8"/>
  <c r="L40" i="8"/>
  <c r="L39" i="8"/>
  <c r="L10" i="8"/>
  <c r="L17" i="8"/>
  <c r="L58" i="8"/>
  <c r="L61" i="2"/>
  <c r="L23" i="2"/>
  <c r="L33" i="2"/>
  <c r="L11" i="2"/>
  <c r="L44" i="2"/>
  <c r="L57" i="2"/>
  <c r="L43" i="2"/>
  <c r="M2" i="2"/>
  <c r="L60" i="2"/>
  <c r="L65" i="2"/>
  <c r="L9" i="2"/>
  <c r="L46" i="2"/>
  <c r="L12" i="2"/>
  <c r="L56" i="2"/>
  <c r="L15" i="2"/>
  <c r="L62" i="2"/>
  <c r="L21" i="2"/>
  <c r="L22" i="2"/>
  <c r="L48" i="2"/>
  <c r="L41" i="2"/>
  <c r="L45" i="2"/>
  <c r="L14" i="2"/>
  <c r="L59" i="2"/>
  <c r="L10" i="2"/>
  <c r="L32" i="2"/>
  <c r="L58" i="2"/>
  <c r="L49" i="2"/>
  <c r="L34" i="2"/>
  <c r="L30" i="2"/>
  <c r="L31" i="2"/>
  <c r="L19" i="2"/>
  <c r="L64" i="2"/>
  <c r="L16" i="2"/>
  <c r="L47" i="2"/>
  <c r="L20" i="2"/>
  <c r="L24" i="2"/>
  <c r="L35" i="2"/>
  <c r="L63" i="2"/>
  <c r="L28" i="2"/>
  <c r="L40" i="2"/>
  <c r="L36" i="2"/>
  <c r="L13" i="2"/>
  <c r="L18" i="2"/>
  <c r="L17" i="2"/>
  <c r="E2" i="13"/>
  <c r="E4" i="13"/>
  <c r="E2" i="10"/>
  <c r="M2" i="13"/>
  <c r="L65" i="13"/>
  <c r="L47" i="13"/>
  <c r="L15" i="13"/>
  <c r="L38" i="13"/>
  <c r="L21" i="13"/>
  <c r="L58" i="13"/>
  <c r="L27" i="13"/>
  <c r="L28" i="13"/>
  <c r="L60" i="13"/>
  <c r="L59" i="13"/>
  <c r="L25" i="13"/>
  <c r="L16" i="13"/>
  <c r="L17" i="13"/>
  <c r="L35" i="13"/>
  <c r="L66" i="13"/>
  <c r="L43" i="13"/>
  <c r="L41" i="13"/>
  <c r="L50" i="13"/>
  <c r="L40" i="13"/>
  <c r="L12" i="13"/>
  <c r="L22" i="13"/>
  <c r="L13" i="13"/>
  <c r="L57" i="13"/>
  <c r="L37" i="13"/>
  <c r="L20" i="13"/>
  <c r="L24" i="13"/>
  <c r="L39" i="13"/>
  <c r="L26" i="13"/>
  <c r="L45" i="13"/>
  <c r="L46" i="13"/>
  <c r="L63" i="13"/>
  <c r="L9" i="13"/>
  <c r="L14" i="13"/>
  <c r="L62" i="13"/>
  <c r="L61" i="13"/>
  <c r="L36" i="13"/>
  <c r="L23" i="13"/>
  <c r="L49" i="13"/>
  <c r="L54" i="13"/>
  <c r="L48" i="13"/>
  <c r="L11" i="13"/>
  <c r="L19" i="13"/>
  <c r="L64" i="13"/>
  <c r="L18" i="13"/>
  <c r="L74" i="13"/>
  <c r="L33" i="13"/>
  <c r="L10" i="13"/>
  <c r="L72" i="7"/>
  <c r="E4" i="9"/>
  <c r="E2" i="9"/>
  <c r="L38" i="2"/>
  <c r="L53" i="2"/>
  <c r="E2" i="7"/>
  <c r="L2" i="11" l="1"/>
  <c r="L2" i="8"/>
  <c r="L2" i="13"/>
  <c r="L23" i="14"/>
  <c r="L49" i="14"/>
  <c r="M2" i="14"/>
  <c r="L19" i="14"/>
  <c r="L47" i="14"/>
  <c r="L31" i="14"/>
  <c r="L50" i="14"/>
  <c r="L58" i="14"/>
  <c r="L42" i="14"/>
  <c r="L24" i="14"/>
  <c r="L35" i="14"/>
  <c r="L20" i="14"/>
  <c r="L56" i="14"/>
  <c r="L21" i="14"/>
  <c r="L55" i="14"/>
  <c r="L18" i="14"/>
  <c r="L48" i="14"/>
  <c r="L16" i="14"/>
  <c r="L61" i="14"/>
  <c r="L9" i="14"/>
  <c r="L13" i="14"/>
  <c r="L29" i="14"/>
  <c r="L37" i="14"/>
  <c r="L46" i="14"/>
  <c r="L15" i="14"/>
  <c r="L43" i="14"/>
  <c r="L10" i="14"/>
  <c r="L45" i="14"/>
  <c r="L64" i="14"/>
  <c r="L14" i="14"/>
  <c r="L22" i="14"/>
  <c r="L44" i="14"/>
  <c r="L36" i="14"/>
  <c r="L60" i="14"/>
  <c r="L34" i="14"/>
  <c r="L11" i="14"/>
  <c r="L59" i="14"/>
  <c r="L32" i="14"/>
  <c r="L57" i="14"/>
  <c r="L33" i="14"/>
  <c r="L62" i="14"/>
  <c r="L17" i="14"/>
  <c r="L12" i="14"/>
  <c r="L41" i="14"/>
  <c r="L27" i="14"/>
  <c r="L39" i="14"/>
  <c r="L2" i="14" s="1"/>
  <c r="L63" i="14"/>
  <c r="L2" i="9"/>
  <c r="L2" i="7"/>
  <c r="L2" i="6"/>
  <c r="L2" i="2"/>
</calcChain>
</file>

<file path=xl/sharedStrings.xml><?xml version="1.0" encoding="utf-8"?>
<sst xmlns="http://schemas.openxmlformats.org/spreadsheetml/2006/main" count="2193" uniqueCount="254">
  <si>
    <t>Daily P&amp;L</t>
  </si>
  <si>
    <t>Financial Instrument</t>
  </si>
  <si>
    <t>Company Name</t>
  </si>
  <si>
    <t>Trading Currency</t>
  </si>
  <si>
    <t>Exchange</t>
  </si>
  <si>
    <t>Position</t>
  </si>
  <si>
    <t>Market Value</t>
  </si>
  <si>
    <t>Avg Price</t>
  </si>
  <si>
    <t>Last</t>
  </si>
  <si>
    <t>Unrealized P&amp;L</t>
  </si>
  <si>
    <t>Change %</t>
  </si>
  <si>
    <t>ABMD</t>
  </si>
  <si>
    <t>ABIOMED INC</t>
  </si>
  <si>
    <t>USD</t>
  </si>
  <si>
    <t>SMART</t>
  </si>
  <si>
    <t>C303.04</t>
  </si>
  <si>
    <t>NoMD</t>
  </si>
  <si>
    <t>AMD</t>
  </si>
  <si>
    <t>ADVANCED MICRO DEVICES</t>
  </si>
  <si>
    <t>C85.55</t>
  </si>
  <si>
    <t>AMZN</t>
  </si>
  <si>
    <t>AMAZON.COM INC</t>
  </si>
  <si>
    <t>C3401.80</t>
  </si>
  <si>
    <t>BRK B</t>
  </si>
  <si>
    <t>BERKSHIRE HATHAWAY INC-CL B</t>
  </si>
  <si>
    <t>C218.55</t>
  </si>
  <si>
    <t>CLX</t>
  </si>
  <si>
    <t>CLOROX COMPANY</t>
  </si>
  <si>
    <t>C217.13</t>
  </si>
  <si>
    <t>DOCU</t>
  </si>
  <si>
    <t>DOCUSIGN INC</t>
  </si>
  <si>
    <t>C215.24</t>
  </si>
  <si>
    <t>IAU</t>
  </si>
  <si>
    <t>ISHARES GOLD TRUST</t>
  </si>
  <si>
    <t>C18.73</t>
  </si>
  <si>
    <t>JD</t>
  </si>
  <si>
    <t>JD.COM INC-ADR</t>
  </si>
  <si>
    <t>C79.96</t>
  </si>
  <si>
    <t>MRNA</t>
  </si>
  <si>
    <t>MODERNA INC</t>
  </si>
  <si>
    <t>C67.49</t>
  </si>
  <si>
    <t>NVDA</t>
  </si>
  <si>
    <t>NVIDIA CORP</t>
  </si>
  <si>
    <t>C525.91</t>
  </si>
  <si>
    <t>PYPL</t>
  </si>
  <si>
    <t>PAYPAL HOLDINGS INC</t>
  </si>
  <si>
    <t>C204.48</t>
  </si>
  <si>
    <t>REGN</t>
  </si>
  <si>
    <t>REGENERON PHARMACEUTICALS</t>
  </si>
  <si>
    <t>C602.61</t>
  </si>
  <si>
    <t>TSLA</t>
  </si>
  <si>
    <t>TESLA INC</t>
  </si>
  <si>
    <t>C442.68</t>
  </si>
  <si>
    <t>WST</t>
  </si>
  <si>
    <t>WEST PHARMACEUTICAL SERVICES</t>
  </si>
  <si>
    <t>C271.59</t>
  </si>
  <si>
    <t>ZM</t>
  </si>
  <si>
    <t>ZOOM VIDEO COMMUNICATIONS-A</t>
  </si>
  <si>
    <t>C299.27</t>
  </si>
  <si>
    <t>EBAY</t>
  </si>
  <si>
    <t>EBAY INC</t>
  </si>
  <si>
    <t>AAPL</t>
  </si>
  <si>
    <t>APPLE INC</t>
  </si>
  <si>
    <t>3KTB Sep15'20 @KSE</t>
  </si>
  <si>
    <t>3-Year Korea Treasury Bond</t>
  </si>
  <si>
    <t>KRW</t>
  </si>
  <si>
    <t>KSE</t>
  </si>
  <si>
    <t>AH Sep16'20 @LMEOTC</t>
  </si>
  <si>
    <t>High-Grade Primary Aluminium</t>
  </si>
  <si>
    <t>LMEOTC</t>
  </si>
  <si>
    <t>CA Sep16'20 @LMEOTC</t>
  </si>
  <si>
    <t>Grade A Copper - LME</t>
  </si>
  <si>
    <t>CGB Dec18'20 @CDE</t>
  </si>
  <si>
    <t>10 Year Government of Canada Bonds</t>
  </si>
  <si>
    <t>CAD</t>
  </si>
  <si>
    <t>CDE</t>
  </si>
  <si>
    <t>FLKTB Sep15'20 @KSE</t>
  </si>
  <si>
    <t>10-Year Korea Treasury Bond</t>
  </si>
  <si>
    <t>GE Sep14'20 @GLOBEX</t>
  </si>
  <si>
    <t>GLOBEX Euro-Dollar</t>
  </si>
  <si>
    <t>GLOBEX</t>
  </si>
  <si>
    <t>NI Sep16'20 @LMEOTC</t>
  </si>
  <si>
    <t>Nickel - LME</t>
  </si>
  <si>
    <t>PA Dec29'20 @NYMEX</t>
  </si>
  <si>
    <t>NYMEX Palladium Index</t>
  </si>
  <si>
    <t>NYMEX</t>
  </si>
  <si>
    <t>PB Sep16'20 @LMEOTC</t>
  </si>
  <si>
    <t>Lead - LME</t>
  </si>
  <si>
    <t>C1963.50</t>
  </si>
  <si>
    <t>PL Oct28'20 @NYMEX</t>
  </si>
  <si>
    <t>NYMEX Platinum Index</t>
  </si>
  <si>
    <t>SCI Sep30'20 @SGX</t>
  </si>
  <si>
    <t>SGX TSI Iron Ore Futures</t>
  </si>
  <si>
    <t>SGX</t>
  </si>
  <si>
    <t>SI Oct28'20 @NYMEX</t>
  </si>
  <si>
    <t>NYMEX Silver Index</t>
  </si>
  <si>
    <t>SNLME Sep16'20 @LMEOTC</t>
  </si>
  <si>
    <t>Tin future</t>
  </si>
  <si>
    <t>C17825.00</t>
  </si>
  <si>
    <t>SOFR1 Sep30'20 @GLOBEX</t>
  </si>
  <si>
    <t>Secured Overnight Financing Rate 1-month average of rates</t>
  </si>
  <si>
    <t>C99.9300</t>
  </si>
  <si>
    <t>SOFR3 Jun'20 @GLOBEX</t>
  </si>
  <si>
    <t>Secured Overnight Financing Rate 3-month average of rates</t>
  </si>
  <si>
    <t>C99.9125</t>
  </si>
  <si>
    <t>TN Dec21'20 @ECBOT</t>
  </si>
  <si>
    <t>Ultra 10-Year US Treasury Note</t>
  </si>
  <si>
    <t>ECBOT</t>
  </si>
  <si>
    <t>158'295</t>
  </si>
  <si>
    <t>UB Dec21'20 @ECBOT</t>
  </si>
  <si>
    <t>Ultra Treasury Bond</t>
  </si>
  <si>
    <t>218'090</t>
  </si>
  <si>
    <t>ZB Dec21'20 @ECBOT</t>
  </si>
  <si>
    <t>30 Year US Treasury Bond</t>
  </si>
  <si>
    <t>174'240</t>
  </si>
  <si>
    <t>ZF Dec31'20 @ECBOT</t>
  </si>
  <si>
    <t>5 Year US Treasury Note</t>
  </si>
  <si>
    <t>125'305</t>
  </si>
  <si>
    <t>ZN Dec21'20 @ECBOT</t>
  </si>
  <si>
    <t>10 Year US Treasury Note</t>
  </si>
  <si>
    <t>139'020</t>
  </si>
  <si>
    <t>ZQ Sep30'20 @ECBOT</t>
  </si>
  <si>
    <t>30 Day Fed Funds</t>
  </si>
  <si>
    <t>ZSLME Sep16'20 @LMEOTC</t>
  </si>
  <si>
    <t>Special High Grade Zinc</t>
  </si>
  <si>
    <t>C2468.00</t>
  </si>
  <si>
    <t>ZT Dec31'20 @ECBOT</t>
  </si>
  <si>
    <t>2 Year US Treasury Note</t>
  </si>
  <si>
    <t>110'148</t>
  </si>
  <si>
    <t>BTS Dec08'20 @DTB</t>
  </si>
  <si>
    <t>Short-Term Euro-BTP Italian Government Bond</t>
  </si>
  <si>
    <t>L Sep16'20 @ICEEU</t>
  </si>
  <si>
    <t>3 Month Sterling Interest Rate FUT</t>
  </si>
  <si>
    <t>IB Sep30'20 @SNFE</t>
  </si>
  <si>
    <t>30 Day Interbank Cash Rate</t>
  </si>
  <si>
    <t>IR Dec10'20 @SNFE</t>
  </si>
  <si>
    <t>90 Day Bills</t>
  </si>
  <si>
    <t>Date</t>
  </si>
  <si>
    <t>Total target value allocation</t>
  </si>
  <si>
    <t>Total Current value Allocation</t>
  </si>
  <si>
    <t>Total Percentage</t>
  </si>
  <si>
    <t>Current Leverage</t>
  </si>
  <si>
    <t>Leverage Multiplier</t>
  </si>
  <si>
    <t>Current NAV</t>
  </si>
  <si>
    <t>Total target value allocation exclude bonds</t>
  </si>
  <si>
    <t>Leverage exclude bonds</t>
  </si>
  <si>
    <t>Subscription</t>
  </si>
  <si>
    <t>Redemption</t>
  </si>
  <si>
    <t>Final NAV</t>
  </si>
  <si>
    <t>Category</t>
  </si>
  <si>
    <t>IB Ticker</t>
  </si>
  <si>
    <t>Target Allocation (%)</t>
  </si>
  <si>
    <t>Target Value Allocation (USD)</t>
  </si>
  <si>
    <t>Last price</t>
  </si>
  <si>
    <t>Target Quantity</t>
  </si>
  <si>
    <t>Previous Quantity</t>
  </si>
  <si>
    <t>Current Quantity</t>
  </si>
  <si>
    <t>Change</t>
  </si>
  <si>
    <t>Current Value Allocation</t>
  </si>
  <si>
    <t>Current Allocation Percentage</t>
  </si>
  <si>
    <t>Comments</t>
  </si>
  <si>
    <t>Equity</t>
  </si>
  <si>
    <t>SGEN</t>
  </si>
  <si>
    <t>SEATTLE GENETICS INC</t>
  </si>
  <si>
    <t>DXCM</t>
  </si>
  <si>
    <t>DEXCOM INC</t>
  </si>
  <si>
    <t>NTES</t>
  </si>
  <si>
    <t>NETEASE INC-ADR</t>
  </si>
  <si>
    <t>NEM</t>
  </si>
  <si>
    <t>NEWMONT GOLDCORP CORP</t>
  </si>
  <si>
    <t>ADVANCED MICRO DEVICES INC</t>
  </si>
  <si>
    <t>Amended</t>
  </si>
  <si>
    <t>002791 SEHKSZSE</t>
  </si>
  <si>
    <t>GUANGDONG KINLONG HARDWARE-A</t>
  </si>
  <si>
    <t>ZOOM VIDEO COMMUNICATIONS INC</t>
  </si>
  <si>
    <t>MELI</t>
  </si>
  <si>
    <t>MERCADOLIBRE INC</t>
  </si>
  <si>
    <t>Equity Total</t>
  </si>
  <si>
    <t>US Bond</t>
  </si>
  <si>
    <t>TN Sep21'20 @ECBOT</t>
  </si>
  <si>
    <t>UB Sep21'20 @ECBOT</t>
  </si>
  <si>
    <t>ZB Sep21'20 @ECBOT</t>
  </si>
  <si>
    <t>ZF Sep30'20 @ECBOT</t>
  </si>
  <si>
    <t>ZN Sep21'20 @ECBOT</t>
  </si>
  <si>
    <t>ZQ Aug31'20 @ECBOT</t>
  </si>
  <si>
    <t>ZT Sep30'20 @ECBOT</t>
  </si>
  <si>
    <t>US Bond Total</t>
  </si>
  <si>
    <t>Global Bond</t>
  </si>
  <si>
    <t>CGB Sep21'20 @CDE</t>
  </si>
  <si>
    <t>GE Aug17'20 @GLOBEX</t>
  </si>
  <si>
    <t>IB Aug31'20 @SNFE</t>
  </si>
  <si>
    <t>IR Sep10'20 @SNFE</t>
  </si>
  <si>
    <t>L Aug19'20 @ICEEU</t>
  </si>
  <si>
    <t>SOFR1 Aug31'20 @GLOBEX</t>
  </si>
  <si>
    <t>Global Bond Total</t>
  </si>
  <si>
    <t>Commodity</t>
  </si>
  <si>
    <t>AH Aug19'20 @LMEOTC</t>
  </si>
  <si>
    <t>CA Aug19'20 @LMEOTC</t>
  </si>
  <si>
    <t xml:space="preserve"> </t>
  </si>
  <si>
    <t>NI Aug19'20 @LMEOTC</t>
  </si>
  <si>
    <t>PA Sep28'20 @NYMEX</t>
  </si>
  <si>
    <t>PB Aug19'20 @LMEOTC</t>
  </si>
  <si>
    <t>SCI Aug31'20 @SGX</t>
  </si>
  <si>
    <t>SNLME Aug19'20 @LMEOTC</t>
  </si>
  <si>
    <t>ZSLME Aug19'20 @LMEOTC</t>
  </si>
  <si>
    <t>SI Sep28'20 @NYMEX</t>
  </si>
  <si>
    <t>Commodity Total</t>
  </si>
  <si>
    <t>Total</t>
  </si>
  <si>
    <t>Allocation</t>
  </si>
  <si>
    <t>Count</t>
  </si>
  <si>
    <t>Total NAV</t>
  </si>
  <si>
    <t>Bonds</t>
  </si>
  <si>
    <t>Others</t>
  </si>
  <si>
    <t>Equity Target</t>
  </si>
  <si>
    <t>Total Instruments</t>
  </si>
  <si>
    <t>SI Aug27'20 @NYMEX</t>
  </si>
  <si>
    <t>Non US Bond Target</t>
  </si>
  <si>
    <t>US Bond Target</t>
  </si>
  <si>
    <t>SCI Jul30'20 @SGX</t>
  </si>
  <si>
    <t>ASML</t>
  </si>
  <si>
    <t>ASML HOLDING NV-NY REG SHS</t>
  </si>
  <si>
    <t>LRCX</t>
  </si>
  <si>
    <t>Lam Research Corp</t>
  </si>
  <si>
    <t>EM Aug17'20 @GLOBEX</t>
  </si>
  <si>
    <t>1 Month LIBOR (Int. Rate)</t>
  </si>
  <si>
    <t>IB Jul31'20 @SNFE</t>
  </si>
  <si>
    <t>I Aug17'20 @ICEEU</t>
  </si>
  <si>
    <t>3 Month EURIBOR Interest Rate</t>
  </si>
  <si>
    <t>ZQ Jul31'20 @ECBOT</t>
  </si>
  <si>
    <t>Others Total</t>
  </si>
  <si>
    <t>002683 SEHKSZSE</t>
  </si>
  <si>
    <t>GUANGDONG HONGDA BLASTING</t>
  </si>
  <si>
    <t>GPS</t>
  </si>
  <si>
    <t>GAP INC/THE</t>
  </si>
  <si>
    <t>UPS</t>
  </si>
  <si>
    <t>UNITED PARCEL SERVICE-CL B</t>
  </si>
  <si>
    <t>KR</t>
  </si>
  <si>
    <t>KROGER CO</t>
  </si>
  <si>
    <t>CZR</t>
  </si>
  <si>
    <t>CAESARS ENTERTAINMENT INC</t>
  </si>
  <si>
    <t>SAM</t>
  </si>
  <si>
    <t>BOSTON BEER COMPANY INC-A</t>
  </si>
  <si>
    <t>QDEL</t>
  </si>
  <si>
    <t>QUIDEL CORP</t>
  </si>
  <si>
    <t>ETSY</t>
  </si>
  <si>
    <t>ETSY INC</t>
  </si>
  <si>
    <t>EBS</t>
  </si>
  <si>
    <t>EMERGENT BIOSOLUTIONS INC</t>
  </si>
  <si>
    <t>BJ</t>
  </si>
  <si>
    <t>BJ'S WHOLESALE CLUB HOLDINGS</t>
  </si>
  <si>
    <t>Column1</t>
  </si>
  <si>
    <t>Column2</t>
  </si>
  <si>
    <t>Turnover rate</t>
  </si>
  <si>
    <t>Starting NAV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</si>
</sst>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mm/dd/yyyy"/>
    <numFmt numFmtId="165" formatCode="\$#,##0.00"/>
    <numFmt numFmtId="166" formatCode="0.000%"/>
    <numFmt numFmtId="167" formatCode="&quot; $&quot;* #,##0.00\ ;&quot; $&quot;* \(#,##0.00\);&quot; $&quot;* \-#\ ;@\ "/>
    <numFmt numFmtId="168" formatCode="0.0000%"/>
    <numFmt numFmtId="169" formatCode="\+0;\-0;0"/>
  </numFmts>
  <fonts count="6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E7E6E6"/>
      </patternFill>
    </fill>
    <fill>
      <patternFill patternType="solid">
        <fgColor rgb="FF1F4E79"/>
        <bgColor rgb="FF003366"/>
      </patternFill>
    </fill>
    <fill>
      <patternFill patternType="solid">
        <fgColor rgb="FFE7E6E6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7" fontId="5" fillId="0" borderId="0" applyBorder="0" applyProtection="0"/>
    <xf numFmtId="9" fontId="5" fillId="0" borderId="0" applyBorder="0" applyProtection="0"/>
  </cellStyleXfs>
  <cellXfs count="223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1" xfId="0" applyFont="1" applyBorder="1" applyAlignment="1"/>
    <xf numFmtId="164" fontId="2" fillId="0" borderId="1" xfId="0" applyNumberFormat="1" applyFont="1" applyBorder="1" applyAlignment="1">
      <alignment horizontal="right"/>
    </xf>
    <xf numFmtId="164" fontId="2" fillId="0" borderId="0" xfId="0" applyNumberFormat="1" applyFont="1" applyBorder="1" applyAlignment="1"/>
    <xf numFmtId="9" fontId="2" fillId="0" borderId="1" xfId="2" applyFont="1" applyBorder="1" applyAlignment="1" applyProtection="1">
      <alignment wrapText="1"/>
    </xf>
    <xf numFmtId="9" fontId="1" fillId="0" borderId="0" xfId="2" applyFont="1" applyBorder="1" applyAlignment="1" applyProtection="1"/>
    <xf numFmtId="0" fontId="1" fillId="0" borderId="0" xfId="2" applyNumberFormat="1" applyFont="1" applyBorder="1" applyAlignment="1" applyProtection="1"/>
    <xf numFmtId="165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/>
    <xf numFmtId="0" fontId="2" fillId="0" borderId="0" xfId="0" applyFont="1" applyBorder="1"/>
    <xf numFmtId="165" fontId="2" fillId="2" borderId="1" xfId="0" applyNumberFormat="1" applyFont="1" applyFill="1" applyBorder="1"/>
    <xf numFmtId="165" fontId="2" fillId="0" borderId="0" xfId="0" applyNumberFormat="1" applyFont="1"/>
    <xf numFmtId="0" fontId="2" fillId="0" borderId="0" xfId="0" applyFont="1"/>
    <xf numFmtId="10" fontId="2" fillId="2" borderId="1" xfId="0" applyNumberFormat="1" applyFont="1" applyFill="1" applyBorder="1"/>
    <xf numFmtId="0" fontId="2" fillId="2" borderId="1" xfId="0" applyFont="1" applyFill="1" applyBorder="1"/>
    <xf numFmtId="166" fontId="1" fillId="0" borderId="0" xfId="0" applyNumberFormat="1" applyFont="1"/>
    <xf numFmtId="165" fontId="2" fillId="0" borderId="1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9" fontId="1" fillId="0" borderId="0" xfId="0" applyNumberFormat="1" applyFont="1"/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/>
    <xf numFmtId="0" fontId="2" fillId="3" borderId="0" xfId="0" applyFont="1" applyFill="1" applyBorder="1"/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8" fontId="3" fillId="0" borderId="0" xfId="0" applyNumberFormat="1" applyFont="1" applyAlignment="1">
      <alignment vertical="center" wrapText="1"/>
    </xf>
    <xf numFmtId="0" fontId="3" fillId="0" borderId="0" xfId="0" applyFont="1"/>
    <xf numFmtId="0" fontId="1" fillId="3" borderId="1" xfId="0" applyFont="1" applyFill="1" applyBorder="1" applyAlignment="1">
      <alignment vertical="center" wrapText="1"/>
    </xf>
    <xf numFmtId="168" fontId="1" fillId="3" borderId="1" xfId="2" applyNumberFormat="1" applyFont="1" applyFill="1" applyBorder="1" applyAlignment="1" applyProtection="1">
      <alignment vertical="center" wrapText="1"/>
    </xf>
    <xf numFmtId="165" fontId="1" fillId="3" borderId="1" xfId="0" applyNumberFormat="1" applyFont="1" applyFill="1" applyBorder="1" applyAlignment="1">
      <alignment vertical="center" wrapText="1"/>
    </xf>
    <xf numFmtId="2" fontId="1" fillId="3" borderId="1" xfId="0" applyNumberFormat="1" applyFont="1" applyFill="1" applyBorder="1" applyAlignment="1">
      <alignment vertical="center" wrapText="1"/>
    </xf>
    <xf numFmtId="169" fontId="2" fillId="3" borderId="1" xfId="0" applyNumberFormat="1" applyFont="1" applyFill="1" applyBorder="1" applyAlignment="1">
      <alignment vertical="center" wrapText="1"/>
    </xf>
    <xf numFmtId="165" fontId="2" fillId="3" borderId="1" xfId="0" applyNumberFormat="1" applyFont="1" applyFill="1" applyBorder="1" applyAlignment="1">
      <alignment vertical="center" wrapText="1"/>
    </xf>
    <xf numFmtId="168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49" fontId="1" fillId="3" borderId="1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169" fontId="1" fillId="3" borderId="1" xfId="0" applyNumberFormat="1" applyFont="1" applyFill="1" applyBorder="1" applyAlignment="1">
      <alignment vertical="center" wrapText="1"/>
    </xf>
    <xf numFmtId="168" fontId="1" fillId="3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0" fontId="2" fillId="5" borderId="1" xfId="0" applyNumberFormat="1" applyFont="1" applyFill="1" applyBorder="1" applyAlignment="1">
      <alignment vertical="center" wrapText="1"/>
    </xf>
    <xf numFmtId="165" fontId="2" fillId="5" borderId="1" xfId="2" applyNumberFormat="1" applyFont="1" applyFill="1" applyBorder="1" applyAlignment="1" applyProtection="1">
      <alignment vertical="center" wrapText="1"/>
    </xf>
    <xf numFmtId="165" fontId="2" fillId="5" borderId="1" xfId="0" applyNumberFormat="1" applyFont="1" applyFill="1" applyBorder="1" applyAlignment="1">
      <alignment vertical="center" wrapText="1"/>
    </xf>
    <xf numFmtId="2" fontId="2" fillId="5" borderId="1" xfId="2" applyNumberFormat="1" applyFont="1" applyFill="1" applyBorder="1" applyAlignment="1" applyProtection="1">
      <alignment vertical="center" wrapText="1"/>
    </xf>
    <xf numFmtId="169" fontId="2" fillId="5" borderId="1" xfId="2" applyNumberFormat="1" applyFont="1" applyFill="1" applyBorder="1" applyAlignment="1" applyProtection="1">
      <alignment vertical="center" wrapText="1"/>
    </xf>
    <xf numFmtId="168" fontId="2" fillId="5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168" fontId="1" fillId="5" borderId="1" xfId="2" applyNumberFormat="1" applyFont="1" applyFill="1" applyBorder="1" applyAlignment="1" applyProtection="1">
      <alignment vertical="center" wrapText="1"/>
    </xf>
    <xf numFmtId="165" fontId="1" fillId="5" borderId="1" xfId="0" applyNumberFormat="1" applyFont="1" applyFill="1" applyBorder="1" applyAlignment="1">
      <alignment vertical="center" wrapText="1"/>
    </xf>
    <xf numFmtId="2" fontId="1" fillId="5" borderId="1" xfId="0" applyNumberFormat="1" applyFont="1" applyFill="1" applyBorder="1" applyAlignment="1">
      <alignment vertical="center" wrapText="1"/>
    </xf>
    <xf numFmtId="169" fontId="2" fillId="5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wrapText="1"/>
    </xf>
    <xf numFmtId="0" fontId="1" fillId="3" borderId="1" xfId="0" applyFont="1" applyFill="1" applyBorder="1"/>
    <xf numFmtId="165" fontId="1" fillId="3" borderId="1" xfId="0" applyNumberFormat="1" applyFont="1" applyFill="1" applyBorder="1" applyAlignment="1">
      <alignment wrapText="1"/>
    </xf>
    <xf numFmtId="0" fontId="1" fillId="0" borderId="0" xfId="0" applyFont="1" applyBorder="1"/>
    <xf numFmtId="0" fontId="2" fillId="5" borderId="1" xfId="0" applyFont="1" applyFill="1" applyBorder="1" applyAlignment="1">
      <alignment wrapText="1"/>
    </xf>
    <xf numFmtId="165" fontId="2" fillId="5" borderId="1" xfId="2" applyNumberFormat="1" applyFont="1" applyFill="1" applyBorder="1" applyAlignment="1" applyProtection="1">
      <alignment wrapText="1"/>
    </xf>
    <xf numFmtId="2" fontId="2" fillId="5" borderId="1" xfId="0" applyNumberFormat="1" applyFont="1" applyFill="1" applyBorder="1" applyAlignment="1">
      <alignment wrapText="1"/>
    </xf>
    <xf numFmtId="168" fontId="2" fillId="5" borderId="1" xfId="0" applyNumberFormat="1" applyFont="1" applyFill="1" applyBorder="1"/>
    <xf numFmtId="0" fontId="2" fillId="5" borderId="1" xfId="0" applyFont="1" applyFill="1" applyBorder="1"/>
    <xf numFmtId="2" fontId="2" fillId="5" borderId="1" xfId="0" applyNumberFormat="1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10" fontId="2" fillId="5" borderId="1" xfId="2" applyNumberFormat="1" applyFont="1" applyFill="1" applyBorder="1" applyAlignment="1" applyProtection="1">
      <alignment vertical="center" wrapText="1"/>
    </xf>
    <xf numFmtId="9" fontId="1" fillId="3" borderId="1" xfId="2" applyFont="1" applyFill="1" applyBorder="1" applyAlignment="1" applyProtection="1">
      <alignment vertical="center" wrapText="1"/>
    </xf>
    <xf numFmtId="9" fontId="1" fillId="3" borderId="1" xfId="2" applyFont="1" applyFill="1" applyBorder="1" applyAlignment="1" applyProtection="1">
      <alignment wrapText="1"/>
    </xf>
    <xf numFmtId="165" fontId="2" fillId="5" borderId="1" xfId="0" applyNumberFormat="1" applyFont="1" applyFill="1" applyBorder="1" applyAlignment="1">
      <alignment wrapText="1"/>
    </xf>
    <xf numFmtId="9" fontId="1" fillId="3" borderId="1" xfId="2" applyFont="1" applyFill="1" applyBorder="1" applyAlignment="1" applyProtection="1"/>
    <xf numFmtId="165" fontId="1" fillId="3" borderId="1" xfId="0" applyNumberFormat="1" applyFont="1" applyFill="1" applyBorder="1"/>
    <xf numFmtId="2" fontId="1" fillId="3" borderId="1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Border="1"/>
    <xf numFmtId="0" fontId="4" fillId="0" borderId="2" xfId="0" applyFont="1" applyBorder="1"/>
    <xf numFmtId="0" fontId="1" fillId="0" borderId="2" xfId="0" applyFont="1" applyBorder="1"/>
    <xf numFmtId="169" fontId="0" fillId="0" borderId="0" xfId="0" applyNumberFormat="1"/>
    <xf numFmtId="4" fontId="2" fillId="3" borderId="0" xfId="0" applyNumberFormat="1" applyFont="1" applyFill="1" applyBorder="1" applyAlignment="1">
      <alignment horizontal="left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68" fontId="1" fillId="0" borderId="0" xfId="0" applyNumberFormat="1" applyFont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169" fontId="2" fillId="5" borderId="1" xfId="0" applyNumberFormat="1" applyFont="1" applyFill="1" applyBorder="1" applyAlignment="1">
      <alignment wrapText="1"/>
    </xf>
    <xf numFmtId="165" fontId="2" fillId="5" borderId="7" xfId="0" applyNumberFormat="1" applyFont="1" applyFill="1" applyBorder="1" applyAlignment="1">
      <alignment wrapText="1"/>
    </xf>
    <xf numFmtId="168" fontId="2" fillId="5" borderId="7" xfId="0" applyNumberFormat="1" applyFont="1" applyFill="1" applyBorder="1" applyAlignment="1">
      <alignment vertical="center" wrapText="1"/>
    </xf>
    <xf numFmtId="0" fontId="2" fillId="5" borderId="7" xfId="0" applyFont="1" applyFill="1" applyBorder="1" applyAlignment="1">
      <alignment wrapText="1"/>
    </xf>
    <xf numFmtId="165" fontId="2" fillId="3" borderId="7" xfId="0" applyNumberFormat="1" applyFont="1" applyFill="1" applyBorder="1" applyAlignment="1">
      <alignment vertical="center" wrapText="1"/>
    </xf>
    <xf numFmtId="168" fontId="2" fillId="3" borderId="7" xfId="0" applyNumberFormat="1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wrapText="1"/>
    </xf>
    <xf numFmtId="10" fontId="1" fillId="3" borderId="1" xfId="2" applyNumberFormat="1" applyFont="1" applyFill="1" applyBorder="1" applyAlignment="1" applyProtection="1">
      <alignment vertical="center" wrapText="1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168" fontId="1" fillId="3" borderId="9" xfId="2" applyNumberFormat="1" applyFont="1" applyFill="1" applyBorder="1" applyAlignment="1" applyProtection="1">
      <alignment vertical="center" wrapText="1"/>
    </xf>
    <xf numFmtId="165" fontId="1" fillId="3" borderId="9" xfId="0" applyNumberFormat="1" applyFont="1" applyFill="1" applyBorder="1" applyAlignment="1">
      <alignment vertical="center" wrapText="1"/>
    </xf>
    <xf numFmtId="2" fontId="2" fillId="3" borderId="9" xfId="0" applyNumberFormat="1" applyFont="1" applyFill="1" applyBorder="1" applyAlignment="1">
      <alignment vertical="center" wrapText="1"/>
    </xf>
    <xf numFmtId="169" fontId="2" fillId="3" borderId="9" xfId="0" applyNumberFormat="1" applyFont="1" applyFill="1" applyBorder="1" applyAlignment="1">
      <alignment vertical="center" wrapText="1"/>
    </xf>
    <xf numFmtId="168" fontId="2" fillId="3" borderId="10" xfId="0" applyNumberFormat="1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2" fontId="1" fillId="3" borderId="9" xfId="0" applyNumberFormat="1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168" fontId="1" fillId="3" borderId="0" xfId="2" applyNumberFormat="1" applyFont="1" applyFill="1" applyBorder="1" applyAlignment="1" applyProtection="1">
      <alignment vertical="center" wrapText="1"/>
    </xf>
    <xf numFmtId="165" fontId="1" fillId="3" borderId="0" xfId="0" applyNumberFormat="1" applyFont="1" applyFill="1" applyBorder="1" applyAlignment="1">
      <alignment vertical="center" wrapText="1"/>
    </xf>
    <xf numFmtId="2" fontId="1" fillId="3" borderId="0" xfId="0" applyNumberFormat="1" applyFont="1" applyFill="1" applyBorder="1" applyAlignment="1">
      <alignment vertical="center" wrapText="1"/>
    </xf>
    <xf numFmtId="169" fontId="2" fillId="3" borderId="0" xfId="0" applyNumberFormat="1" applyFont="1" applyFill="1" applyBorder="1" applyAlignment="1">
      <alignment vertical="center" wrapText="1"/>
    </xf>
    <xf numFmtId="165" fontId="2" fillId="3" borderId="0" xfId="0" applyNumberFormat="1" applyFont="1" applyFill="1" applyBorder="1" applyAlignment="1">
      <alignment vertical="center" wrapText="1"/>
    </xf>
    <xf numFmtId="168" fontId="2" fillId="3" borderId="0" xfId="0" applyNumberFormat="1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 wrapText="1"/>
    </xf>
    <xf numFmtId="168" fontId="1" fillId="3" borderId="13" xfId="2" applyNumberFormat="1" applyFont="1" applyFill="1" applyBorder="1" applyAlignment="1" applyProtection="1">
      <alignment vertical="center" wrapText="1"/>
    </xf>
    <xf numFmtId="165" fontId="1" fillId="3" borderId="13" xfId="0" applyNumberFormat="1" applyFont="1" applyFill="1" applyBorder="1" applyAlignment="1">
      <alignment vertical="center" wrapText="1"/>
    </xf>
    <xf numFmtId="2" fontId="1" fillId="3" borderId="13" xfId="0" applyNumberFormat="1" applyFont="1" applyFill="1" applyBorder="1" applyAlignment="1">
      <alignment vertical="center" wrapText="1"/>
    </xf>
    <xf numFmtId="169" fontId="2" fillId="3" borderId="13" xfId="0" applyNumberFormat="1" applyFont="1" applyFill="1" applyBorder="1" applyAlignment="1">
      <alignment vertical="center" wrapText="1"/>
    </xf>
    <xf numFmtId="165" fontId="2" fillId="3" borderId="13" xfId="0" applyNumberFormat="1" applyFont="1" applyFill="1" applyBorder="1" applyAlignment="1">
      <alignment vertical="center" wrapText="1"/>
    </xf>
    <xf numFmtId="168" fontId="2" fillId="3" borderId="14" xfId="0" applyNumberFormat="1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5" borderId="12" xfId="0" applyFont="1" applyFill="1" applyBorder="1" applyAlignment="1">
      <alignment vertical="center" wrapText="1"/>
    </xf>
    <xf numFmtId="168" fontId="1" fillId="3" borderId="12" xfId="2" applyNumberFormat="1" applyFont="1" applyFill="1" applyBorder="1" applyAlignment="1" applyProtection="1">
      <alignment vertical="center" wrapText="1"/>
    </xf>
    <xf numFmtId="165" fontId="1" fillId="3" borderId="12" xfId="0" applyNumberFormat="1" applyFont="1" applyFill="1" applyBorder="1" applyAlignment="1">
      <alignment vertical="center" wrapText="1"/>
    </xf>
    <xf numFmtId="2" fontId="1" fillId="3" borderId="12" xfId="0" applyNumberFormat="1" applyFont="1" applyFill="1" applyBorder="1" applyAlignment="1">
      <alignment vertical="center" wrapText="1"/>
    </xf>
    <xf numFmtId="169" fontId="2" fillId="3" borderId="12" xfId="0" applyNumberFormat="1" applyFont="1" applyFill="1" applyBorder="1" applyAlignment="1">
      <alignment vertical="center" wrapText="1"/>
    </xf>
    <xf numFmtId="165" fontId="2" fillId="3" borderId="12" xfId="0" applyNumberFormat="1" applyFont="1" applyFill="1" applyBorder="1" applyAlignment="1">
      <alignment vertical="center" wrapText="1"/>
    </xf>
    <xf numFmtId="168" fontId="2" fillId="3" borderId="12" xfId="0" applyNumberFormat="1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165" fontId="1" fillId="3" borderId="4" xfId="0" applyNumberFormat="1" applyFont="1" applyFill="1" applyBorder="1" applyAlignment="1">
      <alignment vertical="center" wrapText="1"/>
    </xf>
    <xf numFmtId="168" fontId="1" fillId="3" borderId="1" xfId="2" applyNumberFormat="1" applyFont="1" applyFill="1" applyBorder="1" applyAlignment="1" applyProtection="1">
      <alignment wrapText="1"/>
    </xf>
    <xf numFmtId="0" fontId="1" fillId="3" borderId="8" xfId="0" applyFont="1" applyFill="1" applyBorder="1" applyAlignment="1">
      <alignment wrapText="1"/>
    </xf>
    <xf numFmtId="0" fontId="1" fillId="3" borderId="9" xfId="0" applyFont="1" applyFill="1" applyBorder="1" applyAlignment="1">
      <alignment wrapText="1"/>
    </xf>
    <xf numFmtId="168" fontId="1" fillId="3" borderId="9" xfId="2" applyNumberFormat="1" applyFont="1" applyFill="1" applyBorder="1" applyAlignment="1" applyProtection="1">
      <alignment wrapText="1"/>
    </xf>
    <xf numFmtId="2" fontId="1" fillId="3" borderId="9" xfId="0" applyNumberFormat="1" applyFont="1" applyFill="1" applyBorder="1" applyAlignment="1">
      <alignment wrapText="1"/>
    </xf>
    <xf numFmtId="0" fontId="1" fillId="3" borderId="10" xfId="0" applyFont="1" applyFill="1" applyBorder="1"/>
    <xf numFmtId="0" fontId="1" fillId="3" borderId="12" xfId="0" applyFont="1" applyFill="1" applyBorder="1" applyAlignment="1">
      <alignment wrapText="1"/>
    </xf>
    <xf numFmtId="0" fontId="1" fillId="3" borderId="13" xfId="0" applyFont="1" applyFill="1" applyBorder="1" applyAlignment="1">
      <alignment wrapText="1"/>
    </xf>
    <xf numFmtId="168" fontId="1" fillId="3" borderId="13" xfId="2" applyNumberFormat="1" applyFont="1" applyFill="1" applyBorder="1" applyAlignment="1" applyProtection="1">
      <alignment wrapText="1"/>
    </xf>
    <xf numFmtId="2" fontId="1" fillId="3" borderId="13" xfId="0" applyNumberFormat="1" applyFont="1" applyFill="1" applyBorder="1" applyAlignment="1">
      <alignment wrapText="1"/>
    </xf>
    <xf numFmtId="0" fontId="1" fillId="3" borderId="14" xfId="0" applyFont="1" applyFill="1" applyBorder="1"/>
    <xf numFmtId="0" fontId="1" fillId="3" borderId="0" xfId="0" applyFont="1" applyFill="1" applyBorder="1" applyAlignment="1">
      <alignment wrapText="1"/>
    </xf>
    <xf numFmtId="168" fontId="1" fillId="3" borderId="0" xfId="2" applyNumberFormat="1" applyFont="1" applyFill="1" applyBorder="1" applyAlignment="1" applyProtection="1">
      <alignment wrapText="1"/>
    </xf>
    <xf numFmtId="2" fontId="1" fillId="3" borderId="0" xfId="0" applyNumberFormat="1" applyFont="1" applyFill="1" applyBorder="1" applyAlignment="1">
      <alignment wrapText="1"/>
    </xf>
    <xf numFmtId="0" fontId="1" fillId="3" borderId="0" xfId="0" applyFont="1" applyFill="1" applyBorder="1"/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168" fontId="1" fillId="3" borderId="4" xfId="2" applyNumberFormat="1" applyFont="1" applyFill="1" applyBorder="1" applyAlignment="1" applyProtection="1">
      <alignment wrapText="1"/>
    </xf>
    <xf numFmtId="2" fontId="1" fillId="3" borderId="4" xfId="0" applyNumberFormat="1" applyFont="1" applyFill="1" applyBorder="1" applyAlignment="1">
      <alignment wrapText="1"/>
    </xf>
    <xf numFmtId="168" fontId="2" fillId="3" borderId="5" xfId="0" applyNumberFormat="1" applyFont="1" applyFill="1" applyBorder="1" applyAlignment="1">
      <alignment vertical="center" wrapText="1"/>
    </xf>
    <xf numFmtId="0" fontId="1" fillId="3" borderId="5" xfId="0" applyFont="1" applyFill="1" applyBorder="1"/>
    <xf numFmtId="0" fontId="1" fillId="3" borderId="3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165" fontId="2" fillId="5" borderId="7" xfId="0" applyNumberFormat="1" applyFont="1" applyFill="1" applyBorder="1" applyAlignment="1">
      <alignment vertical="center" wrapText="1"/>
    </xf>
    <xf numFmtId="10" fontId="2" fillId="5" borderId="7" xfId="0" applyNumberFormat="1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165" fontId="2" fillId="5" borderId="4" xfId="2" applyNumberFormat="1" applyFont="1" applyFill="1" applyBorder="1" applyAlignment="1" applyProtection="1">
      <alignment vertical="center" wrapText="1"/>
    </xf>
    <xf numFmtId="165" fontId="2" fillId="5" borderId="7" xfId="2" applyNumberFormat="1" applyFont="1" applyFill="1" applyBorder="1" applyAlignment="1" applyProtection="1">
      <alignment vertical="center" wrapText="1"/>
    </xf>
    <xf numFmtId="166" fontId="2" fillId="5" borderId="1" xfId="2" applyNumberFormat="1" applyFont="1" applyFill="1" applyBorder="1" applyAlignment="1" applyProtection="1">
      <alignment vertical="center" wrapText="1"/>
    </xf>
    <xf numFmtId="0" fontId="2" fillId="5" borderId="1" xfId="2" applyNumberFormat="1" applyFont="1" applyFill="1" applyBorder="1" applyAlignment="1" applyProtection="1">
      <alignment vertical="center" wrapText="1"/>
    </xf>
    <xf numFmtId="10" fontId="2" fillId="5" borderId="1" xfId="2" applyNumberFormat="1" applyFont="1" applyFill="1" applyBorder="1" applyAlignment="1" applyProtection="1">
      <alignment wrapText="1"/>
    </xf>
    <xf numFmtId="165" fontId="2" fillId="5" borderId="4" xfId="2" applyNumberFormat="1" applyFont="1" applyFill="1" applyBorder="1" applyAlignment="1" applyProtection="1">
      <alignment wrapText="1"/>
    </xf>
    <xf numFmtId="165" fontId="2" fillId="5" borderId="7" xfId="2" applyNumberFormat="1" applyFont="1" applyFill="1" applyBorder="1" applyAlignment="1" applyProtection="1">
      <alignment wrapText="1"/>
    </xf>
    <xf numFmtId="168" fontId="2" fillId="5" borderId="7" xfId="0" applyNumberFormat="1" applyFont="1" applyFill="1" applyBorder="1"/>
    <xf numFmtId="0" fontId="2" fillId="5" borderId="7" xfId="0" applyFont="1" applyFill="1" applyBorder="1"/>
    <xf numFmtId="165" fontId="1" fillId="3" borderId="7" xfId="0" applyNumberFormat="1" applyFont="1" applyFill="1" applyBorder="1" applyAlignment="1">
      <alignment vertical="center" wrapText="1"/>
    </xf>
    <xf numFmtId="168" fontId="1" fillId="3" borderId="7" xfId="0" applyNumberFormat="1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9" fontId="1" fillId="3" borderId="9" xfId="2" applyFont="1" applyFill="1" applyBorder="1" applyAlignment="1" applyProtection="1">
      <alignment vertical="center" wrapText="1"/>
    </xf>
    <xf numFmtId="0" fontId="1" fillId="3" borderId="10" xfId="0" applyFont="1" applyFill="1" applyBorder="1" applyAlignment="1">
      <alignment vertical="center" wrapText="1"/>
    </xf>
    <xf numFmtId="9" fontId="1" fillId="3" borderId="0" xfId="2" applyFont="1" applyFill="1" applyBorder="1" applyAlignment="1" applyProtection="1">
      <alignment vertical="center" wrapText="1"/>
    </xf>
    <xf numFmtId="169" fontId="1" fillId="3" borderId="0" xfId="0" applyNumberFormat="1" applyFont="1" applyFill="1" applyBorder="1" applyAlignment="1">
      <alignment vertical="center" wrapText="1"/>
    </xf>
    <xf numFmtId="9" fontId="1" fillId="3" borderId="13" xfId="2" applyFont="1" applyFill="1" applyBorder="1" applyAlignment="1" applyProtection="1">
      <alignment wrapText="1"/>
    </xf>
    <xf numFmtId="165" fontId="1" fillId="3" borderId="13" xfId="0" applyNumberFormat="1" applyFont="1" applyFill="1" applyBorder="1" applyAlignment="1">
      <alignment wrapText="1"/>
    </xf>
    <xf numFmtId="169" fontId="1" fillId="3" borderId="13" xfId="0" applyNumberFormat="1" applyFont="1" applyFill="1" applyBorder="1" applyAlignment="1">
      <alignment vertical="center" wrapText="1"/>
    </xf>
    <xf numFmtId="168" fontId="1" fillId="3" borderId="14" xfId="0" applyNumberFormat="1" applyFont="1" applyFill="1" applyBorder="1" applyAlignment="1">
      <alignment vertical="center" wrapText="1"/>
    </xf>
    <xf numFmtId="9" fontId="1" fillId="3" borderId="0" xfId="2" applyFont="1" applyFill="1" applyBorder="1" applyAlignment="1" applyProtection="1">
      <alignment wrapText="1"/>
    </xf>
    <xf numFmtId="165" fontId="1" fillId="3" borderId="0" xfId="0" applyNumberFormat="1" applyFont="1" applyFill="1" applyBorder="1" applyAlignment="1">
      <alignment wrapText="1"/>
    </xf>
    <xf numFmtId="0" fontId="1" fillId="3" borderId="4" xfId="0" applyFont="1" applyFill="1" applyBorder="1" applyAlignment="1">
      <alignment vertical="center" wrapText="1"/>
    </xf>
    <xf numFmtId="168" fontId="1" fillId="3" borderId="4" xfId="2" applyNumberFormat="1" applyFont="1" applyFill="1" applyBorder="1" applyAlignment="1" applyProtection="1">
      <alignment vertical="center" wrapText="1"/>
    </xf>
    <xf numFmtId="2" fontId="1" fillId="3" borderId="4" xfId="0" applyNumberFormat="1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1" fillId="3" borderId="3" xfId="0" applyFont="1" applyFill="1" applyBorder="1"/>
    <xf numFmtId="9" fontId="1" fillId="3" borderId="12" xfId="2" applyFont="1" applyFill="1" applyBorder="1" applyAlignment="1" applyProtection="1">
      <alignment vertical="center" wrapText="1"/>
    </xf>
    <xf numFmtId="2" fontId="1" fillId="3" borderId="12" xfId="0" applyNumberFormat="1" applyFont="1" applyFill="1" applyBorder="1" applyAlignment="1">
      <alignment wrapText="1"/>
    </xf>
    <xf numFmtId="169" fontId="1" fillId="3" borderId="12" xfId="0" applyNumberFormat="1" applyFont="1" applyFill="1" applyBorder="1" applyAlignment="1">
      <alignment vertical="center" wrapText="1"/>
    </xf>
    <xf numFmtId="0" fontId="1" fillId="3" borderId="13" xfId="0" applyFont="1" applyFill="1" applyBorder="1"/>
    <xf numFmtId="9" fontId="1" fillId="3" borderId="4" xfId="2" applyFont="1" applyFill="1" applyBorder="1" applyAlignment="1" applyProtection="1">
      <alignment wrapText="1"/>
    </xf>
    <xf numFmtId="165" fontId="1" fillId="3" borderId="4" xfId="0" applyNumberFormat="1" applyFont="1" applyFill="1" applyBorder="1" applyAlignment="1">
      <alignment wrapText="1"/>
    </xf>
    <xf numFmtId="169" fontId="1" fillId="3" borderId="4" xfId="0" applyNumberFormat="1" applyFont="1" applyFill="1" applyBorder="1" applyAlignment="1">
      <alignment vertical="center" wrapText="1"/>
    </xf>
    <xf numFmtId="165" fontId="1" fillId="3" borderId="5" xfId="0" applyNumberFormat="1" applyFont="1" applyFill="1" applyBorder="1" applyAlignment="1">
      <alignment vertical="center" wrapText="1"/>
    </xf>
    <xf numFmtId="0" fontId="1" fillId="3" borderId="6" xfId="0" applyFont="1" applyFill="1" applyBorder="1"/>
    <xf numFmtId="169" fontId="1" fillId="3" borderId="1" xfId="0" applyNumberFormat="1" applyFont="1" applyFill="1" applyBorder="1"/>
    <xf numFmtId="165" fontId="1" fillId="3" borderId="7" xfId="0" applyNumberFormat="1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9" fontId="1" fillId="3" borderId="9" xfId="2" applyFont="1" applyFill="1" applyBorder="1" applyAlignment="1" applyProtection="1"/>
    <xf numFmtId="2" fontId="1" fillId="3" borderId="9" xfId="0" applyNumberFormat="1" applyFont="1" applyFill="1" applyBorder="1"/>
    <xf numFmtId="169" fontId="1" fillId="3" borderId="9" xfId="0" applyNumberFormat="1" applyFont="1" applyFill="1" applyBorder="1"/>
    <xf numFmtId="165" fontId="1" fillId="3" borderId="10" xfId="0" applyNumberFormat="1" applyFont="1" applyFill="1" applyBorder="1"/>
    <xf numFmtId="169" fontId="1" fillId="0" borderId="0" xfId="0" applyNumberFormat="1" applyFont="1"/>
    <xf numFmtId="10" fontId="2" fillId="0" borderId="0" xfId="0" applyNumberFormat="1" applyFont="1"/>
    <xf numFmtId="0" fontId="1" fillId="0" borderId="1" xfId="0" applyFont="1" applyBorder="1" applyAlignment="1">
      <alignment wrapText="1"/>
    </xf>
    <xf numFmtId="0" fontId="1" fillId="6" borderId="1" xfId="0" applyFont="1" applyFill="1" applyBorder="1" applyAlignment="1">
      <alignment vertical="center" wrapText="1"/>
    </xf>
    <xf numFmtId="168" fontId="2" fillId="0" borderId="0" xfId="0" applyNumberFormat="1" applyFont="1" applyBorder="1"/>
    <xf numFmtId="168" fontId="1" fillId="0" borderId="0" xfId="0" applyNumberFormat="1" applyFont="1"/>
    <xf numFmtId="2" fontId="1" fillId="3" borderId="1" xfId="0" applyNumberFormat="1" applyFont="1" applyFill="1" applyBorder="1" applyAlignment="1">
      <alignment vertical="center"/>
    </xf>
    <xf numFmtId="167" fontId="5" fillId="0" borderId="0" xfId="1"/>
    <xf numFmtId="9" fontId="2" fillId="0" borderId="0" xfId="0" applyNumberFormat="1" applyFont="1" applyBorder="1"/>
    <xf numFmtId="167" fontId="5" fillId="0" borderId="0" xfId="1" applyBorder="1"/>
    <xf numFmtId="43" fontId="2" fillId="0" borderId="0" xfId="0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828720</xdr:colOff>
      <xdr:row>0</xdr:row>
      <xdr:rowOff>9360</xdr:rowOff>
    </xdr:from>
    <xdr:to>
      <xdr:col>9</xdr:col>
      <xdr:colOff>721080</xdr:colOff>
      <xdr:row>3</xdr:row>
      <xdr:rowOff>36360</xdr:rowOff>
    </xdr:to>
    <xdr:sp macro="" textlink="">
      <xdr:nvSpPr>
        <xdr:cNvPr id="2" name="CustomShape 1"/>
        <xdr:cNvSpPr/>
      </xdr:nvSpPr>
      <xdr:spPr>
        <a:xfrm>
          <a:off x="8287200" y="9360"/>
          <a:ext cx="3126960" cy="731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2" name="Table138958" displayName="Table138958" ref="B8:M85" totalsRowShown="0">
  <autoFilter ref="B8:M85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le1389584567991011" displayName="Table1389584567991011" ref="B8:M79" totalsRowShown="0">
  <autoFilter ref="B8:M79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Table138958456799101112" displayName="Table138958456799101112" ref="B8:M79" totalsRowShown="0">
  <autoFilter ref="B8:M79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le13895845679910111213" displayName="Table13895845679910111213" ref="B8:O86" totalsRowShown="0">
  <autoFilter ref="B8:O86"/>
  <tableColumns count="14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  <tableColumn id="13" name="Column1"/>
    <tableColumn id="14" name="Column2" dataDxfId="0">
      <calculatedColumnFormula>Table13895845679910111213[[#This Row],[Change]]*Table13895845679910111213[[#This Row],[Last price]]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le1389584567991011121314" displayName="Table1389584567991011121314" ref="B8:N84" totalsRowShown="0">
  <autoFilter ref="B8:N84"/>
  <tableColumns count="13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  <tableColumn id="13" name="Column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1389584" displayName="Table1389584" ref="B8:M78" totalsRowShown="0">
  <autoFilter ref="B8:M78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34" displayName="Table134" ref="B5:M103" totalsRowShown="0">
  <autoFilter ref="B5:M103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13895845" displayName="Table13895845" ref="B8:M78" totalsRowShown="0">
  <autoFilter ref="B8:M78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138958456" displayName="Table138958456" ref="B8:M79" totalsRowShown="0">
  <autoFilter ref="B8:M79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le1389584567" displayName="Table1389584567" ref="B8:M81" totalsRowShown="0">
  <autoFilter ref="B8:M81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le13895845679" displayName="Table13895845679" ref="B8:M78" totalsRowShown="0">
  <autoFilter ref="B8:M78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Table138958456799" displayName="Table138958456799" ref="B8:M78" totalsRowShown="0">
  <autoFilter ref="B8:M78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Table13895845679910" displayName="Table13895845679910" ref="B8:M88" totalsRowShown="0">
  <autoFilter ref="B8:M88"/>
  <tableColumns count="12">
    <tableColumn id="1" name="IB Ticker"/>
    <tableColumn id="2" name="Financial Instrument"/>
    <tableColumn id="3" name="Target Allocation (%)"/>
    <tableColumn id="4" name="Target Value Allocation (USD)"/>
    <tableColumn id="5" name="Last price"/>
    <tableColumn id="6" name="Target Quantity"/>
    <tableColumn id="7" name="Previous Quantity"/>
    <tableColumn id="8" name="Current Quantity"/>
    <tableColumn id="9" name="Change"/>
    <tableColumn id="10" name="Current Value Allocation"/>
    <tableColumn id="11" name="Current Allocation Percentage"/>
    <tableColumn id="12" name="Com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22" zoomScaleNormal="100" workbookViewId="0">
      <selection activeCell="Q42" sqref="Q42"/>
    </sheetView>
  </sheetViews>
  <sheetFormatPr defaultColWidth="8.7109375" defaultRowHeight="15" x14ac:dyDescent="0.25"/>
  <cols>
    <col min="1" max="1" width="9.140625" customWidth="1"/>
    <col min="2" max="2" width="25" customWidth="1"/>
    <col min="3" max="3" width="54.85546875" customWidth="1"/>
    <col min="4" max="11" width="9.140625" customWidth="1"/>
    <col min="12" max="12" width="8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25">
      <c r="A2">
        <v>40</v>
      </c>
      <c r="B2" t="s">
        <v>11</v>
      </c>
      <c r="C2" t="s">
        <v>12</v>
      </c>
      <c r="D2" t="s">
        <v>13</v>
      </c>
      <c r="E2" t="s">
        <v>14</v>
      </c>
      <c r="F2" s="1">
        <v>1993</v>
      </c>
      <c r="G2" s="1">
        <v>603999</v>
      </c>
      <c r="H2">
        <v>304.98</v>
      </c>
      <c r="I2" t="s">
        <v>15</v>
      </c>
      <c r="J2" s="1">
        <v>-3826</v>
      </c>
      <c r="K2" t="s">
        <v>16</v>
      </c>
      <c r="M2">
        <f t="shared" ref="M2:M16" si="0">G2/F2</f>
        <v>303.06021073758154</v>
      </c>
    </row>
    <row r="3" spans="1:13" x14ac:dyDescent="0.25">
      <c r="A3">
        <v>-1111</v>
      </c>
      <c r="B3" t="s">
        <v>17</v>
      </c>
      <c r="C3" t="s">
        <v>18</v>
      </c>
      <c r="D3" t="s">
        <v>13</v>
      </c>
      <c r="E3" t="s">
        <v>14</v>
      </c>
      <c r="F3" s="1">
        <v>7405</v>
      </c>
      <c r="G3" s="1">
        <v>632387</v>
      </c>
      <c r="H3">
        <v>85.114999999999995</v>
      </c>
      <c r="I3" t="s">
        <v>19</v>
      </c>
      <c r="J3" s="1">
        <v>2111</v>
      </c>
      <c r="K3" t="s">
        <v>16</v>
      </c>
      <c r="M3">
        <f t="shared" si="0"/>
        <v>85.4</v>
      </c>
    </row>
    <row r="4" spans="1:13" x14ac:dyDescent="0.25">
      <c r="A4" s="1">
        <v>218</v>
      </c>
      <c r="B4" t="s">
        <v>20</v>
      </c>
      <c r="C4" t="s">
        <v>21</v>
      </c>
      <c r="D4" t="s">
        <v>13</v>
      </c>
      <c r="E4" t="s">
        <v>14</v>
      </c>
      <c r="F4" s="1">
        <v>182</v>
      </c>
      <c r="G4" s="1">
        <v>619346</v>
      </c>
      <c r="H4">
        <v>3407.915</v>
      </c>
      <c r="I4" t="s">
        <v>22</v>
      </c>
      <c r="J4" s="1">
        <v>-894</v>
      </c>
      <c r="K4" t="s">
        <v>16</v>
      </c>
      <c r="M4">
        <f t="shared" si="0"/>
        <v>3403</v>
      </c>
    </row>
    <row r="5" spans="1:13" x14ac:dyDescent="0.25">
      <c r="A5" s="1">
        <v>0</v>
      </c>
      <c r="B5" t="s">
        <v>23</v>
      </c>
      <c r="C5" t="s">
        <v>24</v>
      </c>
      <c r="D5" t="s">
        <v>13</v>
      </c>
      <c r="E5" t="s">
        <v>14</v>
      </c>
      <c r="F5" s="1">
        <v>2840</v>
      </c>
      <c r="G5" s="1">
        <v>620682</v>
      </c>
      <c r="H5">
        <v>217.48099999999999</v>
      </c>
      <c r="I5" t="s">
        <v>25</v>
      </c>
      <c r="J5" s="1">
        <v>3036</v>
      </c>
      <c r="K5" t="s">
        <v>16</v>
      </c>
      <c r="M5">
        <f t="shared" si="0"/>
        <v>218.55</v>
      </c>
    </row>
    <row r="6" spans="1:13" x14ac:dyDescent="0.25">
      <c r="A6">
        <v>112</v>
      </c>
      <c r="B6" t="s">
        <v>26</v>
      </c>
      <c r="C6" t="s">
        <v>27</v>
      </c>
      <c r="D6" t="s">
        <v>13</v>
      </c>
      <c r="E6" t="s">
        <v>14</v>
      </c>
      <c r="F6" s="1">
        <v>2808</v>
      </c>
      <c r="G6" s="1">
        <v>609813</v>
      </c>
      <c r="H6">
        <v>225.55199999999999</v>
      </c>
      <c r="I6" t="s">
        <v>28</v>
      </c>
      <c r="J6" s="1">
        <v>-23536</v>
      </c>
      <c r="K6" t="s">
        <v>16</v>
      </c>
      <c r="M6">
        <f t="shared" si="0"/>
        <v>217.1698717948718</v>
      </c>
    </row>
    <row r="7" spans="1:13" x14ac:dyDescent="0.25">
      <c r="A7">
        <v>2186</v>
      </c>
      <c r="B7" t="s">
        <v>29</v>
      </c>
      <c r="C7" t="s">
        <v>30</v>
      </c>
      <c r="D7" t="s">
        <v>13</v>
      </c>
      <c r="E7" t="s">
        <v>14</v>
      </c>
      <c r="F7" s="1">
        <v>2876</v>
      </c>
      <c r="G7" s="1">
        <v>621216</v>
      </c>
      <c r="H7">
        <v>211.59</v>
      </c>
      <c r="I7" t="s">
        <v>31</v>
      </c>
      <c r="J7" s="1">
        <v>12684</v>
      </c>
      <c r="K7" t="s">
        <v>16</v>
      </c>
      <c r="M7">
        <f t="shared" si="0"/>
        <v>216</v>
      </c>
    </row>
    <row r="8" spans="1:13" x14ac:dyDescent="0.25">
      <c r="A8" s="1">
        <v>1495</v>
      </c>
      <c r="B8" t="s">
        <v>32</v>
      </c>
      <c r="C8" t="s">
        <v>33</v>
      </c>
      <c r="D8" t="s">
        <v>13</v>
      </c>
      <c r="E8" t="s">
        <v>14</v>
      </c>
      <c r="F8" s="1">
        <v>75099</v>
      </c>
      <c r="G8" s="1">
        <v>1408099</v>
      </c>
      <c r="H8">
        <v>18.216000000000001</v>
      </c>
      <c r="I8" t="s">
        <v>34</v>
      </c>
      <c r="J8" s="1">
        <v>40116</v>
      </c>
      <c r="M8">
        <f t="shared" si="0"/>
        <v>18.749903460765122</v>
      </c>
    </row>
    <row r="9" spans="1:13" x14ac:dyDescent="0.25">
      <c r="A9">
        <v>-1248</v>
      </c>
      <c r="B9" t="s">
        <v>35</v>
      </c>
      <c r="C9" t="s">
        <v>36</v>
      </c>
      <c r="D9" t="s">
        <v>13</v>
      </c>
      <c r="E9" t="s">
        <v>14</v>
      </c>
      <c r="F9" s="1">
        <v>7798</v>
      </c>
      <c r="G9" s="1">
        <v>622280</v>
      </c>
      <c r="H9">
        <v>72.212999999999994</v>
      </c>
      <c r="I9" t="s">
        <v>37</v>
      </c>
      <c r="J9" s="1">
        <v>59171</v>
      </c>
      <c r="K9" t="s">
        <v>16</v>
      </c>
      <c r="M9">
        <f t="shared" si="0"/>
        <v>79.799948704796108</v>
      </c>
    </row>
    <row r="10" spans="1:13" x14ac:dyDescent="0.25">
      <c r="A10" s="1">
        <v>-828</v>
      </c>
      <c r="B10" t="s">
        <v>38</v>
      </c>
      <c r="C10" t="s">
        <v>39</v>
      </c>
      <c r="D10" t="s">
        <v>13</v>
      </c>
      <c r="E10" t="s">
        <v>14</v>
      </c>
      <c r="F10" s="1">
        <v>9199</v>
      </c>
      <c r="G10" s="1">
        <v>620013</v>
      </c>
      <c r="H10">
        <v>66.646000000000001</v>
      </c>
      <c r="I10" t="s">
        <v>40</v>
      </c>
      <c r="J10" s="1">
        <v>6939</v>
      </c>
      <c r="K10" t="s">
        <v>16</v>
      </c>
      <c r="M10">
        <f t="shared" si="0"/>
        <v>67.400043482987286</v>
      </c>
    </row>
    <row r="11" spans="1:13" x14ac:dyDescent="0.25">
      <c r="A11">
        <v>-135</v>
      </c>
      <c r="B11" t="s">
        <v>41</v>
      </c>
      <c r="C11" t="s">
        <v>42</v>
      </c>
      <c r="D11" t="s">
        <v>13</v>
      </c>
      <c r="E11" t="s">
        <v>14</v>
      </c>
      <c r="F11">
        <v>1229</v>
      </c>
      <c r="G11" s="1">
        <v>646208</v>
      </c>
      <c r="H11">
        <v>460.69200000000001</v>
      </c>
      <c r="I11" t="s">
        <v>43</v>
      </c>
      <c r="J11" s="1">
        <v>80018</v>
      </c>
      <c r="K11" t="s">
        <v>16</v>
      </c>
      <c r="M11">
        <f t="shared" si="0"/>
        <v>525.79983726606997</v>
      </c>
    </row>
    <row r="12" spans="1:13" x14ac:dyDescent="0.25">
      <c r="A12">
        <v>394</v>
      </c>
      <c r="B12" t="s">
        <v>44</v>
      </c>
      <c r="C12" t="s">
        <v>45</v>
      </c>
      <c r="D12" t="s">
        <v>13</v>
      </c>
      <c r="E12" t="s">
        <v>14</v>
      </c>
      <c r="F12" s="1">
        <v>3034</v>
      </c>
      <c r="G12" s="1">
        <v>620787</v>
      </c>
      <c r="H12">
        <v>203.50200000000001</v>
      </c>
      <c r="I12" t="s">
        <v>46</v>
      </c>
      <c r="J12" s="1">
        <v>3365</v>
      </c>
      <c r="K12" t="s">
        <v>16</v>
      </c>
      <c r="M12">
        <f t="shared" si="0"/>
        <v>204.61008569545155</v>
      </c>
    </row>
    <row r="13" spans="1:13" x14ac:dyDescent="0.25">
      <c r="A13" s="1">
        <v>-2636</v>
      </c>
      <c r="B13" t="s">
        <v>47</v>
      </c>
      <c r="C13" t="s">
        <v>48</v>
      </c>
      <c r="D13" t="s">
        <v>13</v>
      </c>
      <c r="E13" t="s">
        <v>14</v>
      </c>
      <c r="F13">
        <v>1010</v>
      </c>
      <c r="G13" s="1">
        <v>606000</v>
      </c>
      <c r="H13">
        <v>595.44500000000005</v>
      </c>
      <c r="I13" t="s">
        <v>49</v>
      </c>
      <c r="J13" s="1">
        <v>4601</v>
      </c>
      <c r="K13" t="s">
        <v>16</v>
      </c>
      <c r="M13">
        <f t="shared" si="0"/>
        <v>600</v>
      </c>
    </row>
    <row r="14" spans="1:13" x14ac:dyDescent="0.25">
      <c r="A14">
        <v>0</v>
      </c>
      <c r="B14" t="s">
        <v>50</v>
      </c>
      <c r="C14" t="s">
        <v>51</v>
      </c>
      <c r="D14" t="s">
        <v>13</v>
      </c>
      <c r="E14" t="s">
        <v>14</v>
      </c>
      <c r="F14">
        <v>1365</v>
      </c>
      <c r="G14" s="1">
        <v>604258</v>
      </c>
      <c r="H14">
        <v>237.47800000000001</v>
      </c>
      <c r="I14" t="s">
        <v>52</v>
      </c>
      <c r="J14" s="1">
        <v>280102</v>
      </c>
      <c r="K14" t="s">
        <v>16</v>
      </c>
      <c r="M14">
        <f t="shared" si="0"/>
        <v>442.67985347985348</v>
      </c>
    </row>
    <row r="15" spans="1:13" x14ac:dyDescent="0.25">
      <c r="A15" s="1">
        <v>-267</v>
      </c>
      <c r="B15" t="s">
        <v>53</v>
      </c>
      <c r="C15" t="s">
        <v>54</v>
      </c>
      <c r="D15" t="s">
        <v>13</v>
      </c>
      <c r="E15" t="s">
        <v>14</v>
      </c>
      <c r="F15">
        <v>2263</v>
      </c>
      <c r="G15" s="1">
        <v>614341</v>
      </c>
      <c r="H15">
        <v>271.42700000000002</v>
      </c>
      <c r="I15" t="s">
        <v>55</v>
      </c>
      <c r="J15" s="1">
        <v>103</v>
      </c>
      <c r="K15" t="s">
        <v>16</v>
      </c>
      <c r="M15">
        <f t="shared" si="0"/>
        <v>271.4719399027839</v>
      </c>
    </row>
    <row r="16" spans="1:13" x14ac:dyDescent="0.25">
      <c r="A16">
        <v>2364</v>
      </c>
      <c r="B16" t="s">
        <v>56</v>
      </c>
      <c r="C16" t="s">
        <v>57</v>
      </c>
      <c r="D16" t="s">
        <v>13</v>
      </c>
      <c r="E16" t="s">
        <v>14</v>
      </c>
      <c r="F16" s="1">
        <v>2092</v>
      </c>
      <c r="G16" s="1">
        <v>628437</v>
      </c>
      <c r="H16">
        <v>291.58499999999998</v>
      </c>
      <c r="I16" t="s">
        <v>58</v>
      </c>
      <c r="J16" s="1">
        <v>18442</v>
      </c>
      <c r="K16" t="s">
        <v>16</v>
      </c>
      <c r="M16">
        <f t="shared" si="0"/>
        <v>300.40009560229447</v>
      </c>
    </row>
    <row r="17" spans="1:13" x14ac:dyDescent="0.25">
      <c r="B17" t="s">
        <v>59</v>
      </c>
      <c r="C17" t="s">
        <v>60</v>
      </c>
      <c r="F17" s="1"/>
      <c r="G17" s="1"/>
      <c r="J17" s="1"/>
      <c r="M17">
        <v>54.11</v>
      </c>
    </row>
    <row r="18" spans="1:13" x14ac:dyDescent="0.25">
      <c r="B18" t="s">
        <v>61</v>
      </c>
      <c r="C18" t="s">
        <v>62</v>
      </c>
      <c r="F18" s="1"/>
      <c r="G18" s="1"/>
      <c r="J18" s="1"/>
      <c r="M18">
        <v>127</v>
      </c>
    </row>
    <row r="19" spans="1:13" x14ac:dyDescent="0.25">
      <c r="F19" s="1"/>
      <c r="G19" s="1"/>
      <c r="J19" s="1"/>
    </row>
    <row r="20" spans="1:13" x14ac:dyDescent="0.25">
      <c r="A20" s="1">
        <v>-2225</v>
      </c>
      <c r="B20" t="s">
        <v>63</v>
      </c>
      <c r="C20" t="s">
        <v>64</v>
      </c>
      <c r="D20" t="s">
        <v>65</v>
      </c>
      <c r="E20" t="s">
        <v>66</v>
      </c>
      <c r="F20">
        <v>20</v>
      </c>
      <c r="G20" s="1">
        <v>1882984</v>
      </c>
      <c r="H20">
        <v>112.21299999999999</v>
      </c>
      <c r="I20">
        <v>111.82</v>
      </c>
      <c r="J20" s="1">
        <v>-6682</v>
      </c>
      <c r="K20">
        <v>-1.1612326931665501E-3</v>
      </c>
      <c r="M20">
        <f t="shared" ref="M20:M42" si="1">G20/F20</f>
        <v>94149.2</v>
      </c>
    </row>
    <row r="21" spans="1:13" x14ac:dyDescent="0.25">
      <c r="A21">
        <v>1072</v>
      </c>
      <c r="B21" t="s">
        <v>67</v>
      </c>
      <c r="C21" t="s">
        <v>68</v>
      </c>
      <c r="D21" t="s">
        <v>13</v>
      </c>
      <c r="E21" t="s">
        <v>69</v>
      </c>
      <c r="F21">
        <v>2</v>
      </c>
      <c r="G21" s="1">
        <v>88634</v>
      </c>
      <c r="H21">
        <v>1754.55</v>
      </c>
      <c r="I21">
        <v>1774.5</v>
      </c>
      <c r="J21">
        <v>907</v>
      </c>
      <c r="K21">
        <v>1.3131601484441899E-2</v>
      </c>
      <c r="M21">
        <f t="shared" si="1"/>
        <v>44317</v>
      </c>
    </row>
    <row r="22" spans="1:13" x14ac:dyDescent="0.25">
      <c r="A22" s="1">
        <v>1427</v>
      </c>
      <c r="B22" t="s">
        <v>70</v>
      </c>
      <c r="C22" t="s">
        <v>71</v>
      </c>
      <c r="D22" t="s">
        <v>13</v>
      </c>
      <c r="E22" t="s">
        <v>69</v>
      </c>
      <c r="F22">
        <v>1</v>
      </c>
      <c r="G22" s="1">
        <v>167240</v>
      </c>
      <c r="H22">
        <v>6413.8</v>
      </c>
      <c r="I22">
        <v>6682</v>
      </c>
      <c r="J22" s="1">
        <v>6895</v>
      </c>
      <c r="K22">
        <v>7.4632491519035001E-3</v>
      </c>
      <c r="M22">
        <f t="shared" si="1"/>
        <v>167240</v>
      </c>
    </row>
    <row r="23" spans="1:13" x14ac:dyDescent="0.25">
      <c r="A23" s="1">
        <v>-563</v>
      </c>
      <c r="B23" t="s">
        <v>72</v>
      </c>
      <c r="C23" t="s">
        <v>73</v>
      </c>
      <c r="D23" t="s">
        <v>74</v>
      </c>
      <c r="E23" t="s">
        <v>75</v>
      </c>
      <c r="F23">
        <v>16</v>
      </c>
      <c r="G23" s="1">
        <v>1846607</v>
      </c>
      <c r="H23">
        <v>151.87100000000001</v>
      </c>
      <c r="I23">
        <v>150.97999999999999</v>
      </c>
      <c r="J23" s="1">
        <v>-11339</v>
      </c>
      <c r="K23">
        <v>-6.6229999999999994E-5</v>
      </c>
      <c r="M23">
        <f t="shared" si="1"/>
        <v>115412.9375</v>
      </c>
    </row>
    <row r="24" spans="1:13" x14ac:dyDescent="0.25">
      <c r="A24" s="1">
        <v>-6343</v>
      </c>
      <c r="B24" t="s">
        <v>76</v>
      </c>
      <c r="C24" t="s">
        <v>77</v>
      </c>
      <c r="D24" t="s">
        <v>65</v>
      </c>
      <c r="E24" t="s">
        <v>66</v>
      </c>
      <c r="F24">
        <v>17</v>
      </c>
      <c r="G24" s="1">
        <v>1893685</v>
      </c>
      <c r="H24">
        <v>134.27000000000001</v>
      </c>
      <c r="I24">
        <v>132.30000000000001</v>
      </c>
      <c r="J24" s="1">
        <v>-28250</v>
      </c>
      <c r="K24">
        <v>-3.3898305084744899E-3</v>
      </c>
      <c r="M24">
        <f t="shared" si="1"/>
        <v>111393.23529411765</v>
      </c>
    </row>
    <row r="25" spans="1:13" x14ac:dyDescent="0.25">
      <c r="A25">
        <v>-175</v>
      </c>
      <c r="B25" t="s">
        <v>78</v>
      </c>
      <c r="C25" t="s">
        <v>79</v>
      </c>
      <c r="D25" t="s">
        <v>13</v>
      </c>
      <c r="E25" t="s">
        <v>80</v>
      </c>
      <c r="F25">
        <v>28</v>
      </c>
      <c r="G25" s="1">
        <v>6983725</v>
      </c>
      <c r="H25">
        <v>99.766000000000005</v>
      </c>
      <c r="I25">
        <v>99.767499999999998</v>
      </c>
      <c r="J25">
        <v>122</v>
      </c>
      <c r="K25">
        <v>-2.5060000000000001E-5</v>
      </c>
      <c r="M25">
        <f t="shared" si="1"/>
        <v>249418.75</v>
      </c>
    </row>
    <row r="26" spans="1:13" x14ac:dyDescent="0.25">
      <c r="A26">
        <v>817</v>
      </c>
      <c r="B26" t="s">
        <v>81</v>
      </c>
      <c r="C26" t="s">
        <v>82</v>
      </c>
      <c r="D26" t="s">
        <v>13</v>
      </c>
      <c r="E26" t="s">
        <v>69</v>
      </c>
      <c r="F26">
        <v>1</v>
      </c>
      <c r="G26" s="1">
        <v>91798</v>
      </c>
      <c r="H26">
        <v>14284.2</v>
      </c>
      <c r="I26">
        <v>15340</v>
      </c>
      <c r="J26" s="1">
        <v>6093</v>
      </c>
      <c r="K26">
        <v>1.1539729640619801E-2</v>
      </c>
      <c r="M26">
        <f t="shared" si="1"/>
        <v>91798</v>
      </c>
    </row>
    <row r="27" spans="1:13" x14ac:dyDescent="0.25">
      <c r="A27" s="1">
        <v>-225</v>
      </c>
      <c r="B27" t="s">
        <v>83</v>
      </c>
      <c r="C27" t="s">
        <v>84</v>
      </c>
      <c r="D27" t="s">
        <v>13</v>
      </c>
      <c r="E27" t="s">
        <v>85</v>
      </c>
      <c r="F27">
        <v>1</v>
      </c>
      <c r="G27" s="1">
        <v>222925</v>
      </c>
      <c r="H27">
        <v>2204.23</v>
      </c>
      <c r="I27">
        <v>2234.8000000000002</v>
      </c>
      <c r="J27">
        <v>2503</v>
      </c>
      <c r="K27">
        <v>1.4788259018598099E-3</v>
      </c>
      <c r="M27">
        <f t="shared" si="1"/>
        <v>222925</v>
      </c>
    </row>
    <row r="28" spans="1:13" x14ac:dyDescent="0.25">
      <c r="A28">
        <v>-186</v>
      </c>
      <c r="B28" t="s">
        <v>86</v>
      </c>
      <c r="C28" t="s">
        <v>87</v>
      </c>
      <c r="D28" t="s">
        <v>13</v>
      </c>
      <c r="E28" t="s">
        <v>69</v>
      </c>
      <c r="F28">
        <v>1</v>
      </c>
      <c r="G28" s="1">
        <v>48895</v>
      </c>
      <c r="H28">
        <v>1892.8</v>
      </c>
      <c r="I28" t="s">
        <v>88</v>
      </c>
      <c r="J28" s="1">
        <v>1575</v>
      </c>
      <c r="K28" t="s">
        <v>16</v>
      </c>
      <c r="M28">
        <f t="shared" si="1"/>
        <v>48895</v>
      </c>
    </row>
    <row r="29" spans="1:13" x14ac:dyDescent="0.25">
      <c r="A29">
        <v>47</v>
      </c>
      <c r="B29" t="s">
        <v>89</v>
      </c>
      <c r="C29" t="s">
        <v>90</v>
      </c>
      <c r="D29" t="s">
        <v>13</v>
      </c>
      <c r="E29" t="s">
        <v>85</v>
      </c>
      <c r="F29">
        <v>1</v>
      </c>
      <c r="G29" s="1">
        <v>47047</v>
      </c>
      <c r="H29">
        <v>922.09</v>
      </c>
      <c r="I29">
        <v>941.2</v>
      </c>
      <c r="J29">
        <v>943</v>
      </c>
      <c r="K29">
        <v>1.27659574468089E-3</v>
      </c>
      <c r="M29">
        <f t="shared" si="1"/>
        <v>47047</v>
      </c>
    </row>
    <row r="30" spans="1:13" x14ac:dyDescent="0.25">
      <c r="A30">
        <v>1020</v>
      </c>
      <c r="B30" t="s">
        <v>91</v>
      </c>
      <c r="C30" t="s">
        <v>92</v>
      </c>
      <c r="D30" t="s">
        <v>13</v>
      </c>
      <c r="E30" t="s">
        <v>93</v>
      </c>
      <c r="F30">
        <v>7</v>
      </c>
      <c r="G30" s="1">
        <v>85146</v>
      </c>
      <c r="H30">
        <v>121.917</v>
      </c>
      <c r="I30">
        <v>121.6</v>
      </c>
      <c r="J30" s="1">
        <v>-195</v>
      </c>
      <c r="K30">
        <v>1.1815609918455599E-2</v>
      </c>
      <c r="M30">
        <f t="shared" si="1"/>
        <v>12163.714285714286</v>
      </c>
    </row>
    <row r="31" spans="1:13" x14ac:dyDescent="0.25">
      <c r="A31" s="1">
        <v>1104</v>
      </c>
      <c r="B31" t="s">
        <v>94</v>
      </c>
      <c r="C31" t="s">
        <v>95</v>
      </c>
      <c r="D31" t="s">
        <v>13</v>
      </c>
      <c r="E31" t="s">
        <v>85</v>
      </c>
      <c r="F31">
        <v>1</v>
      </c>
      <c r="G31" s="1">
        <v>139454</v>
      </c>
      <c r="H31">
        <v>26.996500000000001</v>
      </c>
      <c r="I31">
        <v>28.02</v>
      </c>
      <c r="J31" s="1">
        <v>4472</v>
      </c>
      <c r="K31">
        <v>1.26490784242861E-2</v>
      </c>
      <c r="M31">
        <f t="shared" si="1"/>
        <v>139454</v>
      </c>
    </row>
    <row r="32" spans="1:13" x14ac:dyDescent="0.25">
      <c r="A32">
        <v>70</v>
      </c>
      <c r="B32" t="s">
        <v>96</v>
      </c>
      <c r="C32" t="s">
        <v>97</v>
      </c>
      <c r="D32" t="s">
        <v>13</v>
      </c>
      <c r="E32" t="s">
        <v>69</v>
      </c>
      <c r="F32">
        <v>1</v>
      </c>
      <c r="G32" s="1">
        <v>89200</v>
      </c>
      <c r="H32">
        <v>17746.3</v>
      </c>
      <c r="I32" t="s">
        <v>98</v>
      </c>
      <c r="J32">
        <v>469</v>
      </c>
      <c r="K32" t="s">
        <v>16</v>
      </c>
      <c r="M32">
        <f t="shared" si="1"/>
        <v>89200</v>
      </c>
    </row>
    <row r="33" spans="1:13" x14ac:dyDescent="0.25">
      <c r="A33">
        <v>-215</v>
      </c>
      <c r="B33" t="s">
        <v>99</v>
      </c>
      <c r="C33" t="s">
        <v>100</v>
      </c>
      <c r="D33" t="s">
        <v>13</v>
      </c>
      <c r="E33" t="s">
        <v>80</v>
      </c>
      <c r="F33">
        <v>17</v>
      </c>
      <c r="G33" s="1">
        <v>7078727</v>
      </c>
      <c r="H33">
        <v>99.930760000000006</v>
      </c>
      <c r="I33" t="s">
        <v>101</v>
      </c>
      <c r="J33">
        <v>-268</v>
      </c>
      <c r="K33" t="s">
        <v>16</v>
      </c>
      <c r="M33">
        <f t="shared" si="1"/>
        <v>416395.70588235295</v>
      </c>
    </row>
    <row r="34" spans="1:13" x14ac:dyDescent="0.25">
      <c r="A34">
        <v>-168</v>
      </c>
      <c r="B34" t="s">
        <v>102</v>
      </c>
      <c r="C34" t="s">
        <v>103</v>
      </c>
      <c r="D34" t="s">
        <v>13</v>
      </c>
      <c r="E34" t="s">
        <v>80</v>
      </c>
      <c r="F34">
        <v>28</v>
      </c>
      <c r="G34" s="1">
        <v>6993707</v>
      </c>
      <c r="H34">
        <v>99.912710000000004</v>
      </c>
      <c r="I34" t="s">
        <v>104</v>
      </c>
      <c r="J34">
        <v>-183</v>
      </c>
      <c r="K34" t="s">
        <v>16</v>
      </c>
      <c r="M34">
        <f t="shared" si="1"/>
        <v>249775.25</v>
      </c>
    </row>
    <row r="35" spans="1:13" x14ac:dyDescent="0.25">
      <c r="A35" s="1">
        <v>-547</v>
      </c>
      <c r="B35" t="s">
        <v>105</v>
      </c>
      <c r="C35" t="s">
        <v>106</v>
      </c>
      <c r="D35" t="s">
        <v>13</v>
      </c>
      <c r="E35" t="s">
        <v>107</v>
      </c>
      <c r="F35">
        <v>12</v>
      </c>
      <c r="G35" s="1">
        <v>1906516</v>
      </c>
      <c r="H35">
        <v>159.22812500000001</v>
      </c>
      <c r="I35" t="s">
        <v>108</v>
      </c>
      <c r="J35" s="1">
        <v>-4204</v>
      </c>
      <c r="K35">
        <v>0</v>
      </c>
      <c r="M35">
        <f t="shared" si="1"/>
        <v>158876.33333333334</v>
      </c>
    </row>
    <row r="36" spans="1:13" x14ac:dyDescent="0.25">
      <c r="A36" s="1">
        <v>-737</v>
      </c>
      <c r="B36" t="s">
        <v>109</v>
      </c>
      <c r="C36" t="s">
        <v>110</v>
      </c>
      <c r="D36" t="s">
        <v>13</v>
      </c>
      <c r="E36" t="s">
        <v>107</v>
      </c>
      <c r="F36">
        <v>9</v>
      </c>
      <c r="G36" s="1">
        <v>1964076</v>
      </c>
      <c r="H36">
        <v>221.80013199999999</v>
      </c>
      <c r="I36" t="s">
        <v>111</v>
      </c>
      <c r="J36" s="1">
        <v>-32125</v>
      </c>
      <c r="K36">
        <v>-1.4313999999999999E-4</v>
      </c>
      <c r="M36">
        <f t="shared" si="1"/>
        <v>218230.66666666666</v>
      </c>
    </row>
    <row r="37" spans="1:13" x14ac:dyDescent="0.25">
      <c r="A37" s="1">
        <v>-687</v>
      </c>
      <c r="B37" t="s">
        <v>112</v>
      </c>
      <c r="C37" t="s">
        <v>113</v>
      </c>
      <c r="D37" t="s">
        <v>13</v>
      </c>
      <c r="E37" t="s">
        <v>107</v>
      </c>
      <c r="F37">
        <v>11</v>
      </c>
      <c r="G37" s="1">
        <v>1921906</v>
      </c>
      <c r="H37">
        <v>176.13124999999999</v>
      </c>
      <c r="I37" t="s">
        <v>114</v>
      </c>
      <c r="J37" s="1">
        <v>-15516</v>
      </c>
      <c r="K37">
        <v>-1.7878999999999999E-4</v>
      </c>
      <c r="M37">
        <f t="shared" si="1"/>
        <v>174718.72727272726</v>
      </c>
    </row>
    <row r="38" spans="1:13" x14ac:dyDescent="0.25">
      <c r="A38">
        <v>-563</v>
      </c>
      <c r="B38" t="s">
        <v>115</v>
      </c>
      <c r="C38" t="s">
        <v>116</v>
      </c>
      <c r="D38" t="s">
        <v>13</v>
      </c>
      <c r="E38" t="s">
        <v>107</v>
      </c>
      <c r="F38">
        <v>15</v>
      </c>
      <c r="G38" s="1">
        <v>1889320</v>
      </c>
      <c r="H38">
        <v>125.8078125</v>
      </c>
      <c r="I38" t="s">
        <v>117</v>
      </c>
      <c r="J38">
        <v>2214</v>
      </c>
      <c r="K38">
        <v>-3.1003999999999998E-4</v>
      </c>
      <c r="M38">
        <f t="shared" si="1"/>
        <v>125954.66666666667</v>
      </c>
    </row>
    <row r="39" spans="1:13" x14ac:dyDescent="0.25">
      <c r="A39" s="1">
        <v>-656</v>
      </c>
      <c r="B39" t="s">
        <v>118</v>
      </c>
      <c r="C39" t="s">
        <v>119</v>
      </c>
      <c r="D39" t="s">
        <v>13</v>
      </c>
      <c r="E39" t="s">
        <v>107</v>
      </c>
      <c r="F39">
        <v>14</v>
      </c>
      <c r="G39" s="1">
        <v>1946656</v>
      </c>
      <c r="H39">
        <v>138.99528169999999</v>
      </c>
      <c r="I39" t="s">
        <v>120</v>
      </c>
      <c r="J39" s="1">
        <v>722</v>
      </c>
      <c r="K39">
        <v>-2.2467E-4</v>
      </c>
      <c r="M39">
        <f t="shared" si="1"/>
        <v>139046.85714285713</v>
      </c>
    </row>
    <row r="40" spans="1:13" x14ac:dyDescent="0.25">
      <c r="A40">
        <v>-348</v>
      </c>
      <c r="B40" t="s">
        <v>121</v>
      </c>
      <c r="C40" t="s">
        <v>122</v>
      </c>
      <c r="D40" t="s">
        <v>13</v>
      </c>
      <c r="E40" t="s">
        <v>107</v>
      </c>
      <c r="F40">
        <v>17</v>
      </c>
      <c r="G40" s="1">
        <v>7078240</v>
      </c>
      <c r="H40">
        <v>99.917000000000002</v>
      </c>
      <c r="I40">
        <v>99.924999999999997</v>
      </c>
      <c r="J40">
        <v>250</v>
      </c>
      <c r="K40">
        <v>0</v>
      </c>
      <c r="M40">
        <f t="shared" si="1"/>
        <v>416367.0588235294</v>
      </c>
    </row>
    <row r="41" spans="1:13" x14ac:dyDescent="0.25">
      <c r="A41" s="1">
        <v>748</v>
      </c>
      <c r="B41" t="s">
        <v>123</v>
      </c>
      <c r="C41" t="s">
        <v>124</v>
      </c>
      <c r="D41" t="s">
        <v>13</v>
      </c>
      <c r="E41" t="s">
        <v>69</v>
      </c>
      <c r="F41">
        <v>1</v>
      </c>
      <c r="G41" s="1">
        <v>62442</v>
      </c>
      <c r="H41">
        <v>2388.0500000000002</v>
      </c>
      <c r="I41" t="s">
        <v>125</v>
      </c>
      <c r="J41" s="1">
        <v>2740</v>
      </c>
      <c r="K41" t="s">
        <v>16</v>
      </c>
      <c r="M41">
        <f t="shared" si="1"/>
        <v>62442</v>
      </c>
    </row>
    <row r="42" spans="1:13" x14ac:dyDescent="0.25">
      <c r="A42">
        <v>-172</v>
      </c>
      <c r="B42" t="s">
        <v>126</v>
      </c>
      <c r="C42" t="s">
        <v>127</v>
      </c>
      <c r="D42" t="s">
        <v>13</v>
      </c>
      <c r="E42" t="s">
        <v>107</v>
      </c>
      <c r="F42">
        <v>9</v>
      </c>
      <c r="G42" s="1">
        <v>1988336</v>
      </c>
      <c r="H42">
        <v>110.4421875</v>
      </c>
      <c r="I42" t="s">
        <v>128</v>
      </c>
      <c r="J42">
        <v>379</v>
      </c>
      <c r="K42">
        <v>-7.0720000000000001E-5</v>
      </c>
      <c r="M42">
        <f t="shared" si="1"/>
        <v>220926.22222222222</v>
      </c>
    </row>
    <row r="43" spans="1:13" x14ac:dyDescent="0.25">
      <c r="B43" t="s">
        <v>129</v>
      </c>
      <c r="C43" t="s">
        <v>130</v>
      </c>
      <c r="M43">
        <v>134337.258</v>
      </c>
    </row>
    <row r="44" spans="1:13" x14ac:dyDescent="0.25">
      <c r="B44" t="s">
        <v>131</v>
      </c>
      <c r="C44" t="s">
        <v>132</v>
      </c>
      <c r="M44">
        <v>166787.31562499999</v>
      </c>
    </row>
    <row r="45" spans="1:13" x14ac:dyDescent="0.25">
      <c r="B45" t="s">
        <v>133</v>
      </c>
      <c r="C45" t="s">
        <v>134</v>
      </c>
      <c r="M45">
        <v>181402.95491999999</v>
      </c>
    </row>
    <row r="46" spans="1:13" x14ac:dyDescent="0.25">
      <c r="B46" t="s">
        <v>135</v>
      </c>
      <c r="C46" t="s">
        <v>136</v>
      </c>
      <c r="M46">
        <v>735689.85</v>
      </c>
    </row>
    <row r="47" spans="1:13" x14ac:dyDescent="0.25">
      <c r="M47" t="e">
        <f>G47/F47</f>
        <v>#DIV/0!</v>
      </c>
    </row>
    <row r="48" spans="1:13" x14ac:dyDescent="0.25">
      <c r="M48" t="e">
        <f>G48/F48</f>
        <v>#DIV/0!</v>
      </c>
    </row>
    <row r="49" spans="13:13" x14ac:dyDescent="0.25">
      <c r="M49" t="e">
        <f>G49/F49</f>
        <v>#DIV/0!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5"/>
  <sheetViews>
    <sheetView zoomScaleNormal="100" workbookViewId="0">
      <pane xSplit="2" topLeftCell="E1" activePane="topRight" state="frozen"/>
      <selection pane="topRight" activeCell="P7" sqref="P7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4" width="10.5703125" style="2" customWidth="1"/>
    <col min="15" max="15" width="13" style="2" customWidth="1"/>
    <col min="16" max="16" width="14.7109375" style="2" bestFit="1" customWidth="1"/>
    <col min="17" max="18" width="10.85546875" style="2" customWidth="1"/>
    <col min="19" max="19" width="11.28515625" style="2" customWidth="1"/>
    <col min="20" max="1024" width="9.140625" style="2"/>
  </cols>
  <sheetData>
    <row r="1" spans="1:19" s="2" customFormat="1" ht="25.5" x14ac:dyDescent="0.2">
      <c r="A1" s="3"/>
      <c r="B1" s="3" t="s">
        <v>137</v>
      </c>
      <c r="C1" s="4">
        <v>44064</v>
      </c>
      <c r="D1" s="5"/>
      <c r="E1" s="6" t="s">
        <v>138</v>
      </c>
      <c r="F1" s="7"/>
      <c r="G1" s="8"/>
      <c r="K1" s="9" t="s">
        <v>139</v>
      </c>
      <c r="L1" s="9" t="s">
        <v>140</v>
      </c>
      <c r="M1" s="10" t="s">
        <v>141</v>
      </c>
    </row>
    <row r="2" spans="1:19" x14ac:dyDescent="0.25">
      <c r="A2" s="3"/>
      <c r="B2" s="3" t="s">
        <v>142</v>
      </c>
      <c r="C2" s="11">
        <v>6.5</v>
      </c>
      <c r="D2" s="12"/>
      <c r="E2" s="13">
        <f>SUM(E32,E44,E56,E76,E34)</f>
        <v>52363952.406385951</v>
      </c>
      <c r="F2" s="14"/>
      <c r="G2" s="15"/>
      <c r="H2" s="12"/>
      <c r="I2" s="12"/>
      <c r="J2" s="12"/>
      <c r="K2" s="13">
        <f>SUM(K32,K44,K56,K76,K34)</f>
        <v>53050268.367562726</v>
      </c>
      <c r="L2" s="16">
        <f>SUM(L56,L76,L44,L32,L34)</f>
        <v>0.99999999999999989</v>
      </c>
      <c r="M2" s="17">
        <f>K2/$C$6</f>
        <v>6.5852129761568206</v>
      </c>
      <c r="P2" s="18"/>
    </row>
    <row r="3" spans="1:19" ht="26.25" x14ac:dyDescent="0.25">
      <c r="A3" s="3"/>
      <c r="B3" s="3" t="s">
        <v>143</v>
      </c>
      <c r="C3" s="19">
        <v>8055968.5099999998</v>
      </c>
      <c r="D3" s="20"/>
      <c r="E3" s="6" t="s">
        <v>144</v>
      </c>
      <c r="F3" s="14"/>
      <c r="G3" s="15"/>
      <c r="H3" s="12"/>
      <c r="I3" s="12"/>
      <c r="J3" s="12"/>
      <c r="K3" s="9" t="s">
        <v>139</v>
      </c>
      <c r="L3" s="12"/>
      <c r="M3" s="10" t="s">
        <v>145</v>
      </c>
      <c r="P3" s="21"/>
    </row>
    <row r="4" spans="1:19" x14ac:dyDescent="0.25">
      <c r="A4" s="3"/>
      <c r="B4" s="3" t="s">
        <v>146</v>
      </c>
      <c r="C4" s="19">
        <v>0</v>
      </c>
      <c r="D4" s="20"/>
      <c r="E4" s="13">
        <f>SUM(E32,E76,E34)</f>
        <v>9163873.6353062596</v>
      </c>
      <c r="F4" s="14"/>
      <c r="G4" s="15"/>
      <c r="H4" s="12"/>
      <c r="I4" s="12"/>
      <c r="J4" s="12"/>
      <c r="K4" s="13">
        <f>SUM(K32,K34,K76)</f>
        <v>9389386.675172843</v>
      </c>
      <c r="L4" s="12"/>
      <c r="M4" s="17">
        <f>K4/$C$6</f>
        <v>1.1655192871617672</v>
      </c>
      <c r="P4" s="21"/>
    </row>
    <row r="5" spans="1:19" x14ac:dyDescent="0.25">
      <c r="A5" s="3"/>
      <c r="B5" s="3" t="s">
        <v>147</v>
      </c>
      <c r="C5" s="19">
        <v>0</v>
      </c>
      <c r="D5" s="20"/>
      <c r="E5" s="14"/>
      <c r="F5" s="14"/>
      <c r="G5" s="213">
        <f>SUM(D32,D34,D44,D56,D76)</f>
        <v>1.000003</v>
      </c>
      <c r="H5" s="12"/>
      <c r="I5" s="12"/>
      <c r="J5" s="12"/>
      <c r="K5" s="12"/>
      <c r="L5" s="12"/>
      <c r="M5" s="12"/>
      <c r="P5" s="21"/>
    </row>
    <row r="6" spans="1:19" x14ac:dyDescent="0.25">
      <c r="A6" s="3"/>
      <c r="B6" s="3" t="s">
        <v>148</v>
      </c>
      <c r="C6" s="19">
        <f>C3+C4-C5</f>
        <v>8055968.5099999998</v>
      </c>
      <c r="D6" s="20"/>
      <c r="E6" s="14"/>
      <c r="F6" s="14"/>
      <c r="G6" s="15"/>
      <c r="H6" s="12"/>
      <c r="I6" s="12"/>
      <c r="J6" s="12"/>
      <c r="K6" s="12"/>
      <c r="L6" s="12"/>
      <c r="M6" s="12"/>
      <c r="P6" s="21"/>
    </row>
    <row r="7" spans="1:19" x14ac:dyDescent="0.25">
      <c r="A7" s="22"/>
      <c r="B7" s="23"/>
      <c r="C7" s="23"/>
      <c r="D7" s="24"/>
      <c r="E7" s="25"/>
      <c r="F7" s="25"/>
      <c r="G7" s="25"/>
      <c r="H7" s="26"/>
      <c r="I7" s="26"/>
      <c r="J7" s="26"/>
      <c r="K7" s="12"/>
      <c r="L7" s="12"/>
      <c r="M7" s="12"/>
      <c r="P7" s="219">
        <f>SUM(P9:P65)/2</f>
        <v>12348351.346218644</v>
      </c>
    </row>
    <row r="8" spans="1:19" s="30" customFormat="1" ht="38.25" x14ac:dyDescent="0.2">
      <c r="A8" s="27" t="s">
        <v>149</v>
      </c>
      <c r="B8" s="27" t="s">
        <v>150</v>
      </c>
      <c r="C8" s="28" t="s">
        <v>1</v>
      </c>
      <c r="D8" s="28" t="s">
        <v>151</v>
      </c>
      <c r="E8" s="28" t="s">
        <v>152</v>
      </c>
      <c r="F8" s="28" t="s">
        <v>153</v>
      </c>
      <c r="G8" s="28" t="s">
        <v>154</v>
      </c>
      <c r="H8" s="28" t="s">
        <v>155</v>
      </c>
      <c r="I8" s="28" t="s">
        <v>156</v>
      </c>
      <c r="J8" s="28" t="s">
        <v>157</v>
      </c>
      <c r="K8" s="29" t="s">
        <v>158</v>
      </c>
      <c r="L8" s="29" t="s">
        <v>159</v>
      </c>
      <c r="M8" s="29" t="s">
        <v>160</v>
      </c>
      <c r="P8" s="31"/>
      <c r="S8" s="32"/>
    </row>
    <row r="9" spans="1:19" s="41" customFormat="1" ht="12.75" x14ac:dyDescent="0.2">
      <c r="A9" s="33" t="s">
        <v>161</v>
      </c>
      <c r="B9" s="33" t="s">
        <v>41</v>
      </c>
      <c r="C9" s="33" t="s">
        <v>42</v>
      </c>
      <c r="D9" s="34">
        <v>5.1919999999999996E-3</v>
      </c>
      <c r="E9" s="35">
        <f>'Aug 21'!$D9*$C$6*$C$2</f>
        <v>271872.82527547993</v>
      </c>
      <c r="F9" s="35">
        <v>486.61965811965803</v>
      </c>
      <c r="G9" s="36">
        <f>'Aug 21'!$E9/'Aug 21'!$F9</f>
        <v>558.69675780469061</v>
      </c>
      <c r="H9" s="33">
        <v>702</v>
      </c>
      <c r="I9" s="33">
        <v>559</v>
      </c>
      <c r="J9" s="37">
        <f t="shared" ref="J9:J30" si="0">I9-H9</f>
        <v>-143</v>
      </c>
      <c r="K9" s="38">
        <f>'Aug 21'!$F9*'Aug 21'!$I9</f>
        <v>272020.38888888882</v>
      </c>
      <c r="L9" s="39">
        <f>'Aug 21'!$K9/$K$2</f>
        <v>5.1275968484113098E-3</v>
      </c>
      <c r="M9" s="40"/>
      <c r="O9" s="2">
        <f>Table13895845679910[[#This Row],[Change]]*Table13895845679910[[#This Row],[Last price]]</f>
        <v>-69586.611111111095</v>
      </c>
      <c r="P9" s="42">
        <f>ABS(O9)</f>
        <v>69586.611111111095</v>
      </c>
    </row>
    <row r="10" spans="1:19" s="41" customFormat="1" ht="25.5" customHeight="1" x14ac:dyDescent="0.2">
      <c r="A10" s="33" t="s">
        <v>161</v>
      </c>
      <c r="B10" s="33" t="s">
        <v>47</v>
      </c>
      <c r="C10" s="33" t="s">
        <v>48</v>
      </c>
      <c r="D10" s="34">
        <v>1.0385E-2</v>
      </c>
      <c r="E10" s="35">
        <f>'Aug 21'!$D10*$C$6*$C$2</f>
        <v>543798.01434627501</v>
      </c>
      <c r="F10" s="35">
        <v>616.88958147818403</v>
      </c>
      <c r="G10" s="36">
        <f>'Aug 21'!$E10/'Aug 21'!$F10</f>
        <v>881.51596440197966</v>
      </c>
      <c r="H10" s="33">
        <v>1123</v>
      </c>
      <c r="I10" s="33">
        <v>882</v>
      </c>
      <c r="J10" s="37">
        <f t="shared" si="0"/>
        <v>-241</v>
      </c>
      <c r="K10" s="38">
        <f>'Aug 21'!$F10*'Aug 21'!$I10</f>
        <v>544096.61086375837</v>
      </c>
      <c r="L10" s="39">
        <f>'Aug 21'!$K10/$K$2</f>
        <v>1.0256246153062688E-2</v>
      </c>
      <c r="M10" s="40"/>
      <c r="O10" s="2">
        <f>Table13895845679910[[#This Row],[Change]]*Table13895845679910[[#This Row],[Last price]]</f>
        <v>-148670.38913624236</v>
      </c>
      <c r="P10" s="42">
        <f t="shared" ref="P10:P65" si="1">ABS(O10)</f>
        <v>148670.38913624236</v>
      </c>
    </row>
    <row r="11" spans="1:19" s="41" customFormat="1" ht="12.75" customHeight="1" x14ac:dyDescent="0.2">
      <c r="A11" s="33" t="s">
        <v>161</v>
      </c>
      <c r="B11" s="33" t="s">
        <v>50</v>
      </c>
      <c r="C11" s="33" t="s">
        <v>51</v>
      </c>
      <c r="D11" s="34">
        <v>1.0385E-2</v>
      </c>
      <c r="E11" s="35">
        <f>'Aug 21'!$D11*$C$6*$C$2</f>
        <v>543798.01434627501</v>
      </c>
      <c r="F11" s="35">
        <v>2041</v>
      </c>
      <c r="G11" s="36">
        <f>'Aug 21'!$E11/'Aug 21'!$F11</f>
        <v>266.43704769538215</v>
      </c>
      <c r="H11" s="33">
        <v>380</v>
      </c>
      <c r="I11" s="33">
        <v>266</v>
      </c>
      <c r="J11" s="37">
        <f t="shared" si="0"/>
        <v>-114</v>
      </c>
      <c r="K11" s="38">
        <f>'Aug 21'!$F11*'Aug 21'!$I11</f>
        <v>542906</v>
      </c>
      <c r="L11" s="39">
        <f>'Aug 21'!$K11/$K$2</f>
        <v>1.0233803083491217E-2</v>
      </c>
      <c r="M11" s="40"/>
      <c r="O11" s="2">
        <f>Table13895845679910[[#This Row],[Change]]*Table13895845679910[[#This Row],[Last price]]</f>
        <v>-232674</v>
      </c>
      <c r="P11" s="42">
        <f t="shared" si="1"/>
        <v>232674</v>
      </c>
    </row>
    <row r="12" spans="1:19" s="41" customFormat="1" ht="12.75" customHeight="1" x14ac:dyDescent="0.2">
      <c r="A12" s="33" t="s">
        <v>161</v>
      </c>
      <c r="B12" s="33" t="s">
        <v>61</v>
      </c>
      <c r="C12" s="33" t="s">
        <v>62</v>
      </c>
      <c r="D12" s="34">
        <v>0</v>
      </c>
      <c r="E12" s="35">
        <f>'Aug 21'!$D12*$C$6*$C$2</f>
        <v>0</v>
      </c>
      <c r="F12" s="35">
        <v>476.250164581962</v>
      </c>
      <c r="G12" s="36">
        <f>'Aug 21'!$E12/'Aug 21'!$F12</f>
        <v>0</v>
      </c>
      <c r="H12" s="33">
        <v>1519</v>
      </c>
      <c r="I12" s="33">
        <v>0</v>
      </c>
      <c r="J12" s="37">
        <f t="shared" si="0"/>
        <v>-1519</v>
      </c>
      <c r="K12" s="38">
        <f>'Aug 21'!$F12*'Aug 21'!$I12</f>
        <v>0</v>
      </c>
      <c r="L12" s="39">
        <f>'Aug 21'!$K12/$K$2</f>
        <v>0</v>
      </c>
      <c r="M12" s="40"/>
      <c r="O12" s="2">
        <f>Table13895845679910[[#This Row],[Change]]*Table13895845679910[[#This Row],[Last price]]</f>
        <v>-723424.00000000023</v>
      </c>
      <c r="P12" s="42">
        <f t="shared" si="1"/>
        <v>723424.00000000023</v>
      </c>
    </row>
    <row r="13" spans="1:19" s="41" customFormat="1" ht="12.75" customHeight="1" x14ac:dyDescent="0.2">
      <c r="A13" s="33" t="s">
        <v>161</v>
      </c>
      <c r="B13" s="33" t="s">
        <v>164</v>
      </c>
      <c r="C13" s="33" t="s">
        <v>165</v>
      </c>
      <c r="D13" s="34">
        <v>0</v>
      </c>
      <c r="E13" s="35">
        <f>'Aug 21'!$D13*$C$6*$C$2</f>
        <v>0</v>
      </c>
      <c r="F13" s="35">
        <v>431.87982289690098</v>
      </c>
      <c r="G13" s="36">
        <f>'Aug 21'!$E13/'Aug 21'!$F13</f>
        <v>0</v>
      </c>
      <c r="H13" s="33">
        <v>1581</v>
      </c>
      <c r="I13" s="33">
        <v>0</v>
      </c>
      <c r="J13" s="37">
        <f t="shared" si="0"/>
        <v>-1581</v>
      </c>
      <c r="K13" s="38">
        <f>'Aug 21'!$F13*'Aug 21'!$I13</f>
        <v>0</v>
      </c>
      <c r="L13" s="39">
        <f>'Aug 21'!$K13/$K$2</f>
        <v>0</v>
      </c>
      <c r="M13" s="40"/>
      <c r="O13" s="2">
        <f>Table13895845679910[[#This Row],[Change]]*Table13895845679910[[#This Row],[Last price]]</f>
        <v>-682802.00000000047</v>
      </c>
      <c r="P13" s="42">
        <f t="shared" si="1"/>
        <v>682802.00000000047</v>
      </c>
    </row>
    <row r="14" spans="1:19" s="41" customFormat="1" ht="12.75" customHeight="1" x14ac:dyDescent="0.2">
      <c r="A14" s="33" t="s">
        <v>161</v>
      </c>
      <c r="B14" s="33" t="s">
        <v>53</v>
      </c>
      <c r="C14" s="33" t="s">
        <v>54</v>
      </c>
      <c r="D14" s="34">
        <v>0</v>
      </c>
      <c r="E14" s="35">
        <f>'Aug 21'!$D14*$C$6*$C$2</f>
        <v>0</v>
      </c>
      <c r="F14" s="35">
        <v>275.50019723865898</v>
      </c>
      <c r="G14" s="36">
        <f>'Aug 21'!$E14/'Aug 21'!$F14</f>
        <v>0</v>
      </c>
      <c r="H14" s="33">
        <v>2535</v>
      </c>
      <c r="I14" s="33">
        <v>0</v>
      </c>
      <c r="J14" s="37">
        <f t="shared" si="0"/>
        <v>-2535</v>
      </c>
      <c r="K14" s="38">
        <f>'Aug 21'!$F14*'Aug 21'!$I14</f>
        <v>0</v>
      </c>
      <c r="L14" s="39">
        <f>'Aug 21'!$K14/$K$2</f>
        <v>0</v>
      </c>
      <c r="M14" s="40"/>
      <c r="O14" s="2">
        <f>Table13895845679910[[#This Row],[Change]]*Table13895845679910[[#This Row],[Last price]]</f>
        <v>-698393.00000000058</v>
      </c>
      <c r="P14" s="42">
        <f t="shared" si="1"/>
        <v>698393.00000000058</v>
      </c>
    </row>
    <row r="15" spans="1:19" s="41" customFormat="1" ht="12.75" customHeight="1" x14ac:dyDescent="0.2">
      <c r="A15" s="33" t="s">
        <v>161</v>
      </c>
      <c r="B15" s="33" t="s">
        <v>35</v>
      </c>
      <c r="C15" s="33" t="s">
        <v>36</v>
      </c>
      <c r="D15" s="34">
        <v>5.1919999999999996E-3</v>
      </c>
      <c r="E15" s="35">
        <f>'Aug 21'!$D15*$C$6*$C$2</f>
        <v>271872.82527547993</v>
      </c>
      <c r="F15" s="35">
        <v>74.380032828039006</v>
      </c>
      <c r="G15" s="36">
        <f>'Aug 21'!$E15/'Aug 21'!$F15</f>
        <v>3655.1856047715019</v>
      </c>
      <c r="H15" s="33">
        <v>10357</v>
      </c>
      <c r="I15" s="33">
        <v>3655</v>
      </c>
      <c r="J15" s="37">
        <f t="shared" si="0"/>
        <v>-6702</v>
      </c>
      <c r="K15" s="38">
        <f>'Aug 21'!$F15*'Aug 21'!$I15</f>
        <v>271859.01998648257</v>
      </c>
      <c r="L15" s="39">
        <f>'Aug 21'!$K15/$K$2</f>
        <v>5.1245550371750645E-3</v>
      </c>
      <c r="M15" s="40"/>
      <c r="O15" s="2">
        <f>Table13895845679910[[#This Row],[Change]]*Table13895845679910[[#This Row],[Last price]]</f>
        <v>-498494.98001351743</v>
      </c>
      <c r="P15" s="42">
        <f t="shared" si="1"/>
        <v>498494.98001351743</v>
      </c>
    </row>
    <row r="16" spans="1:19" s="44" customFormat="1" ht="12.75" customHeight="1" x14ac:dyDescent="0.2">
      <c r="A16" s="33" t="s">
        <v>161</v>
      </c>
      <c r="B16" s="43" t="s">
        <v>17</v>
      </c>
      <c r="C16" s="33" t="s">
        <v>170</v>
      </c>
      <c r="D16" s="34">
        <v>0</v>
      </c>
      <c r="E16" s="35">
        <f>'Aug 21'!$D16*$C$6*$C$2</f>
        <v>0</v>
      </c>
      <c r="F16" s="35">
        <v>82.850047303689706</v>
      </c>
      <c r="G16" s="36">
        <f>'Aug 21'!$E16/'Aug 21'!$F16</f>
        <v>0</v>
      </c>
      <c r="H16" s="33">
        <v>4228</v>
      </c>
      <c r="I16" s="33">
        <v>0</v>
      </c>
      <c r="J16" s="37">
        <f t="shared" si="0"/>
        <v>-4228</v>
      </c>
      <c r="K16" s="38">
        <f>'Aug 21'!$F16*'Aug 21'!$I16</f>
        <v>0</v>
      </c>
      <c r="L16" s="39">
        <f>'Aug 21'!$K16/$K$2</f>
        <v>0</v>
      </c>
      <c r="M16" s="33"/>
      <c r="O16" s="2">
        <f>Table13895845679910[[#This Row],[Change]]*Table13895845679910[[#This Row],[Last price]]</f>
        <v>-350290.00000000006</v>
      </c>
      <c r="P16" s="42">
        <f t="shared" si="1"/>
        <v>350290.00000000006</v>
      </c>
    </row>
    <row r="17" spans="1:16" s="44" customFormat="1" ht="12.75" customHeight="1" x14ac:dyDescent="0.2">
      <c r="A17" s="33" t="s">
        <v>161</v>
      </c>
      <c r="B17" s="43" t="s">
        <v>232</v>
      </c>
      <c r="C17" s="33" t="s">
        <v>233</v>
      </c>
      <c r="D17" s="34">
        <v>0</v>
      </c>
      <c r="E17" s="35">
        <f>'Aug 21'!$D17*$C$6*$C$2</f>
        <v>0</v>
      </c>
      <c r="F17" s="35">
        <v>14.5800075594193</v>
      </c>
      <c r="G17" s="36">
        <f>'Aug 21'!$E17/'Aug 21'!$F17</f>
        <v>0</v>
      </c>
      <c r="H17" s="33">
        <v>44977</v>
      </c>
      <c r="I17" s="33">
        <v>0</v>
      </c>
      <c r="J17" s="37">
        <f t="shared" si="0"/>
        <v>-44977</v>
      </c>
      <c r="K17" s="38">
        <f>'Aug 21'!$F17*'Aug 21'!$I17</f>
        <v>0</v>
      </c>
      <c r="L17" s="39">
        <f>'Aug 21'!$K17/$K$2</f>
        <v>0</v>
      </c>
      <c r="M17" s="33"/>
      <c r="O17" s="2">
        <f>Table13895845679910[[#This Row],[Change]]*Table13895845679910[[#This Row],[Last price]]</f>
        <v>-655765.00000000186</v>
      </c>
      <c r="P17" s="42">
        <f t="shared" si="1"/>
        <v>655765.00000000186</v>
      </c>
    </row>
    <row r="18" spans="1:16" s="44" customFormat="1" ht="12.75" customHeight="1" x14ac:dyDescent="0.2">
      <c r="A18" s="33" t="s">
        <v>161</v>
      </c>
      <c r="B18" s="43" t="s">
        <v>234</v>
      </c>
      <c r="C18" s="33" t="s">
        <v>235</v>
      </c>
      <c r="D18" s="34">
        <v>0</v>
      </c>
      <c r="E18" s="35">
        <f>'Aug 21'!$D18*$C$6*$C$2</f>
        <v>0</v>
      </c>
      <c r="F18" s="35">
        <v>158.54005524861901</v>
      </c>
      <c r="G18" s="36">
        <f>'Aug 21'!$E18/'Aug 21'!$F18</f>
        <v>0</v>
      </c>
      <c r="H18" s="33">
        <v>4344</v>
      </c>
      <c r="I18" s="33">
        <v>0</v>
      </c>
      <c r="J18" s="37">
        <f t="shared" si="0"/>
        <v>-4344</v>
      </c>
      <c r="K18" s="38">
        <f>'Aug 21'!$F18*'Aug 21'!$I18</f>
        <v>0</v>
      </c>
      <c r="L18" s="39">
        <f>'Aug 21'!$K18/$K$2</f>
        <v>0</v>
      </c>
      <c r="M18" s="33"/>
      <c r="O18" s="2">
        <f>Table13895845679910[[#This Row],[Change]]*Table13895845679910[[#This Row],[Last price]]</f>
        <v>-688698.00000000093</v>
      </c>
      <c r="P18" s="42">
        <f t="shared" si="1"/>
        <v>688698.00000000093</v>
      </c>
    </row>
    <row r="19" spans="1:16" s="44" customFormat="1" ht="12.75" customHeight="1" x14ac:dyDescent="0.2">
      <c r="A19" s="33" t="s">
        <v>161</v>
      </c>
      <c r="B19" s="33" t="s">
        <v>236</v>
      </c>
      <c r="C19" s="33" t="s">
        <v>237</v>
      </c>
      <c r="D19" s="34">
        <v>0</v>
      </c>
      <c r="E19" s="35">
        <f>'Aug 21'!$D19*$C$6*$C$2</f>
        <v>0</v>
      </c>
      <c r="F19" s="35">
        <v>35.9200165340498</v>
      </c>
      <c r="G19" s="36">
        <f>'Aug 21'!$E19/'Aug 21'!$F19</f>
        <v>0</v>
      </c>
      <c r="H19" s="33">
        <v>19354</v>
      </c>
      <c r="I19" s="33">
        <v>0</v>
      </c>
      <c r="J19" s="37">
        <f t="shared" si="0"/>
        <v>-19354</v>
      </c>
      <c r="K19" s="38">
        <f>'Aug 21'!$F19*'Aug 21'!$I19</f>
        <v>0</v>
      </c>
      <c r="L19" s="39">
        <f>'Aug 21'!$K19/$K$2</f>
        <v>0</v>
      </c>
      <c r="M19" s="33"/>
      <c r="O19" s="2">
        <f>Table13895845679910[[#This Row],[Change]]*Table13895845679910[[#This Row],[Last price]]</f>
        <v>-695195.99999999988</v>
      </c>
      <c r="P19" s="42">
        <f t="shared" si="1"/>
        <v>695195.99999999988</v>
      </c>
    </row>
    <row r="20" spans="1:16" s="44" customFormat="1" ht="12.75" customHeight="1" x14ac:dyDescent="0.2">
      <c r="A20" s="33" t="s">
        <v>161</v>
      </c>
      <c r="B20" s="33" t="s">
        <v>26</v>
      </c>
      <c r="C20" s="33" t="s">
        <v>27</v>
      </c>
      <c r="D20" s="34">
        <v>1.0385E-2</v>
      </c>
      <c r="E20" s="35">
        <f>'Aug 21'!$D20*$C$6*$C$2</f>
        <v>543798.01434627501</v>
      </c>
      <c r="F20" s="35">
        <v>228.30113452187999</v>
      </c>
      <c r="G20" s="36">
        <f>'Aug 21'!$E20/'Aug 21'!$F20</f>
        <v>2381.933035440778</v>
      </c>
      <c r="H20" s="33">
        <v>3085</v>
      </c>
      <c r="I20" s="33">
        <v>2382</v>
      </c>
      <c r="J20" s="37">
        <f t="shared" si="0"/>
        <v>-703</v>
      </c>
      <c r="K20" s="38">
        <f>'Aug 21'!$F20*'Aug 21'!$I20</f>
        <v>543813.30243111809</v>
      </c>
      <c r="L20" s="39">
        <f>'Aug 21'!$K20/$K$2</f>
        <v>1.0250905776070109E-2</v>
      </c>
      <c r="M20" s="33"/>
      <c r="O20" s="2">
        <f>Table13895845679910[[#This Row],[Change]]*Table13895845679910[[#This Row],[Last price]]</f>
        <v>-160495.69756888165</v>
      </c>
      <c r="P20" s="42">
        <f t="shared" si="1"/>
        <v>160495.69756888165</v>
      </c>
    </row>
    <row r="21" spans="1:16" s="44" customFormat="1" ht="12.75" customHeight="1" x14ac:dyDescent="0.2">
      <c r="A21" s="33" t="s">
        <v>161</v>
      </c>
      <c r="B21" s="33" t="s">
        <v>11</v>
      </c>
      <c r="C21" s="33" t="s">
        <v>12</v>
      </c>
      <c r="D21" s="34">
        <v>0</v>
      </c>
      <c r="E21" s="35">
        <f>'Aug 21'!$D21*$C$6*$C$2</f>
        <v>0</v>
      </c>
      <c r="F21" s="35">
        <v>310.01021314387202</v>
      </c>
      <c r="G21" s="36">
        <f>'Aug 21'!$E21/'Aug 21'!$F21</f>
        <v>0</v>
      </c>
      <c r="H21" s="33">
        <v>2252</v>
      </c>
      <c r="I21" s="33">
        <v>0</v>
      </c>
      <c r="J21" s="37">
        <f t="shared" si="0"/>
        <v>-2252</v>
      </c>
      <c r="K21" s="38">
        <f>'Aug 21'!$F21*'Aug 21'!$I21</f>
        <v>0</v>
      </c>
      <c r="L21" s="39">
        <f>'Aug 21'!$K21/$K$2</f>
        <v>0</v>
      </c>
      <c r="M21" s="33"/>
      <c r="O21" s="2">
        <f>Table13895845679910[[#This Row],[Change]]*Table13895845679910[[#This Row],[Last price]]</f>
        <v>-698142.99999999977</v>
      </c>
      <c r="P21" s="42">
        <f t="shared" si="1"/>
        <v>698142.99999999977</v>
      </c>
    </row>
    <row r="22" spans="1:16" s="44" customFormat="1" ht="12.75" customHeight="1" x14ac:dyDescent="0.2">
      <c r="A22" s="33" t="s">
        <v>161</v>
      </c>
      <c r="B22" s="33" t="s">
        <v>238</v>
      </c>
      <c r="C22" s="33" t="s">
        <v>239</v>
      </c>
      <c r="D22" s="34">
        <v>1.0385E-2</v>
      </c>
      <c r="E22" s="35">
        <f>'Aug 21'!$D22*$C$6*$C$2</f>
        <v>543798.01434627501</v>
      </c>
      <c r="F22" s="35">
        <v>46</v>
      </c>
      <c r="G22" s="36">
        <f>'Aug 21'!$E22/'Aug 21'!$F22</f>
        <v>11821.695964049457</v>
      </c>
      <c r="H22" s="33">
        <v>0</v>
      </c>
      <c r="I22" s="33">
        <v>11822</v>
      </c>
      <c r="J22" s="37">
        <f t="shared" si="0"/>
        <v>11822</v>
      </c>
      <c r="K22" s="38">
        <f>'Aug 21'!$F22*'Aug 21'!$I22</f>
        <v>543812</v>
      </c>
      <c r="L22" s="39">
        <f>'Aug 21'!$K22/$K$2</f>
        <v>1.0250881225183597E-2</v>
      </c>
      <c r="M22" s="33"/>
      <c r="O22" s="2">
        <f>Table13895845679910[[#This Row],[Change]]*Table13895845679910[[#This Row],[Last price]]</f>
        <v>543812</v>
      </c>
      <c r="P22" s="42">
        <f t="shared" si="1"/>
        <v>543812</v>
      </c>
    </row>
    <row r="23" spans="1:16" s="44" customFormat="1" ht="12.75" customHeight="1" x14ac:dyDescent="0.2">
      <c r="A23" s="33" t="s">
        <v>161</v>
      </c>
      <c r="B23" s="33" t="s">
        <v>240</v>
      </c>
      <c r="C23" s="33" t="s">
        <v>241</v>
      </c>
      <c r="D23" s="34">
        <v>1.0385E-2</v>
      </c>
      <c r="E23" s="35">
        <f>'Aug 21'!$D23*$C$6*$C$2</f>
        <v>543798.01434627501</v>
      </c>
      <c r="F23" s="35">
        <v>852.6</v>
      </c>
      <c r="G23" s="36">
        <f>'Aug 21'!$E23/'Aug 21'!$F23</f>
        <v>637.81141724873919</v>
      </c>
      <c r="H23" s="33">
        <v>0</v>
      </c>
      <c r="I23" s="33">
        <v>638</v>
      </c>
      <c r="J23" s="37">
        <f t="shared" si="0"/>
        <v>638</v>
      </c>
      <c r="K23" s="38">
        <f>'Aug 21'!$F23*'Aug 21'!$I23</f>
        <v>543958.80000000005</v>
      </c>
      <c r="L23" s="39">
        <f>'Aug 21'!$K23/$K$2</f>
        <v>1.0253648411939051E-2</v>
      </c>
      <c r="M23" s="33"/>
      <c r="O23" s="2">
        <f>Table13895845679910[[#This Row],[Change]]*Table13895845679910[[#This Row],[Last price]]</f>
        <v>543958.80000000005</v>
      </c>
      <c r="P23" s="42">
        <f t="shared" si="1"/>
        <v>543958.80000000005</v>
      </c>
    </row>
    <row r="24" spans="1:16" s="44" customFormat="1" ht="12.75" customHeight="1" x14ac:dyDescent="0.2">
      <c r="A24" s="33" t="s">
        <v>161</v>
      </c>
      <c r="B24" s="33" t="s">
        <v>242</v>
      </c>
      <c r="C24" s="33" t="s">
        <v>243</v>
      </c>
      <c r="D24" s="34">
        <v>1.0385E-2</v>
      </c>
      <c r="E24" s="35">
        <f>'Aug 21'!$D24*$C$6*$C$2</f>
        <v>543798.01434627501</v>
      </c>
      <c r="F24" s="35">
        <v>247.6</v>
      </c>
      <c r="G24" s="36">
        <f>'Aug 21'!$E24/'Aug 21'!$F24</f>
        <v>2196.2763099607232</v>
      </c>
      <c r="H24" s="33">
        <v>0</v>
      </c>
      <c r="I24" s="33">
        <v>2196</v>
      </c>
      <c r="J24" s="37">
        <f t="shared" si="0"/>
        <v>2196</v>
      </c>
      <c r="K24" s="38">
        <f>'Aug 21'!$F24*'Aug 21'!$I24</f>
        <v>543729.6</v>
      </c>
      <c r="L24" s="39">
        <f>'Aug 21'!$K24/$K$2</f>
        <v>1.0249327981391707E-2</v>
      </c>
      <c r="M24" s="33"/>
      <c r="O24" s="2">
        <f>Table13895845679910[[#This Row],[Change]]*Table13895845679910[[#This Row],[Last price]]</f>
        <v>543729.6</v>
      </c>
      <c r="P24" s="42">
        <f t="shared" si="1"/>
        <v>543729.6</v>
      </c>
    </row>
    <row r="25" spans="1:16" s="44" customFormat="1" ht="12.75" customHeight="1" x14ac:dyDescent="0.2">
      <c r="A25" s="33" t="s">
        <v>161</v>
      </c>
      <c r="B25" s="33" t="s">
        <v>244</v>
      </c>
      <c r="C25" s="33" t="s">
        <v>245</v>
      </c>
      <c r="D25" s="34">
        <v>1.0385E-2</v>
      </c>
      <c r="E25" s="35">
        <f>'Aug 21'!$D25*$C$6*$C$2</f>
        <v>543798.01434627501</v>
      </c>
      <c r="F25" s="35">
        <v>130.09</v>
      </c>
      <c r="G25" s="36">
        <f>'Aug 21'!$E25/'Aug 21'!$F25</f>
        <v>4180.1676865729496</v>
      </c>
      <c r="H25" s="33">
        <v>0</v>
      </c>
      <c r="I25" s="33">
        <v>4180</v>
      </c>
      <c r="J25" s="37">
        <f t="shared" si="0"/>
        <v>4180</v>
      </c>
      <c r="K25" s="38">
        <f>'Aug 21'!$F25*'Aug 21'!$I25</f>
        <v>543776.20000000007</v>
      </c>
      <c r="L25" s="39">
        <f>'Aug 21'!$K25/$K$2</f>
        <v>1.0250206393536151E-2</v>
      </c>
      <c r="M25" s="33"/>
      <c r="O25" s="2">
        <f>Table13895845679910[[#This Row],[Change]]*Table13895845679910[[#This Row],[Last price]]</f>
        <v>543776.20000000007</v>
      </c>
      <c r="P25" s="42">
        <f t="shared" si="1"/>
        <v>543776.20000000007</v>
      </c>
    </row>
    <row r="26" spans="1:16" s="44" customFormat="1" ht="12.75" customHeight="1" x14ac:dyDescent="0.2">
      <c r="A26" s="33" t="s">
        <v>161</v>
      </c>
      <c r="B26" s="33" t="s">
        <v>29</v>
      </c>
      <c r="C26" s="33" t="s">
        <v>30</v>
      </c>
      <c r="D26" s="34">
        <v>1.0385E-2</v>
      </c>
      <c r="E26" s="35">
        <f>'Aug 21'!$D26*$C$6*$C$2</f>
        <v>543798.01434627501</v>
      </c>
      <c r="F26" s="35">
        <v>214.48</v>
      </c>
      <c r="G26" s="36">
        <f>'Aug 21'!$E26/'Aug 21'!$F26</f>
        <v>2535.4252813608496</v>
      </c>
      <c r="H26" s="33">
        <v>0</v>
      </c>
      <c r="I26" s="33">
        <v>2535</v>
      </c>
      <c r="J26" s="37">
        <f t="shared" si="0"/>
        <v>2535</v>
      </c>
      <c r="K26" s="38">
        <f>'Aug 21'!$F26*'Aug 21'!$I26</f>
        <v>543706.79999999993</v>
      </c>
      <c r="L26" s="39">
        <f>'Aug 21'!$K26/$K$2</f>
        <v>1.0248898200342494E-2</v>
      </c>
      <c r="M26" s="33"/>
      <c r="O26" s="2">
        <f>Table13895845679910[[#This Row],[Change]]*Table13895845679910[[#This Row],[Last price]]</f>
        <v>543706.79999999993</v>
      </c>
      <c r="P26" s="42">
        <f t="shared" si="1"/>
        <v>543706.79999999993</v>
      </c>
    </row>
    <row r="27" spans="1:16" s="44" customFormat="1" ht="12.75" customHeight="1" x14ac:dyDescent="0.2">
      <c r="A27" s="33" t="s">
        <v>161</v>
      </c>
      <c r="B27" s="33" t="s">
        <v>246</v>
      </c>
      <c r="C27" s="33" t="s">
        <v>247</v>
      </c>
      <c r="D27" s="34">
        <v>1.0385E-2</v>
      </c>
      <c r="E27" s="35">
        <f>'Aug 21'!$D27*$C$6*$C$2</f>
        <v>543798.01434627501</v>
      </c>
      <c r="F27" s="35">
        <v>131.12</v>
      </c>
      <c r="G27" s="36">
        <f>'Aug 21'!$E27/'Aug 21'!$F27</f>
        <v>4147.3307988581073</v>
      </c>
      <c r="H27" s="33">
        <v>0</v>
      </c>
      <c r="I27" s="33">
        <v>4147</v>
      </c>
      <c r="J27" s="37">
        <f t="shared" si="0"/>
        <v>4147</v>
      </c>
      <c r="K27" s="38">
        <f>'Aug 21'!$F27*'Aug 21'!$I27</f>
        <v>543754.64</v>
      </c>
      <c r="L27" s="39">
        <f>'Aug 21'!$K27/$K$2</f>
        <v>1.0249799986544E-2</v>
      </c>
      <c r="M27" s="33"/>
      <c r="O27" s="2">
        <f>Table13895845679910[[#This Row],[Change]]*Table13895845679910[[#This Row],[Last price]]</f>
        <v>543754.64</v>
      </c>
      <c r="P27" s="42">
        <f t="shared" si="1"/>
        <v>543754.64</v>
      </c>
    </row>
    <row r="28" spans="1:16" s="44" customFormat="1" ht="12.75" customHeight="1" x14ac:dyDescent="0.2">
      <c r="A28" s="33" t="s">
        <v>161</v>
      </c>
      <c r="B28" s="33" t="s">
        <v>38</v>
      </c>
      <c r="C28" s="33" t="s">
        <v>39</v>
      </c>
      <c r="D28" s="34">
        <v>1.0385E-2</v>
      </c>
      <c r="E28" s="35">
        <f>'Aug 21'!$D28*$C$6*$C$2</f>
        <v>543798.01434627501</v>
      </c>
      <c r="F28" s="35">
        <v>67.81</v>
      </c>
      <c r="G28" s="36">
        <f>'Aug 21'!$E28/'Aug 21'!$F28</f>
        <v>8019.4368728251729</v>
      </c>
      <c r="H28" s="33">
        <v>0</v>
      </c>
      <c r="I28" s="33">
        <v>8019</v>
      </c>
      <c r="J28" s="37">
        <f t="shared" si="0"/>
        <v>8019</v>
      </c>
      <c r="K28" s="38">
        <f>'Aug 21'!$F28*'Aug 21'!$I28</f>
        <v>543768.39</v>
      </c>
      <c r="L28" s="39">
        <f>'Aug 21'!$K28/$K$2</f>
        <v>1.0250059174676748E-2</v>
      </c>
      <c r="M28" s="33"/>
      <c r="O28" s="2">
        <f>Table13895845679910[[#This Row],[Change]]*Table13895845679910[[#This Row],[Last price]]</f>
        <v>543768.39</v>
      </c>
      <c r="P28" s="42">
        <f t="shared" si="1"/>
        <v>543768.39</v>
      </c>
    </row>
    <row r="29" spans="1:16" s="44" customFormat="1" ht="12.75" customHeight="1" x14ac:dyDescent="0.2">
      <c r="A29" s="33" t="s">
        <v>161</v>
      </c>
      <c r="B29" s="33" t="s">
        <v>56</v>
      </c>
      <c r="C29" s="33" t="s">
        <v>57</v>
      </c>
      <c r="D29" s="34">
        <v>1.0385E-2</v>
      </c>
      <c r="E29" s="35">
        <f>'Aug 21'!$D29*$C$6*$C$2</f>
        <v>543798.01434627501</v>
      </c>
      <c r="F29" s="35">
        <v>292.99</v>
      </c>
      <c r="G29" s="36">
        <f>'Aug 21'!$E29/'Aug 21'!$F29</f>
        <v>1856.0292649792655</v>
      </c>
      <c r="H29" s="33">
        <v>0</v>
      </c>
      <c r="I29" s="33">
        <v>1856</v>
      </c>
      <c r="J29" s="37">
        <f t="shared" si="0"/>
        <v>1856</v>
      </c>
      <c r="K29" s="38">
        <f>'Aug 21'!$F29*'Aug 21'!$I29</f>
        <v>543789.44000000006</v>
      </c>
      <c r="L29" s="39">
        <f>'Aug 21'!$K29/$K$2</f>
        <v>1.025045596814543E-2</v>
      </c>
      <c r="M29" s="33"/>
      <c r="O29" s="2">
        <f>Table13895845679910[[#This Row],[Change]]*Table13895845679910[[#This Row],[Last price]]</f>
        <v>543789.44000000006</v>
      </c>
      <c r="P29" s="42">
        <f t="shared" si="1"/>
        <v>543789.44000000006</v>
      </c>
    </row>
    <row r="30" spans="1:16" s="44" customFormat="1" ht="12.75" customHeight="1" x14ac:dyDescent="0.2">
      <c r="A30" s="33" t="s">
        <v>161</v>
      </c>
      <c r="B30" s="33" t="s">
        <v>248</v>
      </c>
      <c r="C30" s="33" t="s">
        <v>249</v>
      </c>
      <c r="D30" s="34">
        <v>1.0385E-2</v>
      </c>
      <c r="E30" s="35">
        <f>'Aug 21'!$D30*$C$6*$C$2</f>
        <v>543798.01434627501</v>
      </c>
      <c r="F30" s="35">
        <v>44.46</v>
      </c>
      <c r="G30" s="36">
        <f>'Aug 21'!$E30/'Aug 21'!$F30</f>
        <v>12231.174411747075</v>
      </c>
      <c r="H30" s="33">
        <v>0</v>
      </c>
      <c r="I30" s="33">
        <v>12231</v>
      </c>
      <c r="J30" s="37">
        <f t="shared" si="0"/>
        <v>12231</v>
      </c>
      <c r="K30" s="38">
        <f>'Aug 21'!$F30*'Aug 21'!$I30</f>
        <v>543790.26</v>
      </c>
      <c r="L30" s="39">
        <f>'Aug 21'!$K30/$K$2</f>
        <v>1.0250471425183164E-2</v>
      </c>
      <c r="M30" s="33"/>
      <c r="O30" s="2">
        <f>Table13895845679910[[#This Row],[Change]]*Table13895845679910[[#This Row],[Last price]]</f>
        <v>543790.26</v>
      </c>
      <c r="P30" s="42">
        <f t="shared" si="1"/>
        <v>543790.26</v>
      </c>
    </row>
    <row r="31" spans="1:16" s="44" customFormat="1" ht="12.75" customHeight="1" x14ac:dyDescent="0.2">
      <c r="A31" s="33"/>
      <c r="B31" s="33"/>
      <c r="C31" s="33"/>
      <c r="D31" s="34"/>
      <c r="E31" s="35"/>
      <c r="F31" s="35"/>
      <c r="G31" s="36"/>
      <c r="H31" s="33"/>
      <c r="I31" s="33"/>
      <c r="J31" s="45"/>
      <c r="K31" s="35"/>
      <c r="L31" s="46"/>
      <c r="M31" s="33"/>
      <c r="O31" s="2">
        <f>Table13895845679910[[#This Row],[Change]]*Table13895845679910[[#This Row],[Last price]]</f>
        <v>0</v>
      </c>
      <c r="P31" s="42">
        <f t="shared" si="1"/>
        <v>0</v>
      </c>
    </row>
    <row r="32" spans="1:16" s="54" customFormat="1" ht="12.75" customHeight="1" x14ac:dyDescent="0.2">
      <c r="A32" s="47" t="s">
        <v>177</v>
      </c>
      <c r="B32" s="47"/>
      <c r="C32" s="47"/>
      <c r="D32" s="48">
        <f>SUBTOTAL(9,D9:D31)</f>
        <v>0.13500400000000001</v>
      </c>
      <c r="E32" s="49">
        <f>'Aug 21'!$D32*$C$6*$C$2</f>
        <v>7069321.8227062598</v>
      </c>
      <c r="F32" s="51"/>
      <c r="G32" s="51"/>
      <c r="H32" s="47"/>
      <c r="I32" s="47"/>
      <c r="J32" s="52"/>
      <c r="K32" s="49">
        <f>SUM(K9:K31)</f>
        <v>7068781.4521702472</v>
      </c>
      <c r="L32" s="53">
        <f>'Aug 21'!$K32/$K$2</f>
        <v>0.13324685566515271</v>
      </c>
      <c r="M32" s="47"/>
      <c r="O32" s="2">
        <f>Table13895845679910[[#This Row],[Change]]*Table13895845679910[[#This Row],[Last price]]</f>
        <v>0</v>
      </c>
      <c r="P32" s="42">
        <f t="shared" si="1"/>
        <v>0</v>
      </c>
    </row>
    <row r="33" spans="1:17" s="44" customFormat="1" ht="12.75" customHeight="1" x14ac:dyDescent="0.2">
      <c r="A33" s="33"/>
      <c r="B33" s="33"/>
      <c r="C33" s="33"/>
      <c r="D33" s="34"/>
      <c r="E33" s="35"/>
      <c r="F33" s="35"/>
      <c r="G33" s="36"/>
      <c r="H33" s="33"/>
      <c r="I33" s="33"/>
      <c r="J33" s="45"/>
      <c r="K33" s="35"/>
      <c r="L33" s="39"/>
      <c r="M33" s="33"/>
      <c r="O33" s="2">
        <f>Table13895845679910[[#This Row],[Change]]*Table13895845679910[[#This Row],[Last price]]</f>
        <v>0</v>
      </c>
      <c r="P33" s="42">
        <f t="shared" si="1"/>
        <v>0</v>
      </c>
    </row>
    <row r="34" spans="1:17" s="41" customFormat="1" ht="12.75" customHeight="1" x14ac:dyDescent="0.2">
      <c r="A34" s="55"/>
      <c r="B34" s="47" t="s">
        <v>32</v>
      </c>
      <c r="C34" s="55" t="s">
        <v>33</v>
      </c>
      <c r="D34" s="56">
        <v>2.5000000000000001E-2</v>
      </c>
      <c r="E34" s="57">
        <f>'Aug 21'!$D34*$C$6*$C$2</f>
        <v>1309094.8828750001</v>
      </c>
      <c r="F34" s="51">
        <v>18.450002941580198</v>
      </c>
      <c r="G34" s="58">
        <f>'Aug 21'!$E34/'Aug 21'!$F34</f>
        <v>70953.640875836049</v>
      </c>
      <c r="H34" s="55">
        <v>101986</v>
      </c>
      <c r="I34" s="55">
        <v>70954</v>
      </c>
      <c r="J34" s="59">
        <f>I34-H34</f>
        <v>-31032</v>
      </c>
      <c r="K34" s="50">
        <f>'Aug 21'!$F34*'Aug 21'!$I34</f>
        <v>1309101.5087168813</v>
      </c>
      <c r="L34" s="53">
        <f>'Aug 21'!$K34/$K$2</f>
        <v>2.4676623681649905E-2</v>
      </c>
      <c r="M34" s="47"/>
      <c r="O34" s="2">
        <f>Table13895845679910[[#This Row],[Change]]*Table13895845679910[[#This Row],[Last price]]</f>
        <v>-572540.49128311675</v>
      </c>
      <c r="P34" s="42">
        <f t="shared" si="1"/>
        <v>572540.49128311675</v>
      </c>
      <c r="Q34" s="42"/>
    </row>
    <row r="35" spans="1:17" s="41" customFormat="1" ht="12.75" customHeight="1" x14ac:dyDescent="0.2">
      <c r="A35" s="33"/>
      <c r="B35" s="33"/>
      <c r="C35" s="33"/>
      <c r="D35" s="34"/>
      <c r="E35" s="35"/>
      <c r="F35" s="35"/>
      <c r="G35" s="36"/>
      <c r="H35" s="33"/>
      <c r="I35" s="33"/>
      <c r="J35" s="45"/>
      <c r="K35" s="38"/>
      <c r="L35" s="39"/>
      <c r="M35" s="33"/>
      <c r="O35" s="2">
        <f>Table13895845679910[[#This Row],[Change]]*Table13895845679910[[#This Row],[Last price]]</f>
        <v>0</v>
      </c>
      <c r="P35" s="42">
        <f t="shared" si="1"/>
        <v>0</v>
      </c>
      <c r="Q35" s="42"/>
    </row>
    <row r="36" spans="1:17" ht="26.25" x14ac:dyDescent="0.25">
      <c r="A36" s="33" t="s">
        <v>178</v>
      </c>
      <c r="B36" s="214" t="s">
        <v>179</v>
      </c>
      <c r="C36" s="60" t="s">
        <v>106</v>
      </c>
      <c r="D36" s="34">
        <v>3.6110999999999997E-2</v>
      </c>
      <c r="E36" s="35">
        <f>'Aug 21'!$D36*$C$6*$C$2</f>
        <v>1890909.012619965</v>
      </c>
      <c r="F36" s="35">
        <v>158125</v>
      </c>
      <c r="G36" s="61">
        <f>'Aug 21'!$E36/'Aug 21'!$F36</f>
        <v>11.958317866371321</v>
      </c>
      <c r="H36" s="33">
        <v>15</v>
      </c>
      <c r="I36" s="33">
        <v>12</v>
      </c>
      <c r="J36" s="37">
        <f t="shared" ref="J36:J42" si="2">I36-H36</f>
        <v>-3</v>
      </c>
      <c r="K36" s="38">
        <f>'Aug 21'!$F36*'Aug 21'!$I36</f>
        <v>1897500</v>
      </c>
      <c r="L36" s="39">
        <f>'Aug 21'!$K36/$K$2</f>
        <v>3.5767962319304972E-2</v>
      </c>
      <c r="M36" s="62"/>
      <c r="O36" s="2">
        <f>Table13895845679910[[#This Row],[Change]]*Table13895845679910[[#This Row],[Last price]]</f>
        <v>-474375</v>
      </c>
      <c r="P36" s="42">
        <f t="shared" si="1"/>
        <v>474375</v>
      </c>
    </row>
    <row r="37" spans="1:17" ht="26.25" x14ac:dyDescent="0.25">
      <c r="A37" s="33" t="s">
        <v>178</v>
      </c>
      <c r="B37" s="214" t="s">
        <v>180</v>
      </c>
      <c r="C37" s="60" t="s">
        <v>110</v>
      </c>
      <c r="D37" s="34">
        <v>3.6110999999999997E-2</v>
      </c>
      <c r="E37" s="35">
        <f>'Aug 21'!$D37*$C$6*$C$2</f>
        <v>1890909.012619965</v>
      </c>
      <c r="F37" s="35">
        <v>220990.909090909</v>
      </c>
      <c r="G37" s="61">
        <f>'Aug 21'!$E37/'Aug 21'!$F37</f>
        <v>8.5565013529226306</v>
      </c>
      <c r="H37" s="33">
        <v>11</v>
      </c>
      <c r="I37" s="33">
        <v>9</v>
      </c>
      <c r="J37" s="37">
        <f t="shared" si="2"/>
        <v>-2</v>
      </c>
      <c r="K37" s="38">
        <f>'Aug 21'!$F37*'Aug 21'!$I37</f>
        <v>1988918.181818181</v>
      </c>
      <c r="L37" s="39">
        <f>'Aug 21'!$K37/$K$2</f>
        <v>3.7491199253466799E-2</v>
      </c>
      <c r="M37" s="62"/>
      <c r="O37" s="2">
        <f>Table13895845679910[[#This Row],[Change]]*Table13895845679910[[#This Row],[Last price]]</f>
        <v>-441981.818181818</v>
      </c>
      <c r="P37" s="42">
        <f t="shared" si="1"/>
        <v>441981.818181818</v>
      </c>
    </row>
    <row r="38" spans="1:17" ht="26.25" x14ac:dyDescent="0.25">
      <c r="A38" s="33" t="s">
        <v>178</v>
      </c>
      <c r="B38" s="214" t="s">
        <v>181</v>
      </c>
      <c r="C38" s="60" t="s">
        <v>113</v>
      </c>
      <c r="D38" s="34">
        <v>3.6110999999999997E-2</v>
      </c>
      <c r="E38" s="35">
        <f>'Aug 21'!$D38*$C$6*$C$2</f>
        <v>1890909.012619965</v>
      </c>
      <c r="F38" s="35">
        <v>179518.92307692301</v>
      </c>
      <c r="G38" s="61">
        <f>'Aug 21'!$E38/'Aug 21'!$F38</f>
        <v>10.533201626937789</v>
      </c>
      <c r="H38" s="33">
        <v>13</v>
      </c>
      <c r="I38" s="33">
        <v>11</v>
      </c>
      <c r="J38" s="37">
        <f t="shared" si="2"/>
        <v>-2</v>
      </c>
      <c r="K38" s="38">
        <f>'Aug 21'!$F38*'Aug 21'!$I38</f>
        <v>1974708.1538461531</v>
      </c>
      <c r="L38" s="39">
        <f>'Aug 21'!$K38/$K$2</f>
        <v>3.7223339572275881E-2</v>
      </c>
      <c r="M38" s="62"/>
      <c r="O38" s="2">
        <f>Table13895845679910[[#This Row],[Change]]*Table13895845679910[[#This Row],[Last price]]</f>
        <v>-359037.84615384601</v>
      </c>
      <c r="P38" s="42">
        <f t="shared" si="1"/>
        <v>359037.84615384601</v>
      </c>
    </row>
    <row r="39" spans="1:17" ht="26.25" x14ac:dyDescent="0.25">
      <c r="A39" s="33" t="s">
        <v>178</v>
      </c>
      <c r="B39" s="214" t="s">
        <v>182</v>
      </c>
      <c r="C39" s="60" t="s">
        <v>116</v>
      </c>
      <c r="D39" s="34">
        <v>3.6110999999999997E-2</v>
      </c>
      <c r="E39" s="35">
        <f>'Aug 21'!$D39*$C$6*$C$2</f>
        <v>1890909.012619965</v>
      </c>
      <c r="F39" s="35">
        <v>125904.222222222</v>
      </c>
      <c r="G39" s="61">
        <f>'Aug 21'!$E39/'Aug 21'!$F39</f>
        <v>15.018630664208345</v>
      </c>
      <c r="H39" s="33">
        <v>18</v>
      </c>
      <c r="I39" s="33">
        <v>15</v>
      </c>
      <c r="J39" s="37">
        <f t="shared" si="2"/>
        <v>-3</v>
      </c>
      <c r="K39" s="38">
        <f>'Aug 21'!$F39*'Aug 21'!$I39</f>
        <v>1888563.33333333</v>
      </c>
      <c r="L39" s="39">
        <f>'Aug 21'!$K39/$K$2</f>
        <v>3.5599505741390008E-2</v>
      </c>
      <c r="M39" s="62"/>
      <c r="O39" s="2">
        <f>Table13895845679910[[#This Row],[Change]]*Table13895845679910[[#This Row],[Last price]]</f>
        <v>-377712.66666666599</v>
      </c>
      <c r="P39" s="42">
        <f t="shared" si="1"/>
        <v>377712.66666666599</v>
      </c>
    </row>
    <row r="40" spans="1:17" ht="26.25" x14ac:dyDescent="0.25">
      <c r="A40" s="33" t="s">
        <v>178</v>
      </c>
      <c r="B40" s="214" t="s">
        <v>183</v>
      </c>
      <c r="C40" s="60" t="s">
        <v>119</v>
      </c>
      <c r="D40" s="34">
        <v>3.6110999999999997E-2</v>
      </c>
      <c r="E40" s="35">
        <f>'Aug 21'!$D40*$C$6*$C$2</f>
        <v>1890909.012619965</v>
      </c>
      <c r="F40" s="35">
        <v>139624.58823529401</v>
      </c>
      <c r="G40" s="61">
        <f>'Aug 21'!$E40/'Aug 21'!$F40</f>
        <v>13.542808158069002</v>
      </c>
      <c r="H40" s="33">
        <v>17</v>
      </c>
      <c r="I40" s="33">
        <v>14</v>
      </c>
      <c r="J40" s="37">
        <f t="shared" si="2"/>
        <v>-3</v>
      </c>
      <c r="K40" s="38">
        <f>'Aug 21'!$F40*'Aug 21'!$I40</f>
        <v>1954744.2352941162</v>
      </c>
      <c r="L40" s="39">
        <f>'Aug 21'!$K40/$K$2</f>
        <v>3.6847018788868806E-2</v>
      </c>
      <c r="M40" s="62"/>
      <c r="O40" s="2">
        <f>Table13895845679910[[#This Row],[Change]]*Table13895845679910[[#This Row],[Last price]]</f>
        <v>-418873.76470588206</v>
      </c>
      <c r="P40" s="42">
        <f t="shared" si="1"/>
        <v>418873.76470588206</v>
      </c>
    </row>
    <row r="41" spans="1:17" ht="26.25" x14ac:dyDescent="0.25">
      <c r="A41" s="33" t="s">
        <v>178</v>
      </c>
      <c r="B41" s="60" t="s">
        <v>184</v>
      </c>
      <c r="C41" s="60" t="s">
        <v>122</v>
      </c>
      <c r="D41" s="34">
        <v>0.125</v>
      </c>
      <c r="E41" s="35">
        <f>'Aug 21'!$D41*$C$6*$C$2</f>
        <v>6545474.4143749997</v>
      </c>
      <c r="F41" s="35">
        <v>416304.52631579002</v>
      </c>
      <c r="G41" s="61">
        <f>'Aug 21'!$E41/'Aug 21'!$F41</f>
        <v>15.722803862598157</v>
      </c>
      <c r="H41" s="33">
        <v>19</v>
      </c>
      <c r="I41" s="33">
        <v>16</v>
      </c>
      <c r="J41" s="37">
        <f t="shared" si="2"/>
        <v>-3</v>
      </c>
      <c r="K41" s="38">
        <f>'Aug 21'!$F41*'Aug 21'!$I41</f>
        <v>6660872.4210526403</v>
      </c>
      <c r="L41" s="39">
        <f>'Aug 21'!$K41/$K$2</f>
        <v>0.1255577516573958</v>
      </c>
      <c r="M41" s="62"/>
      <c r="O41" s="2">
        <f>Table13895845679910[[#This Row],[Change]]*Table13895845679910[[#This Row],[Last price]]</f>
        <v>-1248913.5789473699</v>
      </c>
      <c r="P41" s="42">
        <f t="shared" si="1"/>
        <v>1248913.5789473699</v>
      </c>
    </row>
    <row r="42" spans="1:17" ht="26.25" x14ac:dyDescent="0.25">
      <c r="A42" s="33" t="s">
        <v>178</v>
      </c>
      <c r="B42" s="214" t="s">
        <v>185</v>
      </c>
      <c r="C42" s="60" t="s">
        <v>127</v>
      </c>
      <c r="D42" s="34">
        <v>3.6110999999999997E-2</v>
      </c>
      <c r="E42" s="35">
        <f>'Aug 21'!$D42*$C$6*$C$2</f>
        <v>1890909.012619965</v>
      </c>
      <c r="F42" s="35">
        <v>220829.272727273</v>
      </c>
      <c r="G42" s="61">
        <f>'Aug 21'!$E42/'Aug 21'!$F42</f>
        <v>8.5627642987135228</v>
      </c>
      <c r="H42" s="33">
        <v>11</v>
      </c>
      <c r="I42" s="33">
        <v>9</v>
      </c>
      <c r="J42" s="37">
        <f t="shared" si="2"/>
        <v>-2</v>
      </c>
      <c r="K42" s="38">
        <f>'Aug 21'!$F42*'Aug 21'!$I42</f>
        <v>1987463.4545454569</v>
      </c>
      <c r="L42" s="39">
        <f>'Aug 21'!$K42/$K$2</f>
        <v>3.7463777577432196E-2</v>
      </c>
      <c r="M42" s="62"/>
      <c r="O42" s="2">
        <f>Table13895845679910[[#This Row],[Change]]*Table13895845679910[[#This Row],[Last price]]</f>
        <v>-441658.54545454599</v>
      </c>
      <c r="P42" s="42">
        <f t="shared" si="1"/>
        <v>441658.54545454599</v>
      </c>
    </row>
    <row r="43" spans="1:17" s="64" customFormat="1" ht="12.75" x14ac:dyDescent="0.2">
      <c r="A43" s="33"/>
      <c r="B43" s="60"/>
      <c r="C43" s="60"/>
      <c r="D43" s="34"/>
      <c r="E43" s="63"/>
      <c r="F43" s="35"/>
      <c r="G43" s="61"/>
      <c r="H43" s="33"/>
      <c r="I43" s="33"/>
      <c r="J43" s="45"/>
      <c r="K43" s="35"/>
      <c r="L43" s="46"/>
      <c r="M43" s="62"/>
      <c r="O43" s="2">
        <f>Table13895845679910[[#This Row],[Change]]*Table13895845679910[[#This Row],[Last price]]</f>
        <v>0</v>
      </c>
      <c r="P43" s="42">
        <f t="shared" si="1"/>
        <v>0</v>
      </c>
    </row>
    <row r="44" spans="1:17" s="15" customFormat="1" ht="12.75" x14ac:dyDescent="0.2">
      <c r="A44" s="47" t="s">
        <v>186</v>
      </c>
      <c r="B44" s="65"/>
      <c r="C44" s="65"/>
      <c r="D44" s="56">
        <f>SUBTOTAL(9,D36:D43)</f>
        <v>0.34166600000000003</v>
      </c>
      <c r="E44" s="66">
        <f>'Aug 21'!$D44*$C$6*$C$2</f>
        <v>17890928.490094792</v>
      </c>
      <c r="F44" s="67"/>
      <c r="G44" s="67"/>
      <c r="H44" s="55"/>
      <c r="I44" s="55"/>
      <c r="J44" s="59"/>
      <c r="K44" s="66">
        <f>SUM(K36:K43)</f>
        <v>18352769.779889878</v>
      </c>
      <c r="L44" s="68">
        <f>'Aug 21'!$K44/$K$2</f>
        <v>0.34595055491013443</v>
      </c>
      <c r="M44" s="69"/>
      <c r="O44" s="2">
        <f>Table13895845679910[[#This Row],[Change]]*Table13895845679910[[#This Row],[Last price]]</f>
        <v>0</v>
      </c>
      <c r="P44" s="42">
        <f t="shared" si="1"/>
        <v>0</v>
      </c>
    </row>
    <row r="45" spans="1:17" s="64" customFormat="1" ht="12.75" x14ac:dyDescent="0.2">
      <c r="A45" s="33"/>
      <c r="B45" s="60"/>
      <c r="C45" s="60"/>
      <c r="D45" s="34"/>
      <c r="E45" s="63"/>
      <c r="F45" s="35"/>
      <c r="G45" s="61"/>
      <c r="H45" s="33"/>
      <c r="I45" s="33"/>
      <c r="J45" s="45"/>
      <c r="K45" s="35"/>
      <c r="L45" s="39"/>
      <c r="M45" s="62"/>
      <c r="O45" s="2">
        <f>Table13895845679910[[#This Row],[Change]]*Table13895845679910[[#This Row],[Last price]]</f>
        <v>0</v>
      </c>
      <c r="P45" s="42">
        <f t="shared" si="1"/>
        <v>0</v>
      </c>
    </row>
    <row r="46" spans="1:17" s="41" customFormat="1" ht="25.5" customHeight="1" x14ac:dyDescent="0.2">
      <c r="A46" s="33" t="s">
        <v>187</v>
      </c>
      <c r="B46" s="33" t="s">
        <v>63</v>
      </c>
      <c r="C46" s="33" t="s">
        <v>64</v>
      </c>
      <c r="D46" s="34">
        <v>3.6110999999999997E-2</v>
      </c>
      <c r="E46" s="35">
        <f>'Aug 21'!$D46*$C$6*$C$2</f>
        <v>1890909.012619965</v>
      </c>
      <c r="F46" s="35">
        <v>94469.75</v>
      </c>
      <c r="G46" s="36">
        <f>'Aug 21'!$E46/'Aug 21'!$F46</f>
        <v>20.016026427718554</v>
      </c>
      <c r="H46" s="33">
        <v>24</v>
      </c>
      <c r="I46" s="33">
        <v>20</v>
      </c>
      <c r="J46" s="37">
        <f t="shared" ref="J46:J52" si="3">I46-H46</f>
        <v>-4</v>
      </c>
      <c r="K46" s="38">
        <f>'Aug 21'!$F46*'Aug 21'!$I46</f>
        <v>1889395</v>
      </c>
      <c r="L46" s="39">
        <f>'Aug 21'!$K46/$K$2</f>
        <v>3.5615182696328442E-2</v>
      </c>
      <c r="M46" s="40"/>
      <c r="N46" s="2"/>
      <c r="O46" s="2">
        <f>Table13895845679910[[#This Row],[Change]]*Table13895845679910[[#This Row],[Last price]]</f>
        <v>-377879</v>
      </c>
      <c r="P46" s="42">
        <f t="shared" si="1"/>
        <v>377879</v>
      </c>
      <c r="Q46" s="42"/>
    </row>
    <row r="47" spans="1:17" s="41" customFormat="1" ht="25.5" customHeight="1" x14ac:dyDescent="0.2">
      <c r="A47" s="33" t="s">
        <v>187</v>
      </c>
      <c r="B47" s="215" t="s">
        <v>188</v>
      </c>
      <c r="C47" s="33" t="s">
        <v>73</v>
      </c>
      <c r="D47" s="34">
        <v>0</v>
      </c>
      <c r="E47" s="35">
        <f>'Aug 21'!$D47*$C$6*$C$2</f>
        <v>0</v>
      </c>
      <c r="F47" s="35">
        <v>116460.15</v>
      </c>
      <c r="G47" s="36">
        <f>'Aug 21'!$E47/'Aug 21'!$F47</f>
        <v>0</v>
      </c>
      <c r="H47" s="33">
        <v>20</v>
      </c>
      <c r="I47" s="33">
        <v>0</v>
      </c>
      <c r="J47" s="37">
        <f t="shared" si="3"/>
        <v>-20</v>
      </c>
      <c r="K47" s="38">
        <f>'Aug 21'!$F47*'Aug 21'!$I47</f>
        <v>0</v>
      </c>
      <c r="L47" s="39">
        <f>'Aug 21'!$K47/$K$2</f>
        <v>0</v>
      </c>
      <c r="M47" s="40"/>
      <c r="N47" s="2"/>
      <c r="O47" s="2">
        <f>Table13895845679910[[#This Row],[Change]]*Table13895845679910[[#This Row],[Last price]]</f>
        <v>-2329203</v>
      </c>
      <c r="P47" s="42">
        <f t="shared" si="1"/>
        <v>2329203</v>
      </c>
    </row>
    <row r="48" spans="1:17" s="41" customFormat="1" ht="25.5" customHeight="1" x14ac:dyDescent="0.2">
      <c r="A48" s="33" t="s">
        <v>187</v>
      </c>
      <c r="B48" s="33" t="s">
        <v>72</v>
      </c>
      <c r="C48" s="33" t="s">
        <v>73</v>
      </c>
      <c r="D48" s="34">
        <v>3.6110999999999997E-2</v>
      </c>
      <c r="E48" s="35">
        <f>'Aug 21'!$D48*$C$6*$C$2</f>
        <v>1890909.012619965</v>
      </c>
      <c r="F48" s="35">
        <v>116460.15</v>
      </c>
      <c r="G48" s="36">
        <f>'Aug 21'!$E48/'Aug 21'!$F48</f>
        <v>16.23653251880549</v>
      </c>
      <c r="H48" s="33">
        <v>0</v>
      </c>
      <c r="I48" s="33">
        <v>16</v>
      </c>
      <c r="J48" s="37">
        <f t="shared" si="3"/>
        <v>16</v>
      </c>
      <c r="K48" s="38">
        <f>'Aug 21'!$F48*'Aug 21'!$I48</f>
        <v>1863362.4</v>
      </c>
      <c r="L48" s="39">
        <f>'Aug 21'!$K48/$K$2</f>
        <v>3.5124466988358194E-2</v>
      </c>
      <c r="M48" s="40"/>
      <c r="N48" s="2"/>
      <c r="O48" s="2">
        <f>Table13895845679910[[#This Row],[Change]]*Table13895845679910[[#This Row],[Last price]]</f>
        <v>1863362.4</v>
      </c>
      <c r="P48" s="42">
        <f t="shared" si="1"/>
        <v>1863362.4</v>
      </c>
    </row>
    <row r="49" spans="1:18" s="41" customFormat="1" ht="25.5" customHeight="1" x14ac:dyDescent="0.2">
      <c r="A49" s="33" t="s">
        <v>187</v>
      </c>
      <c r="B49" s="33" t="s">
        <v>76</v>
      </c>
      <c r="C49" s="33" t="s">
        <v>77</v>
      </c>
      <c r="D49" s="34">
        <v>3.6110999999999997E-2</v>
      </c>
      <c r="E49" s="35">
        <f>'Aug 21'!$D49*$C$6*$C$2</f>
        <v>1890909.012619965</v>
      </c>
      <c r="F49" s="35">
        <v>112636.6</v>
      </c>
      <c r="G49" s="36">
        <f>'Aug 21'!$E49/'Aug 21'!$F49</f>
        <v>16.78769611849048</v>
      </c>
      <c r="H49" s="33">
        <v>20</v>
      </c>
      <c r="I49" s="33">
        <v>17</v>
      </c>
      <c r="J49" s="37">
        <f t="shared" si="3"/>
        <v>-3</v>
      </c>
      <c r="K49" s="38">
        <f>'Aug 21'!$F49*'Aug 21'!$I49</f>
        <v>1914822.2000000002</v>
      </c>
      <c r="L49" s="39">
        <f>'Aug 21'!$K49/$K$2</f>
        <v>3.6094486586439344E-2</v>
      </c>
      <c r="M49" s="40"/>
      <c r="N49" s="2"/>
      <c r="O49" s="2">
        <f>Table13895845679910[[#This Row],[Change]]*Table13895845679910[[#This Row],[Last price]]</f>
        <v>-337909.80000000005</v>
      </c>
      <c r="P49" s="42">
        <f t="shared" si="1"/>
        <v>337909.80000000005</v>
      </c>
    </row>
    <row r="50" spans="1:18" s="41" customFormat="1" ht="25.5" x14ac:dyDescent="0.2">
      <c r="A50" s="33" t="s">
        <v>187</v>
      </c>
      <c r="B50" s="33" t="s">
        <v>78</v>
      </c>
      <c r="C50" s="33" t="s">
        <v>79</v>
      </c>
      <c r="D50" s="34">
        <v>0.125</v>
      </c>
      <c r="E50" s="35">
        <f>'Aug 21'!$D50*$C$6*$C$2</f>
        <v>6545474.4143749997</v>
      </c>
      <c r="F50" s="35">
        <v>249427.5</v>
      </c>
      <c r="G50" s="36">
        <f>'Aug 21'!$E50/'Aug 21'!$F50</f>
        <v>26.241991818764969</v>
      </c>
      <c r="H50" s="33">
        <v>32</v>
      </c>
      <c r="I50" s="33">
        <v>26</v>
      </c>
      <c r="J50" s="37">
        <f t="shared" si="3"/>
        <v>-6</v>
      </c>
      <c r="K50" s="38">
        <f>'Aug 21'!$F50*'Aug 21'!$I50</f>
        <v>6485115</v>
      </c>
      <c r="L50" s="39">
        <f>'Aug 21'!$K50/$K$2</f>
        <v>0.12224471618253463</v>
      </c>
      <c r="M50" s="40"/>
      <c r="N50" s="2"/>
      <c r="O50" s="2">
        <f>Table13895845679910[[#This Row],[Change]]*Table13895845679910[[#This Row],[Last price]]</f>
        <v>-1496565</v>
      </c>
      <c r="P50" s="42">
        <f t="shared" si="1"/>
        <v>1496565</v>
      </c>
    </row>
    <row r="51" spans="1:18" s="41" customFormat="1" ht="25.5" x14ac:dyDescent="0.2">
      <c r="A51" s="33" t="s">
        <v>187</v>
      </c>
      <c r="B51" s="33" t="s">
        <v>193</v>
      </c>
      <c r="C51" s="33" t="s">
        <v>100</v>
      </c>
      <c r="D51" s="34">
        <v>0.125</v>
      </c>
      <c r="E51" s="35">
        <f>'Aug 21'!$D51*$C$6*$C$2</f>
        <v>6545474.4143749997</v>
      </c>
      <c r="F51" s="35">
        <v>416332</v>
      </c>
      <c r="G51" s="36">
        <f>'Aug 21'!$E51/'Aug 21'!$F51</f>
        <v>15.721766317205979</v>
      </c>
      <c r="H51" s="33">
        <v>19</v>
      </c>
      <c r="I51" s="33">
        <v>16</v>
      </c>
      <c r="J51" s="37">
        <f t="shared" si="3"/>
        <v>-3</v>
      </c>
      <c r="K51" s="38">
        <f>'Aug 21'!$F51*'Aug 21'!$I51</f>
        <v>6661312</v>
      </c>
      <c r="L51" s="39">
        <f>'Aug 21'!$K51/$K$2</f>
        <v>0.12556603774078209</v>
      </c>
      <c r="M51" s="40"/>
      <c r="N51" s="2"/>
      <c r="O51" s="2">
        <f>Table13895845679910[[#This Row],[Change]]*Table13895845679910[[#This Row],[Last price]]</f>
        <v>-1248996</v>
      </c>
      <c r="P51" s="42">
        <f t="shared" si="1"/>
        <v>1248996</v>
      </c>
    </row>
    <row r="52" spans="1:18" s="41" customFormat="1" ht="25.5" x14ac:dyDescent="0.2">
      <c r="A52" s="33" t="s">
        <v>187</v>
      </c>
      <c r="B52" s="33" t="s">
        <v>102</v>
      </c>
      <c r="C52" s="33" t="s">
        <v>103</v>
      </c>
      <c r="D52" s="34">
        <v>0.125</v>
      </c>
      <c r="E52" s="35">
        <f>'Aug 21'!$D52*$C$6*$C$2</f>
        <v>6545474.4143749997</v>
      </c>
      <c r="F52" s="35">
        <v>249773.28125</v>
      </c>
      <c r="G52" s="36">
        <f>'Aug 21'!$E52/'Aug 21'!$F52</f>
        <v>26.205662918058813</v>
      </c>
      <c r="H52" s="33">
        <v>32</v>
      </c>
      <c r="I52" s="33">
        <v>26</v>
      </c>
      <c r="J52" s="37">
        <f t="shared" si="3"/>
        <v>-6</v>
      </c>
      <c r="K52" s="38">
        <f>'Aug 21'!$F52*'Aug 21'!$I52</f>
        <v>6494105.3125</v>
      </c>
      <c r="L52" s="39">
        <f>'Aug 21'!$K52/$K$2</f>
        <v>0.12241418398687653</v>
      </c>
      <c r="M52" s="40"/>
      <c r="N52" s="2"/>
      <c r="O52" s="2">
        <f>Table13895845679910[[#This Row],[Change]]*Table13895845679910[[#This Row],[Last price]]</f>
        <v>-1498639.6875</v>
      </c>
      <c r="P52" s="42">
        <f t="shared" si="1"/>
        <v>1498639.6875</v>
      </c>
    </row>
    <row r="53" spans="1:18" s="41" customFormat="1" ht="12.75" x14ac:dyDescent="0.2">
      <c r="A53" s="33"/>
      <c r="B53" s="33"/>
      <c r="C53" s="33"/>
      <c r="D53" s="34"/>
      <c r="E53" s="35"/>
      <c r="F53" s="35"/>
      <c r="G53" s="36"/>
      <c r="H53" s="33"/>
      <c r="I53" s="33"/>
      <c r="J53" s="37"/>
      <c r="K53" s="38"/>
      <c r="L53" s="39"/>
      <c r="M53" s="40"/>
      <c r="N53" s="2"/>
      <c r="O53" s="2">
        <f>Table13895845679910[[#This Row],[Change]]*Table13895845679910[[#This Row],[Last price]]</f>
        <v>0</v>
      </c>
      <c r="P53" s="42">
        <f t="shared" si="1"/>
        <v>0</v>
      </c>
    </row>
    <row r="54" spans="1:18" s="41" customFormat="1" ht="12.75" x14ac:dyDescent="0.2">
      <c r="A54" s="33"/>
      <c r="B54" s="33"/>
      <c r="C54" s="33"/>
      <c r="D54" s="34"/>
      <c r="E54" s="35"/>
      <c r="F54" s="35"/>
      <c r="G54" s="36"/>
      <c r="H54" s="33"/>
      <c r="I54" s="33"/>
      <c r="J54" s="37"/>
      <c r="K54" s="38"/>
      <c r="L54" s="39"/>
      <c r="M54" s="40"/>
      <c r="N54" s="2"/>
      <c r="O54" s="2">
        <f>Table13895845679910[[#This Row],[Change]]*Table13895845679910[[#This Row],[Last price]]</f>
        <v>0</v>
      </c>
      <c r="P54" s="42">
        <f t="shared" si="1"/>
        <v>0</v>
      </c>
    </row>
    <row r="55" spans="1:18" s="44" customFormat="1" ht="12.75" x14ac:dyDescent="0.2">
      <c r="A55" s="33"/>
      <c r="B55" s="33"/>
      <c r="C55" s="33"/>
      <c r="D55" s="34"/>
      <c r="E55" s="35"/>
      <c r="F55" s="35"/>
      <c r="G55" s="36"/>
      <c r="H55" s="33"/>
      <c r="I55" s="33"/>
      <c r="J55" s="45"/>
      <c r="K55" s="35"/>
      <c r="L55" s="39"/>
      <c r="M55" s="33"/>
      <c r="N55" s="64"/>
      <c r="O55" s="2">
        <f>Table13895845679910[[#This Row],[Change]]*Table13895845679910[[#This Row],[Last price]]</f>
        <v>0</v>
      </c>
      <c r="P55" s="42">
        <f t="shared" si="1"/>
        <v>0</v>
      </c>
    </row>
    <row r="56" spans="1:18" s="54" customFormat="1" ht="12.75" x14ac:dyDescent="0.2">
      <c r="A56" s="47" t="s">
        <v>194</v>
      </c>
      <c r="B56" s="47"/>
      <c r="C56" s="47"/>
      <c r="D56" s="56">
        <f>SUBTOTAL(9,D46:D55)</f>
        <v>0.48333300000000001</v>
      </c>
      <c r="E56" s="49">
        <f>'Aug 21'!$D56*$C$6*$C$2</f>
        <v>25309150.280984897</v>
      </c>
      <c r="F56" s="70"/>
      <c r="G56" s="70"/>
      <c r="H56" s="55"/>
      <c r="I56" s="55"/>
      <c r="J56" s="59"/>
      <c r="K56" s="49">
        <f>SUM(K46:K55)</f>
        <v>25308111.912500001</v>
      </c>
      <c r="L56" s="68">
        <f>'Aug 21'!$K56/$K$2</f>
        <v>0.47705907418131926</v>
      </c>
      <c r="M56" s="47"/>
      <c r="N56" s="15"/>
      <c r="O56" s="2">
        <f>Table13895845679910[[#This Row],[Change]]*Table13895845679910[[#This Row],[Last price]]</f>
        <v>0</v>
      </c>
      <c r="P56" s="42">
        <f t="shared" si="1"/>
        <v>0</v>
      </c>
    </row>
    <row r="57" spans="1:18" s="44" customFormat="1" ht="12.75" x14ac:dyDescent="0.2">
      <c r="A57" s="33"/>
      <c r="B57" s="33"/>
      <c r="C57" s="33"/>
      <c r="D57" s="34"/>
      <c r="E57" s="35"/>
      <c r="F57" s="35"/>
      <c r="G57" s="36"/>
      <c r="H57" s="33"/>
      <c r="I57" s="33"/>
      <c r="J57" s="45"/>
      <c r="K57" s="35"/>
      <c r="L57" s="39"/>
      <c r="M57" s="33"/>
      <c r="N57" s="64"/>
      <c r="O57" s="2">
        <f>Table13895845679910[[#This Row],[Change]]*Table13895845679910[[#This Row],[Last price]]</f>
        <v>0</v>
      </c>
      <c r="P57" s="42">
        <f t="shared" si="1"/>
        <v>0</v>
      </c>
    </row>
    <row r="58" spans="1:18" s="41" customFormat="1" ht="12.75" x14ac:dyDescent="0.2">
      <c r="A58" s="33"/>
      <c r="B58" s="33"/>
      <c r="C58" s="33"/>
      <c r="D58" s="34"/>
      <c r="E58" s="35"/>
      <c r="F58" s="35"/>
      <c r="G58" s="71"/>
      <c r="H58" s="33"/>
      <c r="I58" s="33"/>
      <c r="J58" s="37"/>
      <c r="K58" s="38"/>
      <c r="L58" s="39"/>
      <c r="M58" s="40"/>
      <c r="N58" s="2"/>
      <c r="O58" s="2">
        <f>Table13895845679910[[#This Row],[Change]]*Table13895845679910[[#This Row],[Last price]]</f>
        <v>0</v>
      </c>
      <c r="P58" s="42">
        <f t="shared" si="1"/>
        <v>0</v>
      </c>
    </row>
    <row r="59" spans="1:18" s="41" customFormat="1" ht="25.5" x14ac:dyDescent="0.2">
      <c r="A59" s="33" t="s">
        <v>195</v>
      </c>
      <c r="B59" s="33" t="s">
        <v>67</v>
      </c>
      <c r="C59" s="33" t="s">
        <v>68</v>
      </c>
      <c r="D59" s="34">
        <v>1.5E-3</v>
      </c>
      <c r="E59" s="35">
        <f>'Aug 21'!$D59*$C$6*$C$2</f>
        <v>78545.692972499994</v>
      </c>
      <c r="F59" s="35">
        <v>43744</v>
      </c>
      <c r="G59" s="71">
        <f>'Aug 21'!$E59/'Aug 21'!$F59</f>
        <v>1.7955763755600767</v>
      </c>
      <c r="H59" s="33">
        <v>2</v>
      </c>
      <c r="I59" s="33">
        <v>2</v>
      </c>
      <c r="J59" s="37">
        <f t="shared" ref="J59:J68" si="4">I59-H59</f>
        <v>0</v>
      </c>
      <c r="K59" s="38">
        <f>'Aug 21'!$F59*'Aug 21'!$I59</f>
        <v>87488</v>
      </c>
      <c r="L59" s="39">
        <f>'Aug 21'!$K59/$K$2</f>
        <v>1.6491528260296987E-3</v>
      </c>
      <c r="M59" s="40"/>
      <c r="N59" s="2"/>
      <c r="O59" s="2">
        <f>Table13895845679910[[#This Row],[Change]]*Table13895845679910[[#This Row],[Last price]]</f>
        <v>0</v>
      </c>
      <c r="P59" s="42">
        <f t="shared" si="1"/>
        <v>0</v>
      </c>
    </row>
    <row r="60" spans="1:18" s="41" customFormat="1" ht="25.5" x14ac:dyDescent="0.2">
      <c r="A60" s="33" t="s">
        <v>195</v>
      </c>
      <c r="B60" s="33" t="s">
        <v>70</v>
      </c>
      <c r="C60" s="33" t="s">
        <v>71</v>
      </c>
      <c r="D60" s="34">
        <v>1.5E-3</v>
      </c>
      <c r="E60" s="35">
        <f>'Aug 21'!$D60*$C$6*$C$2</f>
        <v>78545.692972499994</v>
      </c>
      <c r="F60" s="35">
        <v>163604</v>
      </c>
      <c r="G60" s="71">
        <f>'Aug 21'!$E60/'Aug 21'!$F60</f>
        <v>0.48009640945514775</v>
      </c>
      <c r="H60" s="33">
        <v>1</v>
      </c>
      <c r="I60" s="33">
        <v>1</v>
      </c>
      <c r="J60" s="37">
        <f t="shared" si="4"/>
        <v>0</v>
      </c>
      <c r="K60" s="38">
        <f>'Aug 21'!$F60*'Aug 21'!$I60</f>
        <v>163604</v>
      </c>
      <c r="L60" s="39">
        <f>'Aug 21'!$K60/$K$2</f>
        <v>3.0839429287418028E-3</v>
      </c>
      <c r="M60" s="40"/>
      <c r="N60" s="2"/>
      <c r="O60" s="2">
        <f>Table13895845679910[[#This Row],[Change]]*Table13895845679910[[#This Row],[Last price]]</f>
        <v>0</v>
      </c>
      <c r="P60" s="42">
        <f t="shared" si="1"/>
        <v>0</v>
      </c>
      <c r="R60" s="41" t="s">
        <v>198</v>
      </c>
    </row>
    <row r="61" spans="1:18" s="41" customFormat="1" ht="25.5" x14ac:dyDescent="0.2">
      <c r="A61" s="33" t="s">
        <v>195</v>
      </c>
      <c r="B61" s="33" t="s">
        <v>81</v>
      </c>
      <c r="C61" s="33" t="s">
        <v>82</v>
      </c>
      <c r="D61" s="34">
        <v>1.5E-3</v>
      </c>
      <c r="E61" s="35">
        <f>'Aug 21'!$D61*$C$6*$C$2</f>
        <v>78545.692972499994</v>
      </c>
      <c r="F61" s="35">
        <v>87712</v>
      </c>
      <c r="G61" s="71">
        <f>'Aug 21'!$E61/'Aug 21'!$F61</f>
        <v>0.89549540510420456</v>
      </c>
      <c r="H61" s="33">
        <v>1</v>
      </c>
      <c r="I61" s="33">
        <v>1</v>
      </c>
      <c r="J61" s="37">
        <f t="shared" si="4"/>
        <v>0</v>
      </c>
      <c r="K61" s="38">
        <f>'Aug 21'!$F61*'Aug 21'!$I61</f>
        <v>87712</v>
      </c>
      <c r="L61" s="39">
        <f>'Aug 21'!$K61/$K$2</f>
        <v>1.6533752363377483E-3</v>
      </c>
      <c r="M61" s="40"/>
      <c r="N61" s="2"/>
      <c r="O61" s="2">
        <f>Table13895845679910[[#This Row],[Change]]*Table13895845679910[[#This Row],[Last price]]</f>
        <v>0</v>
      </c>
      <c r="P61" s="42">
        <f t="shared" si="1"/>
        <v>0</v>
      </c>
    </row>
    <row r="62" spans="1:18" s="41" customFormat="1" ht="25.5" x14ac:dyDescent="0.2">
      <c r="A62" s="33" t="s">
        <v>195</v>
      </c>
      <c r="B62" s="33" t="s">
        <v>200</v>
      </c>
      <c r="C62" s="33" t="s">
        <v>84</v>
      </c>
      <c r="D62" s="34">
        <v>1.5E-3</v>
      </c>
      <c r="E62" s="35">
        <f>'Aug 21'!$D62*$C$6*$C$2</f>
        <v>78545.692972499994</v>
      </c>
      <c r="F62" s="35">
        <v>218055</v>
      </c>
      <c r="G62" s="71">
        <f>'Aug 21'!$E62/'Aug 21'!$F62</f>
        <v>0.36021046512347799</v>
      </c>
      <c r="H62" s="33">
        <v>1</v>
      </c>
      <c r="I62" s="33">
        <v>1</v>
      </c>
      <c r="J62" s="37">
        <f t="shared" si="4"/>
        <v>0</v>
      </c>
      <c r="K62" s="38">
        <f>'Aug 21'!$F62*'Aug 21'!$I62</f>
        <v>218055</v>
      </c>
      <c r="L62" s="39">
        <f>'Aug 21'!$K62/$K$2</f>
        <v>4.1103467844722241E-3</v>
      </c>
      <c r="M62" s="40"/>
      <c r="N62" s="2"/>
      <c r="O62" s="2">
        <f>Table13895845679910[[#This Row],[Change]]*Table13895845679910[[#This Row],[Last price]]</f>
        <v>0</v>
      </c>
      <c r="P62" s="42">
        <f t="shared" si="1"/>
        <v>0</v>
      </c>
    </row>
    <row r="63" spans="1:18" s="41" customFormat="1" ht="25.5" x14ac:dyDescent="0.2">
      <c r="A63" s="33" t="s">
        <v>195</v>
      </c>
      <c r="B63" s="33" t="s">
        <v>86</v>
      </c>
      <c r="C63" s="33" t="s">
        <v>87</v>
      </c>
      <c r="D63" s="34">
        <v>1.5E-3</v>
      </c>
      <c r="E63" s="35">
        <f>'Aug 21'!$D63*$C$6*$C$2</f>
        <v>78545.692972499994</v>
      </c>
      <c r="F63" s="35">
        <v>49475</v>
      </c>
      <c r="G63" s="71">
        <f>'Aug 21'!$E63/'Aug 21'!$F63</f>
        <v>1.5875834860535623</v>
      </c>
      <c r="H63" s="33">
        <v>1</v>
      </c>
      <c r="I63" s="33">
        <v>1</v>
      </c>
      <c r="J63" s="37">
        <f t="shared" si="4"/>
        <v>0</v>
      </c>
      <c r="K63" s="38">
        <f>'Aug 21'!$F63*'Aug 21'!$I63</f>
        <v>49475</v>
      </c>
      <c r="L63" s="39">
        <f>'Aug 21'!$K63/$K$2</f>
        <v>9.3260602674446027E-4</v>
      </c>
      <c r="M63" s="40"/>
      <c r="N63" s="2"/>
      <c r="O63" s="2">
        <f>Table13895845679910[[#This Row],[Change]]*Table13895845679910[[#This Row],[Last price]]</f>
        <v>0</v>
      </c>
      <c r="P63" s="42">
        <f t="shared" si="1"/>
        <v>0</v>
      </c>
    </row>
    <row r="64" spans="1:18" s="41" customFormat="1" ht="25.5" x14ac:dyDescent="0.2">
      <c r="A64" s="33" t="s">
        <v>195</v>
      </c>
      <c r="B64" s="33" t="s">
        <v>89</v>
      </c>
      <c r="C64" s="33" t="s">
        <v>90</v>
      </c>
      <c r="D64" s="34">
        <v>1.5E-3</v>
      </c>
      <c r="E64" s="35">
        <f>'Aug 21'!$D64*$C$6*$C$2</f>
        <v>78545.692972499994</v>
      </c>
      <c r="F64" s="35">
        <v>45904</v>
      </c>
      <c r="G64" s="71">
        <f>'Aug 21'!$E64/'Aug 21'!$F64</f>
        <v>1.7110860267623735</v>
      </c>
      <c r="H64" s="33">
        <v>1</v>
      </c>
      <c r="I64" s="33">
        <v>1</v>
      </c>
      <c r="J64" s="37">
        <f t="shared" si="4"/>
        <v>0</v>
      </c>
      <c r="K64" s="38">
        <f>'Aug 21'!$F64*'Aug 21'!$I64</f>
        <v>45904</v>
      </c>
      <c r="L64" s="39">
        <f>'Aug 21'!$K64/$K$2</f>
        <v>8.6529251241390008E-4</v>
      </c>
      <c r="M64" s="40"/>
      <c r="N64" s="2"/>
      <c r="O64" s="2">
        <f>Table13895845679910[[#This Row],[Change]]*Table13895845679910[[#This Row],[Last price]]</f>
        <v>0</v>
      </c>
      <c r="P64" s="42">
        <f t="shared" si="1"/>
        <v>0</v>
      </c>
    </row>
    <row r="65" spans="1:16" s="41" customFormat="1" ht="25.5" x14ac:dyDescent="0.2">
      <c r="A65" s="33" t="s">
        <v>195</v>
      </c>
      <c r="B65" s="33" t="s">
        <v>202</v>
      </c>
      <c r="C65" s="33" t="s">
        <v>92</v>
      </c>
      <c r="D65" s="34">
        <v>1.5E-3</v>
      </c>
      <c r="E65" s="35">
        <f>'Aug 21'!$D65*$C$6*$C$2</f>
        <v>78545.692972499994</v>
      </c>
      <c r="F65" s="35">
        <v>12335.285714285699</v>
      </c>
      <c r="G65" s="71">
        <f>'Aug 21'!$E65/'Aug 21'!$F65</f>
        <v>6.3675617080790374</v>
      </c>
      <c r="H65" s="33">
        <v>7</v>
      </c>
      <c r="I65" s="33">
        <v>6</v>
      </c>
      <c r="J65" s="37">
        <f t="shared" si="4"/>
        <v>-1</v>
      </c>
      <c r="K65" s="38">
        <f>'Aug 21'!$F65*'Aug 21'!$I65</f>
        <v>74011.714285714203</v>
      </c>
      <c r="L65" s="39">
        <f>'Aug 21'!$K65/$K$2</f>
        <v>1.3951242201626303E-3</v>
      </c>
      <c r="M65" s="40"/>
      <c r="N65" s="2"/>
      <c r="O65" s="2">
        <f>Table13895845679910[[#This Row],[Change]]*Table13895845679910[[#This Row],[Last price]]</f>
        <v>-12335.285714285699</v>
      </c>
      <c r="P65" s="42">
        <f t="shared" si="1"/>
        <v>12335.285714285699</v>
      </c>
    </row>
    <row r="66" spans="1:16" s="41" customFormat="1" ht="25.5" x14ac:dyDescent="0.2">
      <c r="A66" s="33" t="s">
        <v>195</v>
      </c>
      <c r="B66" s="33" t="s">
        <v>96</v>
      </c>
      <c r="C66" s="33" t="s">
        <v>97</v>
      </c>
      <c r="D66" s="34">
        <v>1.5E-3</v>
      </c>
      <c r="E66" s="35">
        <f>'Aug 21'!$D66*$C$6*$C$2</f>
        <v>78545.692972499994</v>
      </c>
      <c r="F66" s="35">
        <v>88081</v>
      </c>
      <c r="G66" s="71">
        <f>'Aug 21'!$E66/'Aug 21'!$F66</f>
        <v>0.89174388315868336</v>
      </c>
      <c r="H66" s="33">
        <v>1</v>
      </c>
      <c r="I66" s="33">
        <v>1</v>
      </c>
      <c r="J66" s="37">
        <f t="shared" si="4"/>
        <v>0</v>
      </c>
      <c r="K66" s="38">
        <f>'Aug 21'!$F66*'Aug 21'!$I66</f>
        <v>88081</v>
      </c>
      <c r="L66" s="39">
        <f>'Aug 21'!$K66/$K$2</f>
        <v>1.6603309033184196E-3</v>
      </c>
      <c r="M66" s="40"/>
      <c r="N66" s="2"/>
    </row>
    <row r="67" spans="1:16" ht="26.25" x14ac:dyDescent="0.25">
      <c r="A67" s="33" t="s">
        <v>195</v>
      </c>
      <c r="B67" s="60" t="s">
        <v>123</v>
      </c>
      <c r="C67" s="60" t="s">
        <v>124</v>
      </c>
      <c r="D67" s="34">
        <v>1.5E-3</v>
      </c>
      <c r="E67" s="35">
        <f>'Aug 21'!$D67*$C$6*$C$2</f>
        <v>78545.692972499994</v>
      </c>
      <c r="F67" s="35">
        <v>61500</v>
      </c>
      <c r="G67" s="71">
        <f>'Aug 21'!$E67/'Aug 21'!$F67</f>
        <v>1.2771657393902438</v>
      </c>
      <c r="H67" s="33">
        <v>1</v>
      </c>
      <c r="I67" s="33">
        <v>1</v>
      </c>
      <c r="J67" s="37">
        <f t="shared" si="4"/>
        <v>0</v>
      </c>
      <c r="K67" s="38">
        <f>'Aug 21'!$F67*'Aug 21'!$I67</f>
        <v>61500</v>
      </c>
      <c r="L67" s="39">
        <f>'Aug 21'!$K67/$K$2</f>
        <v>1.1592778301118608E-3</v>
      </c>
      <c r="M67" s="62"/>
      <c r="O67" s="41"/>
      <c r="P67" s="41"/>
    </row>
    <row r="68" spans="1:16" s="41" customFormat="1" ht="25.5" x14ac:dyDescent="0.2">
      <c r="A68" s="33" t="s">
        <v>195</v>
      </c>
      <c r="B68" s="33" t="s">
        <v>205</v>
      </c>
      <c r="C68" s="33" t="s">
        <v>95</v>
      </c>
      <c r="D68" s="34">
        <v>1.5E-3</v>
      </c>
      <c r="E68" s="35">
        <f>'Aug 21'!$D68*$C$6*$C$2</f>
        <v>78545.692972499994</v>
      </c>
      <c r="F68" s="35">
        <v>135673</v>
      </c>
      <c r="G68" s="71">
        <f>'Aug 21'!$E68/'Aug 21'!$F68</f>
        <v>0.57893385546497822</v>
      </c>
      <c r="H68" s="33">
        <v>1</v>
      </c>
      <c r="I68" s="33">
        <v>1</v>
      </c>
      <c r="J68" s="37">
        <f t="shared" si="4"/>
        <v>0</v>
      </c>
      <c r="K68" s="38">
        <f>'Aug 21'!$F68*'Aug 21'!$I68</f>
        <v>135673</v>
      </c>
      <c r="L68" s="39">
        <f>'Aug 21'!$K68/$K$2</f>
        <v>2.5574422934108369E-3</v>
      </c>
      <c r="M68" s="40"/>
      <c r="N68" s="2"/>
    </row>
    <row r="69" spans="1:16" s="41" customFormat="1" ht="12.75" x14ac:dyDescent="0.2">
      <c r="A69" s="33"/>
      <c r="B69" s="33"/>
      <c r="C69" s="33"/>
      <c r="D69" s="34"/>
      <c r="E69" s="35"/>
      <c r="F69" s="35"/>
      <c r="G69" s="36"/>
      <c r="H69" s="33"/>
      <c r="I69" s="33"/>
      <c r="J69" s="40"/>
      <c r="K69" s="38"/>
      <c r="L69" s="39"/>
      <c r="M69" s="40"/>
      <c r="N69" s="2"/>
    </row>
    <row r="70" spans="1:16" s="41" customFormat="1" ht="12.75" x14ac:dyDescent="0.2">
      <c r="A70" s="33"/>
      <c r="B70" s="33"/>
      <c r="C70" s="33"/>
      <c r="D70" s="34"/>
      <c r="E70" s="35"/>
      <c r="F70" s="35"/>
      <c r="G70" s="36"/>
      <c r="H70" s="33"/>
      <c r="I70" s="33"/>
      <c r="J70" s="40"/>
      <c r="K70" s="38"/>
      <c r="L70" s="39"/>
      <c r="M70" s="40"/>
      <c r="N70" s="2"/>
    </row>
    <row r="71" spans="1:16" s="41" customFormat="1" ht="12.75" x14ac:dyDescent="0.2">
      <c r="A71" s="33"/>
      <c r="B71" s="33"/>
      <c r="C71" s="33"/>
      <c r="D71" s="34"/>
      <c r="E71" s="35"/>
      <c r="F71" s="35"/>
      <c r="G71" s="36"/>
      <c r="H71" s="33"/>
      <c r="I71" s="33"/>
      <c r="J71" s="40"/>
      <c r="K71" s="38"/>
      <c r="L71" s="39"/>
      <c r="M71" s="40"/>
      <c r="N71" s="2"/>
    </row>
    <row r="72" spans="1:16" s="41" customFormat="1" ht="12.75" x14ac:dyDescent="0.2">
      <c r="A72" s="33"/>
      <c r="B72" s="33"/>
      <c r="C72" s="33"/>
      <c r="D72" s="34"/>
      <c r="E72" s="35"/>
      <c r="F72" s="35"/>
      <c r="G72" s="36"/>
      <c r="H72" s="33"/>
      <c r="I72" s="33"/>
      <c r="J72" s="40"/>
      <c r="K72" s="38"/>
      <c r="L72" s="39"/>
      <c r="M72" s="40"/>
      <c r="N72" s="2"/>
    </row>
    <row r="73" spans="1:16" s="41" customFormat="1" ht="12.75" x14ac:dyDescent="0.2">
      <c r="A73" s="33"/>
      <c r="B73" s="33"/>
      <c r="C73" s="33"/>
      <c r="D73" s="34"/>
      <c r="E73" s="35"/>
      <c r="F73" s="35"/>
      <c r="G73" s="36"/>
      <c r="H73" s="33"/>
      <c r="I73" s="33"/>
      <c r="J73" s="40"/>
      <c r="K73" s="38"/>
      <c r="L73" s="39"/>
      <c r="M73" s="40"/>
      <c r="N73" s="2"/>
      <c r="O73" s="15"/>
      <c r="P73" s="15"/>
    </row>
    <row r="74" spans="1:16" s="41" customFormat="1" ht="12.75" x14ac:dyDescent="0.2">
      <c r="A74" s="33"/>
      <c r="B74" s="33"/>
      <c r="C74" s="33"/>
      <c r="D74" s="34"/>
      <c r="E74" s="35"/>
      <c r="F74" s="35"/>
      <c r="G74" s="36"/>
      <c r="H74" s="33"/>
      <c r="I74" s="33"/>
      <c r="J74" s="40"/>
      <c r="K74" s="38"/>
      <c r="L74" s="39"/>
      <c r="M74" s="40"/>
      <c r="N74" s="2"/>
      <c r="O74" s="2"/>
      <c r="P74" s="2"/>
    </row>
    <row r="75" spans="1:16" s="41" customFormat="1" ht="12.75" x14ac:dyDescent="0.2">
      <c r="A75" s="33"/>
      <c r="B75" s="33"/>
      <c r="C75" s="33"/>
      <c r="D75" s="34"/>
      <c r="E75" s="35"/>
      <c r="F75" s="35"/>
      <c r="G75" s="36"/>
      <c r="H75" s="33"/>
      <c r="I75" s="33"/>
      <c r="J75" s="40"/>
      <c r="K75" s="38"/>
      <c r="L75" s="39"/>
      <c r="M75" s="40"/>
      <c r="N75" s="2"/>
      <c r="O75" s="2"/>
      <c r="P75" s="2"/>
    </row>
    <row r="76" spans="1:16" s="15" customFormat="1" ht="12.75" x14ac:dyDescent="0.2">
      <c r="A76" s="47" t="s">
        <v>206</v>
      </c>
      <c r="B76" s="65"/>
      <c r="C76" s="65"/>
      <c r="D76" s="72">
        <f>SUM(D59:D75)</f>
        <v>1.4999999999999998E-2</v>
      </c>
      <c r="E76" s="49">
        <f>SUM(E58:E75)</f>
        <v>785456.92972499994</v>
      </c>
      <c r="F76" s="70"/>
      <c r="G76" s="70"/>
      <c r="H76" s="65"/>
      <c r="I76" s="65"/>
      <c r="J76" s="47"/>
      <c r="K76" s="49">
        <f>SUM(K58:K75)</f>
        <v>1011503.7142857142</v>
      </c>
      <c r="L76" s="53">
        <f>'Aug 21'!$K76/$K$2</f>
        <v>1.9066891561743581E-2</v>
      </c>
      <c r="M76" s="50"/>
    </row>
    <row r="77" spans="1:16" x14ac:dyDescent="0.25">
      <c r="A77" s="33"/>
      <c r="B77" s="60"/>
      <c r="C77" s="60"/>
      <c r="D77" s="73"/>
      <c r="E77" s="35"/>
      <c r="F77" s="35"/>
      <c r="G77" s="36"/>
      <c r="H77" s="60"/>
      <c r="I77" s="60"/>
      <c r="J77" s="33"/>
      <c r="K77" s="33"/>
      <c r="L77" s="39"/>
      <c r="M77" s="62"/>
    </row>
    <row r="78" spans="1:16" x14ac:dyDescent="0.25">
      <c r="A78" s="33"/>
      <c r="B78" s="60"/>
      <c r="C78" s="60"/>
      <c r="D78" s="74"/>
      <c r="E78" s="63"/>
      <c r="F78" s="35"/>
      <c r="G78" s="61"/>
      <c r="H78" s="60"/>
      <c r="I78" s="60"/>
      <c r="J78" s="33"/>
      <c r="K78" s="33"/>
      <c r="L78" s="39"/>
      <c r="M78" s="62"/>
    </row>
    <row r="79" spans="1:16" s="15" customFormat="1" ht="12.75" x14ac:dyDescent="0.2">
      <c r="A79" s="47" t="s">
        <v>207</v>
      </c>
      <c r="B79" s="65"/>
      <c r="C79" s="65"/>
      <c r="D79" s="65"/>
      <c r="E79" s="75"/>
      <c r="F79" s="75"/>
      <c r="G79" s="65"/>
      <c r="H79" s="65"/>
      <c r="I79" s="65"/>
      <c r="J79" s="65"/>
      <c r="K79" s="75">
        <f>SUM(K32,K34,K44,K56,K76)</f>
        <v>53050268.367562726</v>
      </c>
      <c r="L79" s="53">
        <f>'Aug 21'!$K79/$K$2</f>
        <v>1</v>
      </c>
      <c r="M79" s="65"/>
      <c r="O79" s="2"/>
      <c r="P79" s="2"/>
    </row>
    <row r="80" spans="1:16" x14ac:dyDescent="0.25">
      <c r="A80" s="62"/>
      <c r="B80" s="62"/>
      <c r="C80" s="62"/>
      <c r="D80" s="76"/>
      <c r="E80" s="77"/>
      <c r="F80" s="35"/>
      <c r="G80" s="78"/>
      <c r="H80" s="62"/>
      <c r="I80" s="62"/>
      <c r="J80" s="62"/>
      <c r="K80" s="62"/>
      <c r="L80" s="39"/>
      <c r="M80" s="62"/>
    </row>
    <row r="81" spans="1:13" x14ac:dyDescent="0.25">
      <c r="A81" s="62"/>
      <c r="B81" s="62"/>
      <c r="C81" s="62"/>
      <c r="D81" s="76"/>
      <c r="E81" s="77"/>
      <c r="F81" s="35"/>
      <c r="G81" s="78"/>
      <c r="H81" s="62"/>
      <c r="I81" s="62"/>
      <c r="J81" s="62"/>
      <c r="K81" s="62"/>
      <c r="L81" s="39"/>
      <c r="M81" s="62"/>
    </row>
    <row r="82" spans="1:13" x14ac:dyDescent="0.25">
      <c r="A82" s="62"/>
      <c r="B82" s="62"/>
      <c r="C82" s="62"/>
      <c r="D82" s="76"/>
      <c r="E82" s="77"/>
      <c r="F82" s="35"/>
      <c r="G82" s="78"/>
      <c r="H82" s="62"/>
      <c r="I82" s="62"/>
      <c r="J82" s="62"/>
      <c r="K82" s="62"/>
      <c r="L82" s="39"/>
      <c r="M82" s="62"/>
    </row>
    <row r="83" spans="1:13" x14ac:dyDescent="0.25">
      <c r="A83" s="62"/>
      <c r="B83" s="62"/>
      <c r="C83" s="62"/>
      <c r="D83" s="76"/>
      <c r="E83" s="77"/>
      <c r="F83" s="35"/>
      <c r="G83" s="78"/>
      <c r="H83" s="62"/>
      <c r="I83" s="62"/>
      <c r="J83" s="62"/>
      <c r="K83" s="62"/>
      <c r="L83" s="39"/>
      <c r="M83" s="62"/>
    </row>
    <row r="84" spans="1:13" x14ac:dyDescent="0.25">
      <c r="A84" s="62"/>
      <c r="B84" s="62"/>
      <c r="C84" s="62"/>
      <c r="D84" s="76"/>
      <c r="E84" s="77"/>
      <c r="F84" s="35"/>
      <c r="G84" s="78"/>
      <c r="H84" s="62"/>
      <c r="I84" s="62"/>
      <c r="J84" s="62"/>
      <c r="K84" s="62"/>
      <c r="L84" s="39"/>
      <c r="M84" s="62"/>
    </row>
    <row r="85" spans="1:13" x14ac:dyDescent="0.25">
      <c r="A85" s="62"/>
      <c r="B85" s="62"/>
      <c r="C85" s="62"/>
      <c r="D85" s="76"/>
      <c r="E85" s="77"/>
      <c r="F85" s="35"/>
      <c r="G85" s="78"/>
      <c r="H85" s="62"/>
      <c r="I85" s="62"/>
      <c r="J85" s="62"/>
      <c r="K85" s="62"/>
      <c r="L85" s="39"/>
      <c r="M85" s="62"/>
    </row>
    <row r="86" spans="1:13" x14ac:dyDescent="0.25">
      <c r="A86" s="62"/>
      <c r="B86" s="62"/>
      <c r="C86" s="62"/>
      <c r="D86" s="76"/>
      <c r="E86" s="77"/>
      <c r="F86" s="35"/>
      <c r="G86" s="78"/>
      <c r="H86" s="62"/>
      <c r="I86" s="62"/>
      <c r="J86" s="62"/>
      <c r="K86" s="62"/>
      <c r="L86" s="39"/>
      <c r="M86" s="62"/>
    </row>
    <row r="87" spans="1:13" x14ac:dyDescent="0.25">
      <c r="A87" s="62"/>
      <c r="B87" s="62"/>
      <c r="C87" s="62"/>
      <c r="D87" s="76"/>
      <c r="E87" s="77"/>
      <c r="F87" s="35"/>
      <c r="G87" s="78"/>
      <c r="H87" s="62"/>
      <c r="I87" s="62"/>
      <c r="J87" s="62"/>
      <c r="K87" s="62"/>
      <c r="L87" s="39"/>
      <c r="M87" s="62"/>
    </row>
    <row r="88" spans="1:13" x14ac:dyDescent="0.25">
      <c r="A88" s="62"/>
      <c r="B88" s="62"/>
      <c r="C88" s="62"/>
      <c r="D88" s="76"/>
      <c r="E88" s="77"/>
      <c r="F88" s="35"/>
      <c r="G88" s="78"/>
      <c r="H88" s="62"/>
      <c r="I88" s="62"/>
      <c r="J88" s="62"/>
      <c r="K88" s="62"/>
      <c r="L88" s="39"/>
      <c r="M88" s="62"/>
    </row>
    <row r="89" spans="1:13" s="2" customFormat="1" ht="12.75" x14ac:dyDescent="0.2"/>
    <row r="90" spans="1:13" s="2" customFormat="1" ht="12.75" x14ac:dyDescent="0.2"/>
    <row r="92" spans="1:13" s="2" customFormat="1" ht="12.75" x14ac:dyDescent="0.2">
      <c r="A92" s="79"/>
      <c r="B92" s="79"/>
      <c r="E92" s="79"/>
      <c r="F92" s="79"/>
      <c r="G92" s="79"/>
      <c r="H92" s="80"/>
      <c r="M92" s="79"/>
    </row>
    <row r="93" spans="1:13" s="2" customFormat="1" ht="12.75" x14ac:dyDescent="0.2">
      <c r="A93" s="79"/>
      <c r="B93" s="79"/>
      <c r="E93" s="79"/>
      <c r="F93" s="79"/>
      <c r="G93" s="79"/>
      <c r="H93" s="80"/>
      <c r="M93" s="79"/>
    </row>
    <row r="94" spans="1:13" s="2" customFormat="1" ht="12.75" x14ac:dyDescent="0.2">
      <c r="A94" s="81"/>
      <c r="B94" s="81"/>
    </row>
    <row r="95" spans="1:13" s="2" customFormat="1" ht="12.75" x14ac:dyDescent="0.2">
      <c r="A95" s="82"/>
      <c r="B95" s="82"/>
      <c r="E95" s="82"/>
      <c r="F95" s="81"/>
      <c r="G95" s="81"/>
      <c r="M95" s="83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6"/>
  <sheetViews>
    <sheetView zoomScaleNormal="100" workbookViewId="0">
      <pane xSplit="2" topLeftCell="E1" activePane="topRight" state="frozen"/>
      <selection activeCell="A13" sqref="A13"/>
      <selection pane="topRight" activeCell="P7" sqref="P7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4" width="10.5703125" style="2" customWidth="1"/>
    <col min="15" max="15" width="13" style="2" customWidth="1"/>
    <col min="16" max="16" width="12" style="2" bestFit="1" customWidth="1"/>
    <col min="17" max="18" width="10.85546875" style="2" customWidth="1"/>
    <col min="19" max="19" width="11.28515625" style="2" customWidth="1"/>
    <col min="20" max="1024" width="9.140625" style="2"/>
  </cols>
  <sheetData>
    <row r="1" spans="1:19" s="2" customFormat="1" ht="25.5" x14ac:dyDescent="0.2">
      <c r="A1" s="3"/>
      <c r="B1" s="3" t="s">
        <v>137</v>
      </c>
      <c r="C1" s="4">
        <v>44067</v>
      </c>
      <c r="D1" s="5"/>
      <c r="E1" s="6" t="s">
        <v>138</v>
      </c>
      <c r="F1" s="7"/>
      <c r="G1" s="8"/>
      <c r="K1" s="9" t="s">
        <v>139</v>
      </c>
      <c r="L1" s="9" t="s">
        <v>140</v>
      </c>
      <c r="M1" s="10" t="s">
        <v>141</v>
      </c>
    </row>
    <row r="2" spans="1:19" x14ac:dyDescent="0.25">
      <c r="A2" s="3"/>
      <c r="B2" s="3" t="s">
        <v>142</v>
      </c>
      <c r="C2" s="11">
        <v>6.3</v>
      </c>
      <c r="D2" s="12"/>
      <c r="E2" s="13">
        <f>SUM(E24,E36,E47,E67,E26)</f>
        <v>51009545.350176968</v>
      </c>
      <c r="F2" s="14"/>
      <c r="G2" s="15"/>
      <c r="H2" s="12"/>
      <c r="I2" s="12"/>
      <c r="J2" s="12"/>
      <c r="K2" s="13">
        <f>SUM(K24,K36,K47,K67,K26)</f>
        <v>51116393.864943683</v>
      </c>
      <c r="L2" s="16">
        <f>SUM(L47,L67,L36,L24,L26)</f>
        <v>1.0000000000000002</v>
      </c>
      <c r="M2" s="17">
        <f>K2/$C$6</f>
        <v>6.3132154038669945</v>
      </c>
      <c r="P2" s="18"/>
    </row>
    <row r="3" spans="1:19" ht="26.25" x14ac:dyDescent="0.25">
      <c r="A3" s="3"/>
      <c r="B3" s="3" t="s">
        <v>143</v>
      </c>
      <c r="C3" s="19">
        <v>8096728.9400000004</v>
      </c>
      <c r="D3" s="20"/>
      <c r="E3" s="6" t="s">
        <v>144</v>
      </c>
      <c r="F3" s="14"/>
      <c r="G3" s="15"/>
      <c r="H3" s="12"/>
      <c r="I3" s="12"/>
      <c r="J3" s="12"/>
      <c r="K3" s="9" t="s">
        <v>139</v>
      </c>
      <c r="L3" s="12"/>
      <c r="M3" s="10" t="s">
        <v>145</v>
      </c>
      <c r="P3" s="21"/>
    </row>
    <row r="4" spans="1:19" x14ac:dyDescent="0.25">
      <c r="A4" s="3"/>
      <c r="B4" s="3" t="s">
        <v>146</v>
      </c>
      <c r="C4" s="19">
        <v>0</v>
      </c>
      <c r="D4" s="20"/>
      <c r="E4" s="13">
        <f>SUM(E24,E67,E26)</f>
        <v>8926847.6939192899</v>
      </c>
      <c r="F4" s="14"/>
      <c r="G4" s="15"/>
      <c r="H4" s="12"/>
      <c r="I4" s="12"/>
      <c r="J4" s="12"/>
      <c r="K4" s="13">
        <f>SUM(K24,K26,K67)</f>
        <v>9167474.8851934522</v>
      </c>
      <c r="L4" s="12"/>
      <c r="M4" s="17">
        <f>K4/$C$6</f>
        <v>1.1322442622357878</v>
      </c>
      <c r="P4" s="21"/>
    </row>
    <row r="5" spans="1:19" x14ac:dyDescent="0.25">
      <c r="A5" s="3"/>
      <c r="B5" s="3" t="s">
        <v>147</v>
      </c>
      <c r="C5" s="19">
        <v>0</v>
      </c>
      <c r="D5" s="20"/>
      <c r="E5" s="14"/>
      <c r="F5" s="14"/>
      <c r="G5" s="213">
        <f>SUM(D24,D26,D36,D47,D67)</f>
        <v>1.000003</v>
      </c>
      <c r="H5" s="12"/>
      <c r="I5" s="12"/>
      <c r="J5" s="12"/>
      <c r="K5" s="12"/>
      <c r="L5" s="12"/>
      <c r="M5" s="12"/>
      <c r="P5" s="21"/>
    </row>
    <row r="6" spans="1:19" x14ac:dyDescent="0.25">
      <c r="A6" s="3"/>
      <c r="B6" s="3" t="s">
        <v>148</v>
      </c>
      <c r="C6" s="19">
        <f>C3+C4-C5</f>
        <v>8096728.9400000004</v>
      </c>
      <c r="D6" s="20"/>
      <c r="E6" s="14"/>
      <c r="F6" s="14"/>
      <c r="G6" s="15"/>
      <c r="H6" s="12"/>
      <c r="I6" s="12"/>
      <c r="J6" s="12"/>
      <c r="K6" s="12"/>
      <c r="L6" s="12"/>
      <c r="M6" s="12"/>
      <c r="P6" s="21"/>
    </row>
    <row r="7" spans="1:19" x14ac:dyDescent="0.25">
      <c r="A7" s="22"/>
      <c r="B7" s="23"/>
      <c r="C7" s="23"/>
      <c r="D7" s="24"/>
      <c r="E7" s="25"/>
      <c r="F7" s="25"/>
      <c r="G7" s="25"/>
      <c r="H7" s="26"/>
      <c r="I7" s="26"/>
      <c r="J7" s="26"/>
      <c r="K7" s="12"/>
      <c r="L7" s="12"/>
      <c r="M7" s="12"/>
      <c r="P7" s="219">
        <f>SUM(P9:P65)/2</f>
        <v>954237.89552439027</v>
      </c>
    </row>
    <row r="8" spans="1:19" s="30" customFormat="1" ht="38.25" x14ac:dyDescent="0.2">
      <c r="A8" s="27" t="s">
        <v>149</v>
      </c>
      <c r="B8" s="27" t="s">
        <v>150</v>
      </c>
      <c r="C8" s="28" t="s">
        <v>1</v>
      </c>
      <c r="D8" s="28" t="s">
        <v>151</v>
      </c>
      <c r="E8" s="28" t="s">
        <v>152</v>
      </c>
      <c r="F8" s="28" t="s">
        <v>153</v>
      </c>
      <c r="G8" s="28" t="s">
        <v>154</v>
      </c>
      <c r="H8" s="28" t="s">
        <v>155</v>
      </c>
      <c r="I8" s="28" t="s">
        <v>156</v>
      </c>
      <c r="J8" s="28" t="s">
        <v>157</v>
      </c>
      <c r="K8" s="29" t="s">
        <v>158</v>
      </c>
      <c r="L8" s="29" t="s">
        <v>159</v>
      </c>
      <c r="M8" s="29" t="s">
        <v>160</v>
      </c>
      <c r="P8" s="31"/>
      <c r="S8" s="32"/>
    </row>
    <row r="9" spans="1:19" s="41" customFormat="1" ht="12.75" x14ac:dyDescent="0.2">
      <c r="A9" s="33" t="s">
        <v>161</v>
      </c>
      <c r="B9" s="33" t="s">
        <v>41</v>
      </c>
      <c r="C9" s="33" t="s">
        <v>42</v>
      </c>
      <c r="D9" s="34">
        <v>5.1919999999999996E-3</v>
      </c>
      <c r="E9" s="35">
        <f>'Aug 24'!$D9*$C$6*$C$2</f>
        <v>264840.76493582397</v>
      </c>
      <c r="F9" s="35">
        <v>507.35062611806802</v>
      </c>
      <c r="G9" s="36">
        <f>'Aug 24'!$E9/'Aug 24'!$F9</f>
        <v>522.00736788721656</v>
      </c>
      <c r="H9" s="33">
        <v>559</v>
      </c>
      <c r="I9" s="33">
        <v>522</v>
      </c>
      <c r="J9" s="37">
        <f t="shared" ref="J9:J22" si="0">I9-H9</f>
        <v>-37</v>
      </c>
      <c r="K9" s="38">
        <f>'Aug 24'!$F9*'Aug 24'!$I9</f>
        <v>264837.02683363151</v>
      </c>
      <c r="L9" s="39">
        <f>'Aug 24'!$K9/$K$2</f>
        <v>5.1810584982455174E-3</v>
      </c>
      <c r="M9" s="40"/>
      <c r="O9" s="2">
        <f>Table1389584567991011[[#This Row],[Change]]*Table1389584567991011[[#This Row],[Last price]]</f>
        <v>-18771.973166368516</v>
      </c>
      <c r="P9" s="42">
        <f>ABS(O9)</f>
        <v>18771.973166368516</v>
      </c>
    </row>
    <row r="10" spans="1:19" s="41" customFormat="1" ht="25.5" customHeight="1" x14ac:dyDescent="0.2">
      <c r="A10" s="33" t="s">
        <v>161</v>
      </c>
      <c r="B10" s="33" t="s">
        <v>47</v>
      </c>
      <c r="C10" s="33" t="s">
        <v>48</v>
      </c>
      <c r="D10" s="34">
        <v>1.0385E-2</v>
      </c>
      <c r="E10" s="35">
        <f>'Aug 24'!$D10*$C$6*$C$2</f>
        <v>529732.5392639701</v>
      </c>
      <c r="F10" s="35">
        <v>605.40022675736998</v>
      </c>
      <c r="G10" s="36">
        <f>'Aug 24'!$E10/'Aug 24'!$F10</f>
        <v>875.01212561698344</v>
      </c>
      <c r="H10" s="33">
        <v>882</v>
      </c>
      <c r="I10" s="33">
        <v>875</v>
      </c>
      <c r="J10" s="37">
        <f t="shared" si="0"/>
        <v>-7</v>
      </c>
      <c r="K10" s="38">
        <f>'Aug 24'!$F10*'Aug 24'!$I10</f>
        <v>529725.19841269869</v>
      </c>
      <c r="L10" s="39">
        <f>'Aug 24'!$K10/$K$2</f>
        <v>1.0363117551138352E-2</v>
      </c>
      <c r="M10" s="40"/>
      <c r="O10" s="2">
        <f>Table1389584567991011[[#This Row],[Change]]*Table1389584567991011[[#This Row],[Last price]]</f>
        <v>-4237.8015873015902</v>
      </c>
      <c r="P10" s="42">
        <f t="shared" ref="P10:P65" si="1">ABS(O10)</f>
        <v>4237.8015873015902</v>
      </c>
    </row>
    <row r="11" spans="1:19" s="41" customFormat="1" ht="12.75" customHeight="1" x14ac:dyDescent="0.2">
      <c r="A11" s="33" t="s">
        <v>161</v>
      </c>
      <c r="B11" s="33" t="s">
        <v>50</v>
      </c>
      <c r="C11" s="33" t="s">
        <v>51</v>
      </c>
      <c r="D11" s="34">
        <v>1.0385E-2</v>
      </c>
      <c r="E11" s="35">
        <f>'Aug 24'!$D11*$C$6*$C$2</f>
        <v>529732.5392639701</v>
      </c>
      <c r="F11" s="35">
        <v>2042.5</v>
      </c>
      <c r="G11" s="36">
        <f>'Aug 24'!$E11/'Aug 24'!$F11</f>
        <v>259.35497638382867</v>
      </c>
      <c r="H11" s="33">
        <v>266</v>
      </c>
      <c r="I11" s="33">
        <v>259</v>
      </c>
      <c r="J11" s="37">
        <f t="shared" si="0"/>
        <v>-7</v>
      </c>
      <c r="K11" s="38">
        <f>'Aug 24'!$F11*'Aug 24'!$I11</f>
        <v>529007.5</v>
      </c>
      <c r="L11" s="39">
        <f>'Aug 24'!$K11/$K$2</f>
        <v>1.0349077076871037E-2</v>
      </c>
      <c r="M11" s="40"/>
      <c r="O11" s="2">
        <f>Table1389584567991011[[#This Row],[Change]]*Table1389584567991011[[#This Row],[Last price]]</f>
        <v>-14297.5</v>
      </c>
      <c r="P11" s="42">
        <f t="shared" si="1"/>
        <v>14297.5</v>
      </c>
    </row>
    <row r="12" spans="1:19" s="41" customFormat="1" ht="12.75" customHeight="1" x14ac:dyDescent="0.2">
      <c r="A12" s="33" t="s">
        <v>161</v>
      </c>
      <c r="B12" s="33" t="s">
        <v>35</v>
      </c>
      <c r="C12" s="33" t="s">
        <v>36</v>
      </c>
      <c r="D12" s="34">
        <v>5.1919999999999996E-3</v>
      </c>
      <c r="E12" s="35">
        <f>'Aug 24'!$D12*$C$6*$C$2</f>
        <v>264840.76493582397</v>
      </c>
      <c r="F12" s="35">
        <v>75.099863201094394</v>
      </c>
      <c r="G12" s="36">
        <f>'Aug 24'!$E12/'Aug 24'!$F12</f>
        <v>3526.5146119728829</v>
      </c>
      <c r="H12" s="33">
        <v>3655</v>
      </c>
      <c r="I12" s="33">
        <v>3527</v>
      </c>
      <c r="J12" s="37">
        <f t="shared" si="0"/>
        <v>-128</v>
      </c>
      <c r="K12" s="38">
        <f>'Aug 24'!$F12*'Aug 24'!$I12</f>
        <v>264877.21751025994</v>
      </c>
      <c r="L12" s="39">
        <f>'Aug 24'!$K12/$K$2</f>
        <v>5.1818447563046176E-3</v>
      </c>
      <c r="M12" s="40"/>
      <c r="O12" s="2">
        <f>Table1389584567991011[[#This Row],[Change]]*Table1389584567991011[[#This Row],[Last price]]</f>
        <v>-9612.7824897400824</v>
      </c>
      <c r="P12" s="42">
        <f t="shared" si="1"/>
        <v>9612.7824897400824</v>
      </c>
    </row>
    <row r="13" spans="1:19" s="44" customFormat="1" ht="12.75" customHeight="1" x14ac:dyDescent="0.2">
      <c r="A13" s="33" t="s">
        <v>161</v>
      </c>
      <c r="B13" s="33" t="s">
        <v>26</v>
      </c>
      <c r="C13" s="33" t="s">
        <v>27</v>
      </c>
      <c r="D13" s="34">
        <v>1.0385E-2</v>
      </c>
      <c r="E13" s="35">
        <f>'Aug 24'!$D13*$C$6*$C$2</f>
        <v>529732.5392639701</v>
      </c>
      <c r="F13" s="35">
        <v>226.14987405541601</v>
      </c>
      <c r="G13" s="36">
        <f>'Aug 24'!$E13/'Aug 24'!$F13</f>
        <v>2342.3959065931822</v>
      </c>
      <c r="H13" s="33">
        <v>2382</v>
      </c>
      <c r="I13" s="33">
        <v>2342</v>
      </c>
      <c r="J13" s="37">
        <f t="shared" si="0"/>
        <v>-40</v>
      </c>
      <c r="K13" s="38">
        <f>'Aug 24'!$F13*'Aug 24'!$I13</f>
        <v>529643.00503778434</v>
      </c>
      <c r="L13" s="39">
        <f>'Aug 24'!$K13/$K$2</f>
        <v>1.0361509586086445E-2</v>
      </c>
      <c r="M13" s="33"/>
      <c r="O13" s="2">
        <f>Table1389584567991011[[#This Row],[Change]]*Table1389584567991011[[#This Row],[Last price]]</f>
        <v>-9045.9949622166405</v>
      </c>
      <c r="P13" s="42">
        <f t="shared" si="1"/>
        <v>9045.9949622166405</v>
      </c>
    </row>
    <row r="14" spans="1:19" s="44" customFormat="1" ht="12.75" customHeight="1" x14ac:dyDescent="0.2">
      <c r="A14" s="33" t="s">
        <v>161</v>
      </c>
      <c r="B14" s="33" t="s">
        <v>238</v>
      </c>
      <c r="C14" s="33" t="s">
        <v>239</v>
      </c>
      <c r="D14" s="34">
        <v>1.0385E-2</v>
      </c>
      <c r="E14" s="35">
        <f>'Aug 24'!$D14*$C$6*$C$2</f>
        <v>529732.5392639701</v>
      </c>
      <c r="F14" s="35">
        <v>44.549991541194402</v>
      </c>
      <c r="G14" s="36">
        <f>'Aug 24'!$E14/'Aug 24'!$F14</f>
        <v>11890.743879808328</v>
      </c>
      <c r="H14" s="33">
        <v>11822</v>
      </c>
      <c r="I14" s="33">
        <v>11890</v>
      </c>
      <c r="J14" s="37">
        <f t="shared" si="0"/>
        <v>68</v>
      </c>
      <c r="K14" s="38">
        <f>'Aug 24'!$F14*'Aug 24'!$I14</f>
        <v>529699.39942480146</v>
      </c>
      <c r="L14" s="39">
        <f>'Aug 24'!$K14/$K$2</f>
        <v>1.0362612840497665E-2</v>
      </c>
      <c r="M14" s="33"/>
      <c r="O14" s="2">
        <f>Table1389584567991011[[#This Row],[Change]]*Table1389584567991011[[#This Row],[Last price]]</f>
        <v>3029.3994248012195</v>
      </c>
      <c r="P14" s="42">
        <f t="shared" si="1"/>
        <v>3029.3994248012195</v>
      </c>
    </row>
    <row r="15" spans="1:19" s="44" customFormat="1" ht="12.75" customHeight="1" x14ac:dyDescent="0.2">
      <c r="A15" s="33" t="s">
        <v>161</v>
      </c>
      <c r="B15" s="33" t="s">
        <v>240</v>
      </c>
      <c r="C15" s="33" t="s">
        <v>241</v>
      </c>
      <c r="D15" s="34">
        <v>1.0385E-2</v>
      </c>
      <c r="E15" s="35">
        <f>'Aug 24'!$D15*$C$6*$C$2</f>
        <v>529732.5392639701</v>
      </c>
      <c r="F15" s="35">
        <v>883.25078369905998</v>
      </c>
      <c r="G15" s="36">
        <f>'Aug 24'!$E15/'Aug 24'!$F15</f>
        <v>599.75326265259207</v>
      </c>
      <c r="H15" s="33">
        <v>638</v>
      </c>
      <c r="I15" s="33">
        <v>600</v>
      </c>
      <c r="J15" s="37">
        <f t="shared" si="0"/>
        <v>-38</v>
      </c>
      <c r="K15" s="38">
        <f>'Aug 24'!$F15*'Aug 24'!$I15</f>
        <v>529950.47021943599</v>
      </c>
      <c r="L15" s="39">
        <f>'Aug 24'!$K15/$K$2</f>
        <v>1.0367524587505833E-2</v>
      </c>
      <c r="M15" s="33"/>
      <c r="O15" s="2">
        <f>Table1389584567991011[[#This Row],[Change]]*Table1389584567991011[[#This Row],[Last price]]</f>
        <v>-33563.529780564277</v>
      </c>
      <c r="P15" s="42">
        <f t="shared" si="1"/>
        <v>33563.529780564277</v>
      </c>
    </row>
    <row r="16" spans="1:19" s="44" customFormat="1" ht="12.75" customHeight="1" x14ac:dyDescent="0.2">
      <c r="A16" s="33" t="s">
        <v>161</v>
      </c>
      <c r="B16" s="33" t="s">
        <v>242</v>
      </c>
      <c r="C16" s="33" t="s">
        <v>243</v>
      </c>
      <c r="D16" s="34">
        <v>1.0385E-2</v>
      </c>
      <c r="E16" s="35">
        <f>'Aug 24'!$D16*$C$6*$C$2</f>
        <v>529732.5392639701</v>
      </c>
      <c r="F16" s="35">
        <v>243.5</v>
      </c>
      <c r="G16" s="36">
        <f>'Aug 24'!$E16/'Aug 24'!$F16</f>
        <v>2175.4929743900211</v>
      </c>
      <c r="H16" s="33">
        <v>2196</v>
      </c>
      <c r="I16" s="33">
        <v>2175</v>
      </c>
      <c r="J16" s="37">
        <f t="shared" si="0"/>
        <v>-21</v>
      </c>
      <c r="K16" s="38">
        <f>'Aug 24'!$F16*'Aug 24'!$I16</f>
        <v>529612.5</v>
      </c>
      <c r="L16" s="39">
        <f>'Aug 24'!$K16/$K$2</f>
        <v>1.0360912810072375E-2</v>
      </c>
      <c r="M16" s="33"/>
      <c r="O16" s="2">
        <f>Table1389584567991011[[#This Row],[Change]]*Table1389584567991011[[#This Row],[Last price]]</f>
        <v>-5113.5</v>
      </c>
      <c r="P16" s="42">
        <f t="shared" si="1"/>
        <v>5113.5</v>
      </c>
    </row>
    <row r="17" spans="1:17" s="44" customFormat="1" ht="12.75" customHeight="1" x14ac:dyDescent="0.2">
      <c r="A17" s="33" t="s">
        <v>161</v>
      </c>
      <c r="B17" s="33" t="s">
        <v>244</v>
      </c>
      <c r="C17" s="33" t="s">
        <v>245</v>
      </c>
      <c r="D17" s="34">
        <v>1.0385E-2</v>
      </c>
      <c r="E17" s="35">
        <f>'Aug 24'!$D17*$C$6*$C$2</f>
        <v>529732.5392639701</v>
      </c>
      <c r="F17" s="35">
        <v>130.37009569378</v>
      </c>
      <c r="G17" s="36">
        <f>'Aug 24'!$E17/'Aug 24'!$F17</f>
        <v>4063.2979246117393</v>
      </c>
      <c r="H17" s="33">
        <v>4180</v>
      </c>
      <c r="I17" s="33">
        <v>4063</v>
      </c>
      <c r="J17" s="37">
        <f t="shared" si="0"/>
        <v>-117</v>
      </c>
      <c r="K17" s="38">
        <f>'Aug 24'!$F17*'Aug 24'!$I17</f>
        <v>529693.6988038281</v>
      </c>
      <c r="L17" s="39">
        <f>'Aug 24'!$K17/$K$2</f>
        <v>1.0362501318135809E-2</v>
      </c>
      <c r="M17" s="33"/>
      <c r="O17" s="2">
        <f>Table1389584567991011[[#This Row],[Change]]*Table1389584567991011[[#This Row],[Last price]]</f>
        <v>-15253.30119617226</v>
      </c>
      <c r="P17" s="42">
        <f t="shared" si="1"/>
        <v>15253.30119617226</v>
      </c>
    </row>
    <row r="18" spans="1:17" s="44" customFormat="1" ht="12.75" customHeight="1" x14ac:dyDescent="0.2">
      <c r="A18" s="33" t="s">
        <v>161</v>
      </c>
      <c r="B18" s="33" t="s">
        <v>29</v>
      </c>
      <c r="C18" s="33" t="s">
        <v>30</v>
      </c>
      <c r="D18" s="34">
        <v>1.0385E-2</v>
      </c>
      <c r="E18" s="35">
        <f>'Aug 24'!$D18*$C$6*$C$2</f>
        <v>529732.5392639701</v>
      </c>
      <c r="F18" s="35">
        <v>210.50019723865901</v>
      </c>
      <c r="G18" s="36">
        <f>'Aug 24'!$E18/'Aug 24'!$F18</f>
        <v>2516.5417715185072</v>
      </c>
      <c r="H18" s="33">
        <v>2535</v>
      </c>
      <c r="I18" s="33">
        <v>2517</v>
      </c>
      <c r="J18" s="37">
        <f t="shared" si="0"/>
        <v>-18</v>
      </c>
      <c r="K18" s="38">
        <f>'Aug 24'!$F18*'Aug 24'!$I18</f>
        <v>529828.99644970475</v>
      </c>
      <c r="L18" s="39">
        <f>'Aug 24'!$K18/$K$2</f>
        <v>1.0365148172415751E-2</v>
      </c>
      <c r="M18" s="33"/>
      <c r="O18" s="2">
        <f>Table1389584567991011[[#This Row],[Change]]*Table1389584567991011[[#This Row],[Last price]]</f>
        <v>-3789.0035502958622</v>
      </c>
      <c r="P18" s="42">
        <f t="shared" si="1"/>
        <v>3789.0035502958622</v>
      </c>
    </row>
    <row r="19" spans="1:17" s="44" customFormat="1" ht="12.75" customHeight="1" x14ac:dyDescent="0.2">
      <c r="A19" s="33" t="s">
        <v>161</v>
      </c>
      <c r="B19" s="33" t="s">
        <v>246</v>
      </c>
      <c r="C19" s="33" t="s">
        <v>247</v>
      </c>
      <c r="D19" s="34">
        <v>1.0385E-2</v>
      </c>
      <c r="E19" s="35">
        <f>'Aug 24'!$D19*$C$6*$C$2</f>
        <v>529732.5392639701</v>
      </c>
      <c r="F19" s="35">
        <v>128.13696648179399</v>
      </c>
      <c r="G19" s="36">
        <f>'Aug 24'!$E19/'Aug 24'!$F19</f>
        <v>4134.1117540755558</v>
      </c>
      <c r="H19" s="33">
        <v>4147</v>
      </c>
      <c r="I19" s="33">
        <v>4134</v>
      </c>
      <c r="J19" s="37">
        <f t="shared" si="0"/>
        <v>-13</v>
      </c>
      <c r="K19" s="38">
        <f>'Aug 24'!$F19*'Aug 24'!$I19</f>
        <v>529718.2194357363</v>
      </c>
      <c r="L19" s="39">
        <f>'Aug 24'!$K19/$K$2</f>
        <v>1.0362981020048526E-2</v>
      </c>
      <c r="M19" s="33"/>
      <c r="O19" s="2">
        <f>Table1389584567991011[[#This Row],[Change]]*Table1389584567991011[[#This Row],[Last price]]</f>
        <v>-1665.7805642633218</v>
      </c>
      <c r="P19" s="42">
        <f t="shared" si="1"/>
        <v>1665.7805642633218</v>
      </c>
    </row>
    <row r="20" spans="1:17" s="44" customFormat="1" ht="12.75" customHeight="1" x14ac:dyDescent="0.2">
      <c r="A20" s="33" t="s">
        <v>161</v>
      </c>
      <c r="B20" s="33" t="s">
        <v>38</v>
      </c>
      <c r="C20" s="33" t="s">
        <v>39</v>
      </c>
      <c r="D20" s="34">
        <v>1.0385E-2</v>
      </c>
      <c r="E20" s="35">
        <f>'Aug 24'!$D20*$C$6*$C$2</f>
        <v>529732.5392639701</v>
      </c>
      <c r="F20" s="35">
        <v>66.420002494076599</v>
      </c>
      <c r="G20" s="36">
        <f>'Aug 24'!$E20/'Aug 24'!$F20</f>
        <v>7975.4971299679219</v>
      </c>
      <c r="H20" s="33">
        <v>8019</v>
      </c>
      <c r="I20" s="33">
        <v>7976</v>
      </c>
      <c r="J20" s="37">
        <f t="shared" si="0"/>
        <v>-43</v>
      </c>
      <c r="K20" s="38">
        <f>'Aug 24'!$F20*'Aug 24'!$I20</f>
        <v>529765.93989275501</v>
      </c>
      <c r="L20" s="39">
        <f>'Aug 24'!$K20/$K$2</f>
        <v>1.0363914584672524E-2</v>
      </c>
      <c r="M20" s="33"/>
      <c r="O20" s="2">
        <f>Table1389584567991011[[#This Row],[Change]]*Table1389584567991011[[#This Row],[Last price]]</f>
        <v>-2856.0601072452937</v>
      </c>
      <c r="P20" s="42">
        <f t="shared" si="1"/>
        <v>2856.0601072452937</v>
      </c>
    </row>
    <row r="21" spans="1:17" s="44" customFormat="1" ht="12.75" customHeight="1" x14ac:dyDescent="0.2">
      <c r="A21" s="33" t="s">
        <v>161</v>
      </c>
      <c r="B21" s="33" t="s">
        <v>56</v>
      </c>
      <c r="C21" s="33" t="s">
        <v>57</v>
      </c>
      <c r="D21" s="34">
        <v>1.0385E-2</v>
      </c>
      <c r="E21" s="35">
        <f>'Aug 24'!$D21*$C$6*$C$2</f>
        <v>529732.5392639701</v>
      </c>
      <c r="F21" s="35">
        <v>290.100215517241</v>
      </c>
      <c r="G21" s="36">
        <f>'Aug 24'!$E21/'Aug 24'!$F21</f>
        <v>1826.0329049375955</v>
      </c>
      <c r="H21" s="33">
        <v>1856</v>
      </c>
      <c r="I21" s="33">
        <v>1826</v>
      </c>
      <c r="J21" s="37">
        <f t="shared" si="0"/>
        <v>-30</v>
      </c>
      <c r="K21" s="38">
        <f>'Aug 24'!$F21*'Aug 24'!$I21</f>
        <v>529722.99353448208</v>
      </c>
      <c r="L21" s="39">
        <f>'Aug 24'!$K21/$K$2</f>
        <v>1.0363074416675024E-2</v>
      </c>
      <c r="M21" s="33"/>
      <c r="O21" s="2">
        <f>Table1389584567991011[[#This Row],[Change]]*Table1389584567991011[[#This Row],[Last price]]</f>
        <v>-8703.00646551723</v>
      </c>
      <c r="P21" s="42">
        <f t="shared" si="1"/>
        <v>8703.00646551723</v>
      </c>
    </row>
    <row r="22" spans="1:17" s="44" customFormat="1" ht="12.75" customHeight="1" x14ac:dyDescent="0.2">
      <c r="A22" s="33" t="s">
        <v>161</v>
      </c>
      <c r="B22" s="33" t="s">
        <v>248</v>
      </c>
      <c r="C22" s="33" t="s">
        <v>249</v>
      </c>
      <c r="D22" s="34">
        <v>1.0385E-2</v>
      </c>
      <c r="E22" s="35">
        <f>'Aug 24'!$D22*$C$6*$C$2</f>
        <v>529732.5392639701</v>
      </c>
      <c r="F22" s="35">
        <v>46.129997547216099</v>
      </c>
      <c r="G22" s="36">
        <f>'Aug 24'!$E22/'Aug 24'!$F22</f>
        <v>11483.472088238577</v>
      </c>
      <c r="H22" s="33">
        <v>12231</v>
      </c>
      <c r="I22" s="33">
        <v>11483</v>
      </c>
      <c r="J22" s="37">
        <f t="shared" si="0"/>
        <v>-748</v>
      </c>
      <c r="K22" s="38">
        <f>'Aug 24'!$F22*'Aug 24'!$I22</f>
        <v>529710.76183468243</v>
      </c>
      <c r="L22" s="39">
        <f>'Aug 24'!$K22/$K$2</f>
        <v>1.0362835125542086E-2</v>
      </c>
      <c r="M22" s="33"/>
      <c r="O22" s="2">
        <f>Table1389584567991011[[#This Row],[Change]]*Table1389584567991011[[#This Row],[Last price]]</f>
        <v>-34505.238165317642</v>
      </c>
      <c r="P22" s="42">
        <f t="shared" si="1"/>
        <v>34505.238165317642</v>
      </c>
    </row>
    <row r="23" spans="1:17" s="44" customFormat="1" ht="12.75" customHeight="1" x14ac:dyDescent="0.2">
      <c r="A23" s="33"/>
      <c r="B23" s="33"/>
      <c r="C23" s="33"/>
      <c r="D23" s="34"/>
      <c r="E23" s="35"/>
      <c r="F23" s="35"/>
      <c r="G23" s="36"/>
      <c r="H23" s="33"/>
      <c r="I23" s="33"/>
      <c r="J23" s="45"/>
      <c r="K23" s="35"/>
      <c r="L23" s="46"/>
      <c r="M23" s="33"/>
      <c r="O23" s="2">
        <f>Table1389584567991011[[#This Row],[Change]]*Table1389584567991011[[#This Row],[Last price]]</f>
        <v>0</v>
      </c>
      <c r="P23" s="42">
        <f t="shared" si="1"/>
        <v>0</v>
      </c>
    </row>
    <row r="24" spans="1:17" s="54" customFormat="1" ht="12.75" customHeight="1" x14ac:dyDescent="0.2">
      <c r="A24" s="47" t="s">
        <v>177</v>
      </c>
      <c r="B24" s="47"/>
      <c r="C24" s="47"/>
      <c r="D24" s="48">
        <f>SUBTOTAL(9,D9:D23)</f>
        <v>0.13500400000000001</v>
      </c>
      <c r="E24" s="49">
        <f>'Aug 24'!$D24*$C$6*$C$2</f>
        <v>6886472.0010392889</v>
      </c>
      <c r="F24" s="51"/>
      <c r="G24" s="51"/>
      <c r="H24" s="47"/>
      <c r="I24" s="47"/>
      <c r="J24" s="52"/>
      <c r="K24" s="49">
        <f>SUM(K9:K23)</f>
        <v>6885792.9273898024</v>
      </c>
      <c r="L24" s="53">
        <f>'Aug 24'!$K24/$K$2</f>
        <v>0.13470811234421159</v>
      </c>
      <c r="M24" s="47"/>
      <c r="O24" s="2">
        <f>Table1389584567991011[[#This Row],[Change]]*Table1389584567991011[[#This Row],[Last price]]</f>
        <v>0</v>
      </c>
      <c r="P24" s="42">
        <f t="shared" si="1"/>
        <v>0</v>
      </c>
    </row>
    <row r="25" spans="1:17" s="44" customFormat="1" ht="12.75" customHeight="1" x14ac:dyDescent="0.2">
      <c r="A25" s="33"/>
      <c r="B25" s="33"/>
      <c r="C25" s="33"/>
      <c r="D25" s="34"/>
      <c r="E25" s="35"/>
      <c r="F25" s="35"/>
      <c r="G25" s="36"/>
      <c r="H25" s="33"/>
      <c r="I25" s="33"/>
      <c r="J25" s="45"/>
      <c r="K25" s="35"/>
      <c r="L25" s="39"/>
      <c r="M25" s="33"/>
      <c r="O25" s="2">
        <f>Table1389584567991011[[#This Row],[Change]]*Table1389584567991011[[#This Row],[Last price]]</f>
        <v>0</v>
      </c>
      <c r="P25" s="42">
        <f t="shared" si="1"/>
        <v>0</v>
      </c>
    </row>
    <row r="26" spans="1:17" s="41" customFormat="1" ht="12.75" customHeight="1" x14ac:dyDescent="0.2">
      <c r="A26" s="55"/>
      <c r="B26" s="47" t="s">
        <v>32</v>
      </c>
      <c r="C26" s="55" t="s">
        <v>33</v>
      </c>
      <c r="D26" s="56">
        <v>2.5000000000000001E-2</v>
      </c>
      <c r="E26" s="57">
        <f>'Aug 24'!$D26*$C$6*$C$2</f>
        <v>1275234.8080500001</v>
      </c>
      <c r="F26" s="51">
        <v>18.4800011274911</v>
      </c>
      <c r="G26" s="58">
        <f>'Aug 24'!$E26/'Aug 24'!$F26</f>
        <v>69006.208346651212</v>
      </c>
      <c r="H26" s="55">
        <v>70954</v>
      </c>
      <c r="I26" s="55">
        <v>69006</v>
      </c>
      <c r="J26" s="59">
        <f>I26-H26</f>
        <v>-1948</v>
      </c>
      <c r="K26" s="50">
        <f>'Aug 24'!$F26*'Aug 24'!$I26</f>
        <v>1275230.9578036508</v>
      </c>
      <c r="L26" s="53">
        <f>'Aug 24'!$K26/$K$2</f>
        <v>2.494759237462996E-2</v>
      </c>
      <c r="M26" s="47"/>
      <c r="O26" s="2">
        <f>Table1389584567991011[[#This Row],[Change]]*Table1389584567991011[[#This Row],[Last price]]</f>
        <v>-35999.042196352661</v>
      </c>
      <c r="P26" s="42">
        <f t="shared" si="1"/>
        <v>35999.042196352661</v>
      </c>
      <c r="Q26" s="42"/>
    </row>
    <row r="27" spans="1:17" s="41" customFormat="1" ht="12.75" customHeight="1" x14ac:dyDescent="0.2">
      <c r="A27" s="33"/>
      <c r="B27" s="33"/>
      <c r="C27" s="33"/>
      <c r="D27" s="34"/>
      <c r="E27" s="35"/>
      <c r="F27" s="35"/>
      <c r="G27" s="36"/>
      <c r="H27" s="33"/>
      <c r="I27" s="33"/>
      <c r="J27" s="45"/>
      <c r="K27" s="38"/>
      <c r="L27" s="39"/>
      <c r="M27" s="33"/>
      <c r="O27" s="2">
        <f>Table1389584567991011[[#This Row],[Change]]*Table1389584567991011[[#This Row],[Last price]]</f>
        <v>0</v>
      </c>
      <c r="P27" s="42">
        <f t="shared" si="1"/>
        <v>0</v>
      </c>
      <c r="Q27" s="42"/>
    </row>
    <row r="28" spans="1:17" ht="26.25" x14ac:dyDescent="0.25">
      <c r="A28" s="33" t="s">
        <v>178</v>
      </c>
      <c r="B28" s="214" t="s">
        <v>179</v>
      </c>
      <c r="C28" s="60" t="s">
        <v>106</v>
      </c>
      <c r="D28" s="34">
        <v>3.6110999999999997E-2</v>
      </c>
      <c r="E28" s="35">
        <f>'Aug 24'!$D28*$C$6*$C$2</f>
        <v>1842000.1661397421</v>
      </c>
      <c r="F28" s="35">
        <v>158216.41666666701</v>
      </c>
      <c r="G28" s="61">
        <f>'Aug 24'!$E28/'Aug 24'!$F28</f>
        <v>11.642282166082037</v>
      </c>
      <c r="H28" s="33">
        <v>12</v>
      </c>
      <c r="I28" s="33">
        <v>12</v>
      </c>
      <c r="J28" s="37">
        <f t="shared" ref="J28:J34" si="2">I28-H28</f>
        <v>0</v>
      </c>
      <c r="K28" s="38">
        <f>'Aug 24'!$F28*'Aug 24'!$I28</f>
        <v>1898597.0000000042</v>
      </c>
      <c r="L28" s="39">
        <f>'Aug 24'!$K28/$K$2</f>
        <v>3.7142624047704735E-2</v>
      </c>
      <c r="M28" s="62"/>
      <c r="O28" s="2">
        <f>Table1389584567991011[[#This Row],[Change]]*Table1389584567991011[[#This Row],[Last price]]</f>
        <v>0</v>
      </c>
      <c r="P28" s="42">
        <f t="shared" si="1"/>
        <v>0</v>
      </c>
    </row>
    <row r="29" spans="1:17" ht="26.25" x14ac:dyDescent="0.25">
      <c r="A29" s="33" t="s">
        <v>178</v>
      </c>
      <c r="B29" s="214" t="s">
        <v>180</v>
      </c>
      <c r="C29" s="60" t="s">
        <v>110</v>
      </c>
      <c r="D29" s="34">
        <v>3.6110999999999997E-2</v>
      </c>
      <c r="E29" s="35">
        <f>'Aug 24'!$D29*$C$6*$C$2</f>
        <v>1842000.1661397421</v>
      </c>
      <c r="F29" s="35">
        <v>222503.555555556</v>
      </c>
      <c r="G29" s="61">
        <f>'Aug 24'!$E29/'Aug 24'!$F29</f>
        <v>8.2785201411301514</v>
      </c>
      <c r="H29" s="33">
        <v>9</v>
      </c>
      <c r="I29" s="33">
        <v>8</v>
      </c>
      <c r="J29" s="37">
        <f t="shared" si="2"/>
        <v>-1</v>
      </c>
      <c r="K29" s="38">
        <f>'Aug 24'!$F29*'Aug 24'!$I29</f>
        <v>1780028.444444448</v>
      </c>
      <c r="L29" s="39">
        <f>'Aug 24'!$K29/$K$2</f>
        <v>3.4823044230145032E-2</v>
      </c>
      <c r="M29" s="62"/>
      <c r="O29" s="2">
        <f>Table1389584567991011[[#This Row],[Change]]*Table1389584567991011[[#This Row],[Last price]]</f>
        <v>-222503.555555556</v>
      </c>
      <c r="P29" s="42">
        <f t="shared" si="1"/>
        <v>222503.555555556</v>
      </c>
    </row>
    <row r="30" spans="1:17" ht="26.25" x14ac:dyDescent="0.25">
      <c r="A30" s="33" t="s">
        <v>178</v>
      </c>
      <c r="B30" s="214" t="s">
        <v>181</v>
      </c>
      <c r="C30" s="60" t="s">
        <v>113</v>
      </c>
      <c r="D30" s="34">
        <v>3.6110999999999997E-2</v>
      </c>
      <c r="E30" s="35">
        <f>'Aug 24'!$D30*$C$6*$C$2</f>
        <v>1842000.1661397421</v>
      </c>
      <c r="F30" s="35">
        <v>179875</v>
      </c>
      <c r="G30" s="61">
        <f>'Aug 24'!$E30/'Aug 24'!$F30</f>
        <v>10.240445676940887</v>
      </c>
      <c r="H30" s="33">
        <v>11</v>
      </c>
      <c r="I30" s="33">
        <v>10</v>
      </c>
      <c r="J30" s="37">
        <f t="shared" si="2"/>
        <v>-1</v>
      </c>
      <c r="K30" s="38">
        <f>'Aug 24'!$F30*'Aug 24'!$I30</f>
        <v>1798750</v>
      </c>
      <c r="L30" s="39">
        <f>'Aug 24'!$K30/$K$2</f>
        <v>3.5189297679185605E-2</v>
      </c>
      <c r="M30" s="62"/>
      <c r="O30" s="2">
        <f>Table1389584567991011[[#This Row],[Change]]*Table1389584567991011[[#This Row],[Last price]]</f>
        <v>-179875</v>
      </c>
      <c r="P30" s="42">
        <f t="shared" si="1"/>
        <v>179875</v>
      </c>
    </row>
    <row r="31" spans="1:17" ht="26.25" x14ac:dyDescent="0.25">
      <c r="A31" s="33" t="s">
        <v>178</v>
      </c>
      <c r="B31" s="214" t="s">
        <v>182</v>
      </c>
      <c r="C31" s="60" t="s">
        <v>116</v>
      </c>
      <c r="D31" s="34">
        <v>3.6110999999999997E-2</v>
      </c>
      <c r="E31" s="35">
        <f>'Aug 24'!$D31*$C$6*$C$2</f>
        <v>1842000.1661397421</v>
      </c>
      <c r="F31" s="35">
        <v>125873.133333333</v>
      </c>
      <c r="G31" s="61">
        <f>'Aug 24'!$E31/'Aug 24'!$F31</f>
        <v>14.633783376646543</v>
      </c>
      <c r="H31" s="33">
        <v>15</v>
      </c>
      <c r="I31" s="33">
        <v>15</v>
      </c>
      <c r="J31" s="37">
        <f t="shared" si="2"/>
        <v>0</v>
      </c>
      <c r="K31" s="38">
        <f>'Aug 24'!$F31*'Aug 24'!$I31</f>
        <v>1888096.9999999949</v>
      </c>
      <c r="L31" s="39">
        <f>'Aug 24'!$K31/$K$2</f>
        <v>3.6937210496276372E-2</v>
      </c>
      <c r="M31" s="62"/>
      <c r="O31" s="2">
        <f>Table1389584567991011[[#This Row],[Change]]*Table1389584567991011[[#This Row],[Last price]]</f>
        <v>0</v>
      </c>
      <c r="P31" s="42">
        <f t="shared" si="1"/>
        <v>0</v>
      </c>
    </row>
    <row r="32" spans="1:17" ht="26.25" x14ac:dyDescent="0.25">
      <c r="A32" s="33" t="s">
        <v>178</v>
      </c>
      <c r="B32" s="214" t="s">
        <v>183</v>
      </c>
      <c r="C32" s="60" t="s">
        <v>119</v>
      </c>
      <c r="D32" s="34">
        <v>3.6110999999999997E-2</v>
      </c>
      <c r="E32" s="35">
        <f>'Aug 24'!$D32*$C$6*$C$2</f>
        <v>1842000.1661397421</v>
      </c>
      <c r="F32" s="35">
        <v>139639.57142857101</v>
      </c>
      <c r="G32" s="61">
        <f>'Aug 24'!$E32/'Aug 24'!$F32</f>
        <v>13.191104407549471</v>
      </c>
      <c r="H32" s="33">
        <v>14</v>
      </c>
      <c r="I32" s="33">
        <v>13</v>
      </c>
      <c r="J32" s="37">
        <f t="shared" si="2"/>
        <v>-1</v>
      </c>
      <c r="K32" s="38">
        <f>'Aug 24'!$F32*'Aug 24'!$I32</f>
        <v>1815314.4285714231</v>
      </c>
      <c r="L32" s="39">
        <f>'Aug 24'!$K32/$K$2</f>
        <v>3.5513350831588894E-2</v>
      </c>
      <c r="M32" s="62"/>
      <c r="O32" s="2">
        <f>Table1389584567991011[[#This Row],[Change]]*Table1389584567991011[[#This Row],[Last price]]</f>
        <v>-139639.57142857101</v>
      </c>
      <c r="P32" s="42">
        <f t="shared" si="1"/>
        <v>139639.57142857101</v>
      </c>
    </row>
    <row r="33" spans="1:17" ht="26.25" x14ac:dyDescent="0.25">
      <c r="A33" s="33" t="s">
        <v>178</v>
      </c>
      <c r="B33" s="60" t="s">
        <v>184</v>
      </c>
      <c r="C33" s="60" t="s">
        <v>122</v>
      </c>
      <c r="D33" s="34">
        <v>0.125</v>
      </c>
      <c r="E33" s="35">
        <f>'Aug 24'!$D33*$C$6*$C$2</f>
        <v>6376174.0402500005</v>
      </c>
      <c r="F33" s="35">
        <v>416309.125</v>
      </c>
      <c r="G33" s="61">
        <f>'Aug 24'!$E33/'Aug 24'!$F33</f>
        <v>15.31596032215244</v>
      </c>
      <c r="H33" s="33">
        <v>16</v>
      </c>
      <c r="I33" s="33">
        <v>15</v>
      </c>
      <c r="J33" s="37">
        <f t="shared" si="2"/>
        <v>-1</v>
      </c>
      <c r="K33" s="38">
        <f>'Aug 24'!$F33*'Aug 24'!$I33</f>
        <v>6244636.875</v>
      </c>
      <c r="L33" s="39">
        <f>'Aug 24'!$K33/$K$2</f>
        <v>0.12216505122601493</v>
      </c>
      <c r="M33" s="62"/>
      <c r="O33" s="2">
        <f>Table1389584567991011[[#This Row],[Change]]*Table1389584567991011[[#This Row],[Last price]]</f>
        <v>-416309.125</v>
      </c>
      <c r="P33" s="42">
        <f t="shared" si="1"/>
        <v>416309.125</v>
      </c>
    </row>
    <row r="34" spans="1:17" ht="26.25" x14ac:dyDescent="0.25">
      <c r="A34" s="33" t="s">
        <v>178</v>
      </c>
      <c r="B34" s="214" t="s">
        <v>185</v>
      </c>
      <c r="C34" s="60" t="s">
        <v>127</v>
      </c>
      <c r="D34" s="34">
        <v>3.6110999999999997E-2</v>
      </c>
      <c r="E34" s="35">
        <f>'Aug 24'!$D34*$C$6*$C$2</f>
        <v>1842000.1661397421</v>
      </c>
      <c r="F34" s="35">
        <v>220826.555555556</v>
      </c>
      <c r="G34" s="61">
        <f>'Aug 24'!$E34/'Aug 24'!$F34</f>
        <v>8.3413888402399508</v>
      </c>
      <c r="H34" s="33">
        <v>9</v>
      </c>
      <c r="I34" s="33">
        <v>8</v>
      </c>
      <c r="J34" s="37">
        <f t="shared" si="2"/>
        <v>-1</v>
      </c>
      <c r="K34" s="38">
        <f>'Aug 24'!$F34*'Aug 24'!$I34</f>
        <v>1766612.444444448</v>
      </c>
      <c r="L34" s="39">
        <f>'Aug 24'!$K34/$K$2</f>
        <v>3.4560584401005935E-2</v>
      </c>
      <c r="M34" s="62"/>
      <c r="O34" s="2">
        <f>Table1389584567991011[[#This Row],[Change]]*Table1389584567991011[[#This Row],[Last price]]</f>
        <v>-220826.555555556</v>
      </c>
      <c r="P34" s="42">
        <f t="shared" si="1"/>
        <v>220826.555555556</v>
      </c>
    </row>
    <row r="35" spans="1:17" s="64" customFormat="1" ht="12.75" x14ac:dyDescent="0.2">
      <c r="A35" s="33"/>
      <c r="B35" s="60"/>
      <c r="C35" s="60"/>
      <c r="D35" s="34"/>
      <c r="E35" s="63"/>
      <c r="F35" s="35"/>
      <c r="G35" s="61"/>
      <c r="H35" s="33"/>
      <c r="I35" s="33"/>
      <c r="J35" s="45"/>
      <c r="K35" s="35"/>
      <c r="L35" s="46"/>
      <c r="M35" s="62"/>
      <c r="O35" s="2">
        <f>Table1389584567991011[[#This Row],[Change]]*Table1389584567991011[[#This Row],[Last price]]</f>
        <v>0</v>
      </c>
      <c r="P35" s="42">
        <f t="shared" si="1"/>
        <v>0</v>
      </c>
    </row>
    <row r="36" spans="1:17" s="15" customFormat="1" ht="12.75" x14ac:dyDescent="0.2">
      <c r="A36" s="47" t="s">
        <v>186</v>
      </c>
      <c r="B36" s="65"/>
      <c r="C36" s="65"/>
      <c r="D36" s="56">
        <f>SUBTOTAL(9,D28:D35)</f>
        <v>0.34166600000000003</v>
      </c>
      <c r="E36" s="66">
        <f>'Aug 24'!$D36*$C$6*$C$2</f>
        <v>17428175.037088454</v>
      </c>
      <c r="F36" s="67"/>
      <c r="G36" s="67"/>
      <c r="H36" s="55"/>
      <c r="I36" s="55"/>
      <c r="J36" s="59"/>
      <c r="K36" s="66">
        <f>SUM(K28:K35)</f>
        <v>17192036.192460321</v>
      </c>
      <c r="L36" s="68">
        <f>'Aug 24'!$K36/$K$2</f>
        <v>0.33633116291192156</v>
      </c>
      <c r="M36" s="69"/>
      <c r="O36" s="2">
        <f>Table1389584567991011[[#This Row],[Change]]*Table1389584567991011[[#This Row],[Last price]]</f>
        <v>0</v>
      </c>
      <c r="P36" s="42">
        <f t="shared" si="1"/>
        <v>0</v>
      </c>
    </row>
    <row r="37" spans="1:17" s="64" customFormat="1" ht="12.75" x14ac:dyDescent="0.2">
      <c r="A37" s="33"/>
      <c r="B37" s="60"/>
      <c r="C37" s="60"/>
      <c r="D37" s="34"/>
      <c r="E37" s="63"/>
      <c r="F37" s="35"/>
      <c r="G37" s="61"/>
      <c r="H37" s="33"/>
      <c r="I37" s="33"/>
      <c r="J37" s="45"/>
      <c r="K37" s="35"/>
      <c r="L37" s="39"/>
      <c r="M37" s="62"/>
      <c r="O37" s="2">
        <f>Table1389584567991011[[#This Row],[Change]]*Table1389584567991011[[#This Row],[Last price]]</f>
        <v>0</v>
      </c>
      <c r="P37" s="42">
        <f t="shared" si="1"/>
        <v>0</v>
      </c>
    </row>
    <row r="38" spans="1:17" s="41" customFormat="1" ht="25.5" customHeight="1" x14ac:dyDescent="0.2">
      <c r="A38" s="33" t="s">
        <v>187</v>
      </c>
      <c r="B38" s="33" t="s">
        <v>63</v>
      </c>
      <c r="C38" s="33" t="s">
        <v>64</v>
      </c>
      <c r="D38" s="34">
        <v>3.6110999999999997E-2</v>
      </c>
      <c r="E38" s="35">
        <f>'Aug 24'!$D38*$C$6*$C$2</f>
        <v>1842000.1661397421</v>
      </c>
      <c r="F38" s="35">
        <v>94226.142857142899</v>
      </c>
      <c r="G38" s="36">
        <f>'Aug 24'!$E38/'Aug 24'!$F38</f>
        <v>19.548716633051775</v>
      </c>
      <c r="H38" s="33">
        <v>20</v>
      </c>
      <c r="I38" s="33">
        <v>20</v>
      </c>
      <c r="J38" s="37">
        <f t="shared" ref="J38:J43" si="3">I38-H38</f>
        <v>0</v>
      </c>
      <c r="K38" s="38">
        <f>'Aug 24'!$F38*'Aug 24'!$I38</f>
        <v>1884522.857142858</v>
      </c>
      <c r="L38" s="39">
        <f>'Aug 24'!$K38/$K$2</f>
        <v>3.6867288841267214E-2</v>
      </c>
      <c r="M38" s="40"/>
      <c r="N38" s="2"/>
      <c r="O38" s="2">
        <f>Table1389584567991011[[#This Row],[Change]]*Table1389584567991011[[#This Row],[Last price]]</f>
        <v>0</v>
      </c>
      <c r="P38" s="42">
        <f t="shared" si="1"/>
        <v>0</v>
      </c>
      <c r="Q38" s="42"/>
    </row>
    <row r="39" spans="1:17" s="41" customFormat="1" ht="25.5" customHeight="1" x14ac:dyDescent="0.2">
      <c r="A39" s="33" t="s">
        <v>187</v>
      </c>
      <c r="B39" s="33" t="s">
        <v>72</v>
      </c>
      <c r="C39" s="33" t="s">
        <v>73</v>
      </c>
      <c r="D39" s="34">
        <v>3.6110999999999997E-2</v>
      </c>
      <c r="E39" s="35">
        <f>'Aug 24'!$D39*$C$6*$C$2</f>
        <v>1842000.1661397421</v>
      </c>
      <c r="F39" s="35">
        <v>115441.3125</v>
      </c>
      <c r="G39" s="36">
        <f>'Aug 24'!$E39/'Aug 24'!$F39</f>
        <v>15.956160981275591</v>
      </c>
      <c r="H39" s="33">
        <v>16</v>
      </c>
      <c r="I39" s="33">
        <v>16</v>
      </c>
      <c r="J39" s="37">
        <f t="shared" si="3"/>
        <v>0</v>
      </c>
      <c r="K39" s="38">
        <f>'Aug 24'!$F39*'Aug 24'!$I39</f>
        <v>1847061</v>
      </c>
      <c r="L39" s="39">
        <f>'Aug 24'!$K39/$K$2</f>
        <v>3.6134415210904373E-2</v>
      </c>
      <c r="M39" s="40"/>
      <c r="N39" s="2"/>
      <c r="O39" s="2">
        <f>Table1389584567991011[[#This Row],[Change]]*Table1389584567991011[[#This Row],[Last price]]</f>
        <v>0</v>
      </c>
      <c r="P39" s="42">
        <f t="shared" si="1"/>
        <v>0</v>
      </c>
    </row>
    <row r="40" spans="1:17" s="41" customFormat="1" ht="25.5" customHeight="1" x14ac:dyDescent="0.2">
      <c r="A40" s="33" t="s">
        <v>187</v>
      </c>
      <c r="B40" s="33" t="s">
        <v>76</v>
      </c>
      <c r="C40" s="33" t="s">
        <v>77</v>
      </c>
      <c r="D40" s="34">
        <v>3.6110999999999997E-2</v>
      </c>
      <c r="E40" s="35">
        <f>'Aug 24'!$D40*$C$6*$C$2</f>
        <v>1842000.1661397421</v>
      </c>
      <c r="F40" s="35">
        <v>112537.882352941</v>
      </c>
      <c r="G40" s="36">
        <f>'Aug 24'!$E40/'Aug 24'!$F40</f>
        <v>16.367823239847951</v>
      </c>
      <c r="H40" s="33">
        <v>17</v>
      </c>
      <c r="I40" s="33">
        <v>16</v>
      </c>
      <c r="J40" s="37">
        <f t="shared" si="3"/>
        <v>-1</v>
      </c>
      <c r="K40" s="38">
        <f>'Aug 24'!$F40*'Aug 24'!$I40</f>
        <v>1800606.117647056</v>
      </c>
      <c r="L40" s="39">
        <f>'Aug 24'!$K40/$K$2</f>
        <v>3.52256092713523E-2</v>
      </c>
      <c r="M40" s="40"/>
      <c r="N40" s="2"/>
      <c r="O40" s="2">
        <f>Table1389584567991011[[#This Row],[Change]]*Table1389584567991011[[#This Row],[Last price]]</f>
        <v>-112537.882352941</v>
      </c>
      <c r="P40" s="42">
        <f t="shared" si="1"/>
        <v>112537.882352941</v>
      </c>
    </row>
    <row r="41" spans="1:17" s="41" customFormat="1" ht="25.5" x14ac:dyDescent="0.2">
      <c r="A41" s="33" t="s">
        <v>187</v>
      </c>
      <c r="B41" s="33" t="s">
        <v>78</v>
      </c>
      <c r="C41" s="33" t="s">
        <v>79</v>
      </c>
      <c r="D41" s="34">
        <v>0.125</v>
      </c>
      <c r="E41" s="35">
        <f>'Aug 24'!$D41*$C$6*$C$2</f>
        <v>6376174.0402500005</v>
      </c>
      <c r="F41" s="35">
        <v>249436.73076923101</v>
      </c>
      <c r="G41" s="36">
        <f>'Aug 24'!$E41/'Aug 24'!$F41</f>
        <v>25.562289966624782</v>
      </c>
      <c r="H41" s="33">
        <v>26</v>
      </c>
      <c r="I41" s="33">
        <v>26</v>
      </c>
      <c r="J41" s="37">
        <f t="shared" si="3"/>
        <v>0</v>
      </c>
      <c r="K41" s="38">
        <f>'Aug 24'!$F41*'Aug 24'!$I41</f>
        <v>6485355.0000000065</v>
      </c>
      <c r="L41" s="39">
        <f>'Aug 24'!$K41/$K$2</f>
        <v>0.12687426693548018</v>
      </c>
      <c r="M41" s="40"/>
      <c r="N41" s="2"/>
      <c r="O41" s="2">
        <f>Table1389584567991011[[#This Row],[Change]]*Table1389584567991011[[#This Row],[Last price]]</f>
        <v>0</v>
      </c>
      <c r="P41" s="42">
        <f t="shared" si="1"/>
        <v>0</v>
      </c>
    </row>
    <row r="42" spans="1:17" s="41" customFormat="1" ht="25.5" x14ac:dyDescent="0.2">
      <c r="A42" s="33" t="s">
        <v>187</v>
      </c>
      <c r="B42" s="33" t="s">
        <v>193</v>
      </c>
      <c r="C42" s="33" t="s">
        <v>100</v>
      </c>
      <c r="D42" s="34">
        <v>0.125</v>
      </c>
      <c r="E42" s="35">
        <f>'Aug 24'!$D42*$C$6*$C$2</f>
        <v>6376174.0402500005</v>
      </c>
      <c r="F42" s="35">
        <v>416340.1875</v>
      </c>
      <c r="G42" s="36">
        <f>'Aug 24'!$E42/'Aug 24'!$F42</f>
        <v>15.314817621947679</v>
      </c>
      <c r="H42" s="33">
        <v>16</v>
      </c>
      <c r="I42" s="33">
        <v>15</v>
      </c>
      <c r="J42" s="37">
        <f t="shared" si="3"/>
        <v>-1</v>
      </c>
      <c r="K42" s="38">
        <f>'Aug 24'!$F42*'Aug 24'!$I42</f>
        <v>6245102.8125</v>
      </c>
      <c r="L42" s="39">
        <f>'Aug 24'!$K42/$K$2</f>
        <v>0.12217416645235955</v>
      </c>
      <c r="M42" s="40"/>
      <c r="N42" s="2"/>
      <c r="O42" s="2">
        <f>Table1389584567991011[[#This Row],[Change]]*Table1389584567991011[[#This Row],[Last price]]</f>
        <v>-416340.1875</v>
      </c>
      <c r="P42" s="42">
        <f t="shared" si="1"/>
        <v>416340.1875</v>
      </c>
    </row>
    <row r="43" spans="1:17" s="41" customFormat="1" ht="25.5" x14ac:dyDescent="0.2">
      <c r="A43" s="33" t="s">
        <v>187</v>
      </c>
      <c r="B43" s="33" t="s">
        <v>102</v>
      </c>
      <c r="C43" s="33" t="s">
        <v>103</v>
      </c>
      <c r="D43" s="34">
        <v>0.125</v>
      </c>
      <c r="E43" s="35">
        <f>'Aug 24'!$D43*$C$6*$C$2</f>
        <v>6376174.0402500005</v>
      </c>
      <c r="F43" s="35">
        <v>249778.26923076899</v>
      </c>
      <c r="G43" s="36">
        <f>'Aug 24'!$E43/'Aug 24'!$F43</f>
        <v>25.527336945229141</v>
      </c>
      <c r="H43" s="33">
        <v>26</v>
      </c>
      <c r="I43" s="33">
        <v>26</v>
      </c>
      <c r="J43" s="37">
        <f t="shared" si="3"/>
        <v>0</v>
      </c>
      <c r="K43" s="38">
        <f>'Aug 24'!$F43*'Aug 24'!$I43</f>
        <v>6494234.9999999935</v>
      </c>
      <c r="L43" s="39">
        <f>'Aug 24'!$K43/$K$2</f>
        <v>0.12704798811040205</v>
      </c>
      <c r="M43" s="40"/>
      <c r="N43" s="2"/>
      <c r="O43" s="2">
        <f>Table1389584567991011[[#This Row],[Change]]*Table1389584567991011[[#This Row],[Last price]]</f>
        <v>0</v>
      </c>
      <c r="P43" s="42">
        <f t="shared" si="1"/>
        <v>0</v>
      </c>
    </row>
    <row r="44" spans="1:17" s="41" customFormat="1" ht="12.75" x14ac:dyDescent="0.2">
      <c r="A44" s="33"/>
      <c r="B44" s="33"/>
      <c r="C44" s="33"/>
      <c r="D44" s="34"/>
      <c r="E44" s="35"/>
      <c r="F44" s="35"/>
      <c r="G44" s="36"/>
      <c r="H44" s="33"/>
      <c r="I44" s="33"/>
      <c r="J44" s="37"/>
      <c r="K44" s="38"/>
      <c r="L44" s="39"/>
      <c r="M44" s="40"/>
      <c r="N44" s="2"/>
      <c r="O44" s="2">
        <f>Table1389584567991011[[#This Row],[Change]]*Table1389584567991011[[#This Row],[Last price]]</f>
        <v>0</v>
      </c>
      <c r="P44" s="42">
        <f t="shared" si="1"/>
        <v>0</v>
      </c>
    </row>
    <row r="45" spans="1:17" s="41" customFormat="1" ht="12.75" x14ac:dyDescent="0.2">
      <c r="A45" s="33"/>
      <c r="B45" s="33"/>
      <c r="C45" s="33"/>
      <c r="D45" s="34"/>
      <c r="E45" s="35"/>
      <c r="F45" s="35"/>
      <c r="G45" s="36"/>
      <c r="H45" s="33"/>
      <c r="I45" s="33"/>
      <c r="J45" s="37"/>
      <c r="K45" s="38"/>
      <c r="L45" s="39"/>
      <c r="M45" s="40"/>
      <c r="N45" s="2"/>
      <c r="O45" s="2">
        <f>Table1389584567991011[[#This Row],[Change]]*Table1389584567991011[[#This Row],[Last price]]</f>
        <v>0</v>
      </c>
      <c r="P45" s="42">
        <f t="shared" si="1"/>
        <v>0</v>
      </c>
    </row>
    <row r="46" spans="1:17" s="44" customFormat="1" ht="12.75" x14ac:dyDescent="0.2">
      <c r="A46" s="33"/>
      <c r="B46" s="33"/>
      <c r="C46" s="33"/>
      <c r="D46" s="34"/>
      <c r="E46" s="35"/>
      <c r="F46" s="35"/>
      <c r="G46" s="36"/>
      <c r="H46" s="33"/>
      <c r="I46" s="33"/>
      <c r="J46" s="45"/>
      <c r="K46" s="35"/>
      <c r="L46" s="39"/>
      <c r="M46" s="33"/>
      <c r="N46" s="64"/>
      <c r="O46" s="2">
        <f>Table1389584567991011[[#This Row],[Change]]*Table1389584567991011[[#This Row],[Last price]]</f>
        <v>0</v>
      </c>
      <c r="P46" s="42">
        <f t="shared" si="1"/>
        <v>0</v>
      </c>
    </row>
    <row r="47" spans="1:17" s="54" customFormat="1" ht="12.75" x14ac:dyDescent="0.2">
      <c r="A47" s="47" t="s">
        <v>194</v>
      </c>
      <c r="B47" s="47"/>
      <c r="C47" s="47"/>
      <c r="D47" s="56">
        <f>SUBTOTAL(9,D38:D46)</f>
        <v>0.48333300000000001</v>
      </c>
      <c r="E47" s="49">
        <f>'Aug 24'!$D47*$C$6*$C$2</f>
        <v>24654522.619169228</v>
      </c>
      <c r="F47" s="70"/>
      <c r="G47" s="70"/>
      <c r="H47" s="55"/>
      <c r="I47" s="55"/>
      <c r="J47" s="59"/>
      <c r="K47" s="49">
        <f>SUM(K38:K46)</f>
        <v>24756882.787289914</v>
      </c>
      <c r="L47" s="68">
        <f>'Aug 24'!$K47/$K$2</f>
        <v>0.48432373482176566</v>
      </c>
      <c r="M47" s="47"/>
      <c r="N47" s="15"/>
      <c r="O47" s="2">
        <f>Table1389584567991011[[#This Row],[Change]]*Table1389584567991011[[#This Row],[Last price]]</f>
        <v>0</v>
      </c>
      <c r="P47" s="42">
        <f t="shared" si="1"/>
        <v>0</v>
      </c>
    </row>
    <row r="48" spans="1:17" s="44" customFormat="1" ht="12.75" x14ac:dyDescent="0.2">
      <c r="A48" s="33"/>
      <c r="B48" s="33"/>
      <c r="C48" s="33"/>
      <c r="D48" s="34"/>
      <c r="E48" s="35"/>
      <c r="F48" s="35"/>
      <c r="G48" s="36"/>
      <c r="H48" s="33"/>
      <c r="I48" s="33"/>
      <c r="J48" s="45"/>
      <c r="K48" s="35"/>
      <c r="L48" s="39"/>
      <c r="M48" s="33"/>
      <c r="N48" s="64"/>
      <c r="O48" s="2">
        <f>Table1389584567991011[[#This Row],[Change]]*Table1389584567991011[[#This Row],[Last price]]</f>
        <v>0</v>
      </c>
      <c r="P48" s="42">
        <f t="shared" si="1"/>
        <v>0</v>
      </c>
    </row>
    <row r="49" spans="1:18" s="41" customFormat="1" ht="12.75" x14ac:dyDescent="0.2">
      <c r="A49" s="33"/>
      <c r="B49" s="33"/>
      <c r="C49" s="33"/>
      <c r="D49" s="34"/>
      <c r="E49" s="35"/>
      <c r="F49" s="35"/>
      <c r="G49" s="71"/>
      <c r="H49" s="33"/>
      <c r="I49" s="33"/>
      <c r="J49" s="37"/>
      <c r="K49" s="38"/>
      <c r="L49" s="39"/>
      <c r="M49" s="40"/>
      <c r="N49" s="2"/>
      <c r="O49" s="2">
        <f>Table1389584567991011[[#This Row],[Change]]*Table1389584567991011[[#This Row],[Last price]]</f>
        <v>0</v>
      </c>
      <c r="P49" s="42">
        <f t="shared" si="1"/>
        <v>0</v>
      </c>
    </row>
    <row r="50" spans="1:18" s="41" customFormat="1" ht="25.5" x14ac:dyDescent="0.2">
      <c r="A50" s="33" t="s">
        <v>195</v>
      </c>
      <c r="B50" s="33" t="s">
        <v>67</v>
      </c>
      <c r="C50" s="33" t="s">
        <v>68</v>
      </c>
      <c r="D50" s="34">
        <v>1.5E-3</v>
      </c>
      <c r="E50" s="35">
        <f>'Aug 24'!$D50*$C$6*$C$2</f>
        <v>76514.088483</v>
      </c>
      <c r="F50" s="35">
        <v>43671.5</v>
      </c>
      <c r="G50" s="71">
        <f>'Aug 24'!$E50/'Aug 24'!$F50</f>
        <v>1.7520371061905362</v>
      </c>
      <c r="H50" s="33">
        <v>2</v>
      </c>
      <c r="I50" s="33">
        <v>2</v>
      </c>
      <c r="J50" s="37">
        <f t="shared" ref="J50:J59" si="4">I50-H50</f>
        <v>0</v>
      </c>
      <c r="K50" s="38">
        <f>'Aug 24'!$F50*'Aug 24'!$I50</f>
        <v>87343</v>
      </c>
      <c r="L50" s="39">
        <f>'Aug 24'!$K50/$K$2</f>
        <v>1.7087081735611442E-3</v>
      </c>
      <c r="M50" s="40"/>
      <c r="N50" s="2"/>
      <c r="O50" s="2">
        <f>Table1389584567991011[[#This Row],[Change]]*Table1389584567991011[[#This Row],[Last price]]</f>
        <v>0</v>
      </c>
      <c r="P50" s="42">
        <f t="shared" si="1"/>
        <v>0</v>
      </c>
    </row>
    <row r="51" spans="1:18" s="41" customFormat="1" ht="25.5" x14ac:dyDescent="0.2">
      <c r="A51" s="33" t="s">
        <v>195</v>
      </c>
      <c r="B51" s="33" t="s">
        <v>70</v>
      </c>
      <c r="C51" s="33" t="s">
        <v>71</v>
      </c>
      <c r="D51" s="34">
        <v>1.5E-3</v>
      </c>
      <c r="E51" s="35">
        <f>'Aug 24'!$D51*$C$6*$C$2</f>
        <v>76514.088483</v>
      </c>
      <c r="F51" s="35">
        <v>163472</v>
      </c>
      <c r="G51" s="71">
        <f>'Aug 24'!$E51/'Aug 24'!$F51</f>
        <v>0.46805623276769109</v>
      </c>
      <c r="H51" s="33">
        <v>1</v>
      </c>
      <c r="I51" s="33">
        <v>1</v>
      </c>
      <c r="J51" s="37">
        <f t="shared" si="4"/>
        <v>0</v>
      </c>
      <c r="K51" s="38">
        <f>'Aug 24'!$F51*'Aug 24'!$I51</f>
        <v>163472</v>
      </c>
      <c r="L51" s="39">
        <f>'Aug 24'!$K51/$K$2</f>
        <v>3.1980346741969862E-3</v>
      </c>
      <c r="M51" s="40"/>
      <c r="N51" s="2"/>
      <c r="O51" s="2">
        <f>Table1389584567991011[[#This Row],[Change]]*Table1389584567991011[[#This Row],[Last price]]</f>
        <v>0</v>
      </c>
      <c r="P51" s="42">
        <f t="shared" si="1"/>
        <v>0</v>
      </c>
      <c r="R51" s="41" t="s">
        <v>198</v>
      </c>
    </row>
    <row r="52" spans="1:18" s="41" customFormat="1" ht="25.5" x14ac:dyDescent="0.2">
      <c r="A52" s="33" t="s">
        <v>195</v>
      </c>
      <c r="B52" s="33" t="s">
        <v>81</v>
      </c>
      <c r="C52" s="33" t="s">
        <v>82</v>
      </c>
      <c r="D52" s="34">
        <v>1.5E-3</v>
      </c>
      <c r="E52" s="35">
        <f>'Aug 24'!$D52*$C$6*$C$2</f>
        <v>76514.088483</v>
      </c>
      <c r="F52" s="35">
        <v>88623</v>
      </c>
      <c r="G52" s="71">
        <f>'Aug 24'!$E52/'Aug 24'!$F52</f>
        <v>0.86336603909820253</v>
      </c>
      <c r="H52" s="33">
        <v>1</v>
      </c>
      <c r="I52" s="33">
        <v>1</v>
      </c>
      <c r="J52" s="37">
        <f t="shared" si="4"/>
        <v>0</v>
      </c>
      <c r="K52" s="38">
        <f>'Aug 24'!$F52*'Aug 24'!$I52</f>
        <v>88623</v>
      </c>
      <c r="L52" s="39">
        <f>'Aug 24'!$K52/$K$2</f>
        <v>1.7337490636400088E-3</v>
      </c>
      <c r="M52" s="40"/>
      <c r="N52" s="2"/>
      <c r="O52" s="2">
        <f>Table1389584567991011[[#This Row],[Change]]*Table1389584567991011[[#This Row],[Last price]]</f>
        <v>0</v>
      </c>
      <c r="P52" s="42">
        <f t="shared" si="1"/>
        <v>0</v>
      </c>
    </row>
    <row r="53" spans="1:18" s="41" customFormat="1" ht="25.5" x14ac:dyDescent="0.2">
      <c r="A53" s="33" t="s">
        <v>195</v>
      </c>
      <c r="B53" s="33" t="s">
        <v>200</v>
      </c>
      <c r="C53" s="33" t="s">
        <v>84</v>
      </c>
      <c r="D53" s="34">
        <v>1.5E-3</v>
      </c>
      <c r="E53" s="35">
        <f>'Aug 24'!$D53*$C$6*$C$2</f>
        <v>76514.088483</v>
      </c>
      <c r="F53" s="35">
        <v>216165</v>
      </c>
      <c r="G53" s="71">
        <f>'Aug 24'!$E53/'Aug 24'!$F53</f>
        <v>0.35396150386510306</v>
      </c>
      <c r="H53" s="33">
        <v>1</v>
      </c>
      <c r="I53" s="33">
        <v>1</v>
      </c>
      <c r="J53" s="37">
        <f t="shared" si="4"/>
        <v>0</v>
      </c>
      <c r="K53" s="38">
        <f>'Aug 24'!$F53*'Aug 24'!$I53</f>
        <v>216165</v>
      </c>
      <c r="L53" s="39">
        <f>'Aug 24'!$K53/$K$2</f>
        <v>4.2288781280451181E-3</v>
      </c>
      <c r="M53" s="40"/>
      <c r="N53" s="2"/>
      <c r="O53" s="2">
        <f>Table1389584567991011[[#This Row],[Change]]*Table1389584567991011[[#This Row],[Last price]]</f>
        <v>0</v>
      </c>
      <c r="P53" s="42">
        <f t="shared" si="1"/>
        <v>0</v>
      </c>
    </row>
    <row r="54" spans="1:18" s="41" customFormat="1" ht="25.5" x14ac:dyDescent="0.2">
      <c r="A54" s="33" t="s">
        <v>195</v>
      </c>
      <c r="B54" s="33" t="s">
        <v>86</v>
      </c>
      <c r="C54" s="33" t="s">
        <v>87</v>
      </c>
      <c r="D54" s="34">
        <v>1.5E-3</v>
      </c>
      <c r="E54" s="35">
        <f>'Aug 24'!$D54*$C$6*$C$2</f>
        <v>76514.088483</v>
      </c>
      <c r="F54" s="35">
        <v>48756</v>
      </c>
      <c r="G54" s="71">
        <f>'Aug 24'!$E54/'Aug 24'!$F54</f>
        <v>1.5693266158626631</v>
      </c>
      <c r="H54" s="33">
        <v>1</v>
      </c>
      <c r="I54" s="33">
        <v>1</v>
      </c>
      <c r="J54" s="37">
        <f t="shared" si="4"/>
        <v>0</v>
      </c>
      <c r="K54" s="38">
        <f>'Aug 24'!$F54*'Aug 24'!$I54</f>
        <v>48756</v>
      </c>
      <c r="L54" s="39">
        <f>'Aug 24'!$K54/$K$2</f>
        <v>9.5382315366024926E-4</v>
      </c>
      <c r="M54" s="40"/>
      <c r="N54" s="2"/>
      <c r="O54" s="2">
        <f>Table1389584567991011[[#This Row],[Change]]*Table1389584567991011[[#This Row],[Last price]]</f>
        <v>0</v>
      </c>
      <c r="P54" s="42">
        <f t="shared" si="1"/>
        <v>0</v>
      </c>
    </row>
    <row r="55" spans="1:18" s="41" customFormat="1" ht="25.5" x14ac:dyDescent="0.2">
      <c r="A55" s="33" t="s">
        <v>195</v>
      </c>
      <c r="B55" s="33" t="s">
        <v>89</v>
      </c>
      <c r="C55" s="33" t="s">
        <v>90</v>
      </c>
      <c r="D55" s="34">
        <v>1.5E-3</v>
      </c>
      <c r="E55" s="35">
        <f>'Aug 24'!$D55*$C$6*$C$2</f>
        <v>76514.088483</v>
      </c>
      <c r="F55" s="35">
        <v>46179</v>
      </c>
      <c r="G55" s="71">
        <f>'Aug 24'!$E55/'Aug 24'!$F55</f>
        <v>1.656902238744884</v>
      </c>
      <c r="H55" s="33">
        <v>1</v>
      </c>
      <c r="I55" s="33">
        <v>1</v>
      </c>
      <c r="J55" s="37">
        <f t="shared" si="4"/>
        <v>0</v>
      </c>
      <c r="K55" s="38">
        <f>'Aug 24'!$F55*'Aug 24'!$I55</f>
        <v>46179</v>
      </c>
      <c r="L55" s="39">
        <f>'Aug 24'!$K55/$K$2</f>
        <v>9.0340879918116024E-4</v>
      </c>
      <c r="M55" s="40"/>
      <c r="N55" s="2"/>
      <c r="O55" s="2">
        <f>Table1389584567991011[[#This Row],[Change]]*Table1389584567991011[[#This Row],[Last price]]</f>
        <v>0</v>
      </c>
      <c r="P55" s="42">
        <f t="shared" si="1"/>
        <v>0</v>
      </c>
    </row>
    <row r="56" spans="1:18" s="41" customFormat="1" ht="25.5" x14ac:dyDescent="0.2">
      <c r="A56" s="33" t="s">
        <v>195</v>
      </c>
      <c r="B56" s="33" t="s">
        <v>202</v>
      </c>
      <c r="C56" s="33" t="s">
        <v>92</v>
      </c>
      <c r="D56" s="34">
        <v>1.5E-3</v>
      </c>
      <c r="E56" s="35">
        <f>'Aug 24'!$D56*$C$6*$C$2</f>
        <v>76514.088483</v>
      </c>
      <c r="F56" s="35">
        <v>12349</v>
      </c>
      <c r="G56" s="71">
        <f>'Aug 24'!$E56/'Aug 24'!$F56</f>
        <v>6.1959744499959513</v>
      </c>
      <c r="H56" s="33">
        <v>6</v>
      </c>
      <c r="I56" s="33">
        <v>6</v>
      </c>
      <c r="J56" s="37">
        <f t="shared" si="4"/>
        <v>0</v>
      </c>
      <c r="K56" s="38">
        <f>'Aug 24'!$F56*'Aug 24'!$I56</f>
        <v>74094</v>
      </c>
      <c r="L56" s="39">
        <f>'Aug 24'!$K56/$K$2</f>
        <v>1.4495153980495223E-3</v>
      </c>
      <c r="M56" s="40"/>
      <c r="N56" s="2"/>
      <c r="O56" s="2">
        <f>Table1389584567991011[[#This Row],[Change]]*Table1389584567991011[[#This Row],[Last price]]</f>
        <v>0</v>
      </c>
      <c r="P56" s="42">
        <f t="shared" si="1"/>
        <v>0</v>
      </c>
    </row>
    <row r="57" spans="1:18" s="41" customFormat="1" ht="25.5" x14ac:dyDescent="0.2">
      <c r="A57" s="33" t="s">
        <v>195</v>
      </c>
      <c r="B57" s="33" t="s">
        <v>96</v>
      </c>
      <c r="C57" s="33" t="s">
        <v>97</v>
      </c>
      <c r="D57" s="34">
        <v>1.5E-3</v>
      </c>
      <c r="E57" s="35">
        <f>'Aug 24'!$D57*$C$6*$C$2</f>
        <v>76514.088483</v>
      </c>
      <c r="F57" s="35">
        <v>88065</v>
      </c>
      <c r="G57" s="71">
        <f>'Aug 24'!$E57/'Aug 24'!$F57</f>
        <v>0.8688365239652529</v>
      </c>
      <c r="H57" s="33">
        <v>1</v>
      </c>
      <c r="I57" s="33">
        <v>1</v>
      </c>
      <c r="J57" s="37">
        <f t="shared" si="4"/>
        <v>0</v>
      </c>
      <c r="K57" s="38">
        <f>'Aug 24'!$F57*'Aug 24'!$I57</f>
        <v>88065</v>
      </c>
      <c r="L57" s="39">
        <f>'Aug 24'!$K57/$K$2</f>
        <v>1.7228328006212539E-3</v>
      </c>
      <c r="M57" s="40"/>
      <c r="N57" s="2"/>
      <c r="O57" s="2">
        <f>Table1389584567991011[[#This Row],[Change]]*Table1389584567991011[[#This Row],[Last price]]</f>
        <v>0</v>
      </c>
      <c r="P57" s="42">
        <f t="shared" si="1"/>
        <v>0</v>
      </c>
    </row>
    <row r="58" spans="1:18" ht="26.25" x14ac:dyDescent="0.25">
      <c r="A58" s="33" t="s">
        <v>195</v>
      </c>
      <c r="B58" s="60" t="s">
        <v>123</v>
      </c>
      <c r="C58" s="60" t="s">
        <v>124</v>
      </c>
      <c r="D58" s="34">
        <v>1.5E-3</v>
      </c>
      <c r="E58" s="35">
        <f>'Aug 24'!$D58*$C$6*$C$2</f>
        <v>76514.088483</v>
      </c>
      <c r="F58" s="35">
        <v>61173</v>
      </c>
      <c r="G58" s="71">
        <f>'Aug 24'!$E58/'Aug 24'!$F58</f>
        <v>1.2507820195674562</v>
      </c>
      <c r="H58" s="33">
        <v>1</v>
      </c>
      <c r="I58" s="33">
        <v>1</v>
      </c>
      <c r="J58" s="37">
        <f t="shared" si="4"/>
        <v>0</v>
      </c>
      <c r="K58" s="38">
        <f>'Aug 24'!$F58*'Aug 24'!$I58</f>
        <v>61173</v>
      </c>
      <c r="L58" s="39">
        <f>'Aug 24'!$K58/$K$2</f>
        <v>1.1967393506206092E-3</v>
      </c>
      <c r="M58" s="62"/>
      <c r="O58" s="2">
        <f>Table1389584567991011[[#This Row],[Change]]*Table1389584567991011[[#This Row],[Last price]]</f>
        <v>0</v>
      </c>
      <c r="P58" s="42">
        <f t="shared" si="1"/>
        <v>0</v>
      </c>
    </row>
    <row r="59" spans="1:18" s="41" customFormat="1" ht="25.5" x14ac:dyDescent="0.2">
      <c r="A59" s="33" t="s">
        <v>195</v>
      </c>
      <c r="B59" s="33" t="s">
        <v>205</v>
      </c>
      <c r="C59" s="33" t="s">
        <v>95</v>
      </c>
      <c r="D59" s="34">
        <v>1.5E-3</v>
      </c>
      <c r="E59" s="35">
        <f>'Aug 24'!$D59*$C$6*$C$2</f>
        <v>76514.088483</v>
      </c>
      <c r="F59" s="35">
        <v>132581</v>
      </c>
      <c r="G59" s="71">
        <f>'Aug 24'!$E59/'Aug 24'!$F59</f>
        <v>0.57711201818510949</v>
      </c>
      <c r="H59" s="33">
        <v>1</v>
      </c>
      <c r="I59" s="33">
        <v>1</v>
      </c>
      <c r="J59" s="37">
        <f t="shared" si="4"/>
        <v>0</v>
      </c>
      <c r="K59" s="38">
        <f>'Aug 24'!$F59*'Aug 24'!$I59</f>
        <v>132581</v>
      </c>
      <c r="L59" s="39">
        <f>'Aug 24'!$K59/$K$2</f>
        <v>2.5937080058952644E-3</v>
      </c>
      <c r="M59" s="40"/>
      <c r="N59" s="2"/>
      <c r="O59" s="2">
        <f>Table1389584567991011[[#This Row],[Change]]*Table1389584567991011[[#This Row],[Last price]]</f>
        <v>0</v>
      </c>
      <c r="P59" s="42">
        <f t="shared" si="1"/>
        <v>0</v>
      </c>
    </row>
    <row r="60" spans="1:18" s="41" customFormat="1" ht="12.75" x14ac:dyDescent="0.2">
      <c r="A60" s="33"/>
      <c r="B60" s="33"/>
      <c r="C60" s="33"/>
      <c r="D60" s="34"/>
      <c r="E60" s="35"/>
      <c r="F60" s="35"/>
      <c r="G60" s="36"/>
      <c r="H60" s="33"/>
      <c r="I60" s="33"/>
      <c r="J60" s="40"/>
      <c r="K60" s="38"/>
      <c r="L60" s="39"/>
      <c r="M60" s="40"/>
      <c r="N60" s="2"/>
      <c r="O60" s="2">
        <f>Table1389584567991011[[#This Row],[Change]]*Table1389584567991011[[#This Row],[Last price]]</f>
        <v>0</v>
      </c>
      <c r="P60" s="42">
        <f t="shared" si="1"/>
        <v>0</v>
      </c>
    </row>
    <row r="61" spans="1:18" s="41" customFormat="1" ht="12.75" x14ac:dyDescent="0.2">
      <c r="A61" s="33"/>
      <c r="B61" s="33"/>
      <c r="C61" s="33"/>
      <c r="D61" s="34"/>
      <c r="E61" s="35"/>
      <c r="F61" s="35"/>
      <c r="G61" s="36"/>
      <c r="H61" s="33"/>
      <c r="I61" s="33"/>
      <c r="J61" s="40"/>
      <c r="K61" s="38"/>
      <c r="L61" s="39"/>
      <c r="M61" s="40"/>
      <c r="N61" s="2"/>
      <c r="O61" s="2">
        <f>Table1389584567991011[[#This Row],[Change]]*Table1389584567991011[[#This Row],[Last price]]</f>
        <v>0</v>
      </c>
      <c r="P61" s="42">
        <f t="shared" si="1"/>
        <v>0</v>
      </c>
    </row>
    <row r="62" spans="1:18" s="41" customFormat="1" ht="12.75" x14ac:dyDescent="0.2">
      <c r="A62" s="33"/>
      <c r="B62" s="33"/>
      <c r="C62" s="33"/>
      <c r="D62" s="34"/>
      <c r="E62" s="35"/>
      <c r="F62" s="35"/>
      <c r="G62" s="36"/>
      <c r="H62" s="33"/>
      <c r="I62" s="33"/>
      <c r="J62" s="40"/>
      <c r="K62" s="38"/>
      <c r="L62" s="39"/>
      <c r="M62" s="40"/>
      <c r="N62" s="2"/>
      <c r="O62" s="2">
        <f>Table1389584567991011[[#This Row],[Change]]*Table1389584567991011[[#This Row],[Last price]]</f>
        <v>0</v>
      </c>
      <c r="P62" s="42">
        <f t="shared" si="1"/>
        <v>0</v>
      </c>
    </row>
    <row r="63" spans="1:18" s="41" customFormat="1" ht="12.75" x14ac:dyDescent="0.2">
      <c r="A63" s="33"/>
      <c r="B63" s="33"/>
      <c r="C63" s="33"/>
      <c r="D63" s="34"/>
      <c r="E63" s="35"/>
      <c r="F63" s="35"/>
      <c r="G63" s="36"/>
      <c r="H63" s="33"/>
      <c r="I63" s="33"/>
      <c r="J63" s="40"/>
      <c r="K63" s="38"/>
      <c r="L63" s="39"/>
      <c r="M63" s="40"/>
      <c r="N63" s="2"/>
      <c r="O63" s="2">
        <f>Table1389584567991011[[#This Row],[Change]]*Table1389584567991011[[#This Row],[Last price]]</f>
        <v>0</v>
      </c>
      <c r="P63" s="42">
        <f t="shared" si="1"/>
        <v>0</v>
      </c>
    </row>
    <row r="64" spans="1:18" s="41" customFormat="1" ht="12.75" x14ac:dyDescent="0.2">
      <c r="A64" s="33"/>
      <c r="B64" s="33"/>
      <c r="C64" s="33"/>
      <c r="D64" s="34"/>
      <c r="E64" s="35"/>
      <c r="F64" s="35"/>
      <c r="G64" s="36"/>
      <c r="H64" s="33"/>
      <c r="I64" s="33"/>
      <c r="J64" s="40"/>
      <c r="K64" s="38"/>
      <c r="L64" s="39"/>
      <c r="M64" s="40"/>
      <c r="N64" s="2"/>
      <c r="O64" s="2">
        <f>Table1389584567991011[[#This Row],[Change]]*Table1389584567991011[[#This Row],[Last price]]</f>
        <v>0</v>
      </c>
      <c r="P64" s="42">
        <f t="shared" si="1"/>
        <v>0</v>
      </c>
    </row>
    <row r="65" spans="1:16" s="41" customFormat="1" ht="12.75" x14ac:dyDescent="0.2">
      <c r="A65" s="33"/>
      <c r="B65" s="33"/>
      <c r="C65" s="33"/>
      <c r="D65" s="34"/>
      <c r="E65" s="35"/>
      <c r="F65" s="35"/>
      <c r="G65" s="36"/>
      <c r="H65" s="33"/>
      <c r="I65" s="33"/>
      <c r="J65" s="40"/>
      <c r="K65" s="38"/>
      <c r="L65" s="39"/>
      <c r="M65" s="40"/>
      <c r="N65" s="2"/>
      <c r="O65" s="2">
        <f>Table1389584567991011[[#This Row],[Change]]*Table1389584567991011[[#This Row],[Last price]]</f>
        <v>0</v>
      </c>
      <c r="P65" s="42">
        <f t="shared" si="1"/>
        <v>0</v>
      </c>
    </row>
    <row r="66" spans="1:16" s="41" customFormat="1" ht="12.75" x14ac:dyDescent="0.2">
      <c r="A66" s="33"/>
      <c r="B66" s="33"/>
      <c r="C66" s="33"/>
      <c r="D66" s="34"/>
      <c r="E66" s="35"/>
      <c r="F66" s="35"/>
      <c r="G66" s="36"/>
      <c r="H66" s="33"/>
      <c r="I66" s="33"/>
      <c r="J66" s="40"/>
      <c r="K66" s="38"/>
      <c r="L66" s="39"/>
      <c r="M66" s="40"/>
      <c r="N66" s="2"/>
    </row>
    <row r="67" spans="1:16" s="15" customFormat="1" ht="12.75" x14ac:dyDescent="0.2">
      <c r="A67" s="47" t="s">
        <v>206</v>
      </c>
      <c r="B67" s="65"/>
      <c r="C67" s="65"/>
      <c r="D67" s="72">
        <f>SUM(D50:D66)</f>
        <v>1.4999999999999998E-2</v>
      </c>
      <c r="E67" s="49">
        <f>SUM(E49:E66)</f>
        <v>765140.88482999988</v>
      </c>
      <c r="F67" s="70"/>
      <c r="G67" s="70"/>
      <c r="H67" s="65"/>
      <c r="I67" s="65"/>
      <c r="J67" s="47"/>
      <c r="K67" s="49">
        <f>SUM(K49:K66)</f>
        <v>1006451</v>
      </c>
      <c r="L67" s="53">
        <f>'Aug 24'!$K67/$K$2</f>
        <v>1.9689397547471316E-2</v>
      </c>
      <c r="M67" s="50"/>
      <c r="O67" s="41"/>
      <c r="P67" s="41"/>
    </row>
    <row r="68" spans="1:16" x14ac:dyDescent="0.25">
      <c r="A68" s="33"/>
      <c r="B68" s="60"/>
      <c r="C68" s="60"/>
      <c r="D68" s="73"/>
      <c r="E68" s="35"/>
      <c r="F68" s="35"/>
      <c r="G68" s="36"/>
      <c r="H68" s="60"/>
      <c r="I68" s="60"/>
      <c r="J68" s="33"/>
      <c r="K68" s="33"/>
      <c r="L68" s="39"/>
      <c r="M68" s="62"/>
      <c r="O68" s="41"/>
      <c r="P68" s="41"/>
    </row>
    <row r="69" spans="1:16" x14ac:dyDescent="0.25">
      <c r="A69" s="33"/>
      <c r="B69" s="60"/>
      <c r="C69" s="60"/>
      <c r="D69" s="74"/>
      <c r="E69" s="63"/>
      <c r="F69" s="35"/>
      <c r="G69" s="61"/>
      <c r="H69" s="60"/>
      <c r="I69" s="60"/>
      <c r="J69" s="33"/>
      <c r="K69" s="33"/>
      <c r="L69" s="39"/>
      <c r="M69" s="62"/>
      <c r="O69" s="41"/>
      <c r="P69" s="41"/>
    </row>
    <row r="70" spans="1:16" s="15" customFormat="1" ht="12.75" x14ac:dyDescent="0.2">
      <c r="A70" s="47" t="s">
        <v>207</v>
      </c>
      <c r="B70" s="65"/>
      <c r="C70" s="65"/>
      <c r="D70" s="65"/>
      <c r="E70" s="75"/>
      <c r="F70" s="75"/>
      <c r="G70" s="65"/>
      <c r="H70" s="65"/>
      <c r="I70" s="65"/>
      <c r="J70" s="65"/>
      <c r="K70" s="75">
        <f>SUM(K24,K26,K36,K47,K67)</f>
        <v>51116393.864943683</v>
      </c>
      <c r="L70" s="53">
        <f>'Aug 24'!$K70/$K$2</f>
        <v>1</v>
      </c>
      <c r="M70" s="65"/>
      <c r="O70" s="41"/>
      <c r="P70" s="41"/>
    </row>
    <row r="71" spans="1:16" x14ac:dyDescent="0.25">
      <c r="A71" s="62"/>
      <c r="B71" s="62"/>
      <c r="C71" s="62"/>
      <c r="D71" s="76"/>
      <c r="E71" s="77"/>
      <c r="F71" s="35"/>
      <c r="G71" s="78"/>
      <c r="H71" s="62"/>
      <c r="I71" s="62"/>
      <c r="J71" s="62"/>
      <c r="K71" s="62"/>
      <c r="L71" s="39"/>
      <c r="M71" s="62"/>
      <c r="O71" s="41"/>
      <c r="P71" s="41"/>
    </row>
    <row r="72" spans="1:16" x14ac:dyDescent="0.25">
      <c r="A72" s="62"/>
      <c r="B72" s="62"/>
      <c r="C72" s="62"/>
      <c r="D72" s="76"/>
      <c r="E72" s="77"/>
      <c r="F72" s="35"/>
      <c r="G72" s="78"/>
      <c r="H72" s="62"/>
      <c r="I72" s="62"/>
      <c r="J72" s="62"/>
      <c r="K72" s="62"/>
      <c r="L72" s="39"/>
      <c r="M72" s="62"/>
      <c r="O72" s="41"/>
      <c r="P72" s="41"/>
    </row>
    <row r="73" spans="1:16" x14ac:dyDescent="0.25">
      <c r="A73" s="62"/>
      <c r="B73" s="62"/>
      <c r="C73" s="62"/>
      <c r="D73" s="76"/>
      <c r="E73" s="77"/>
      <c r="F73" s="35"/>
      <c r="G73" s="78"/>
      <c r="H73" s="62"/>
      <c r="I73" s="62"/>
      <c r="J73" s="62"/>
      <c r="K73" s="62"/>
      <c r="L73" s="39"/>
      <c r="M73" s="62"/>
      <c r="O73" s="15"/>
      <c r="P73" s="15"/>
    </row>
    <row r="74" spans="1:16" x14ac:dyDescent="0.25">
      <c r="A74" s="62"/>
      <c r="B74" s="62"/>
      <c r="C74" s="62"/>
      <c r="D74" s="76"/>
      <c r="E74" s="77"/>
      <c r="F74" s="35"/>
      <c r="G74" s="78"/>
      <c r="H74" s="62"/>
      <c r="I74" s="62"/>
      <c r="J74" s="62"/>
      <c r="K74" s="62"/>
      <c r="L74" s="39"/>
      <c r="M74" s="62"/>
    </row>
    <row r="75" spans="1:16" x14ac:dyDescent="0.25">
      <c r="A75" s="62"/>
      <c r="B75" s="62"/>
      <c r="C75" s="62"/>
      <c r="D75" s="76"/>
      <c r="E75" s="77"/>
      <c r="F75" s="35"/>
      <c r="G75" s="78"/>
      <c r="H75" s="62"/>
      <c r="I75" s="62"/>
      <c r="J75" s="62"/>
      <c r="K75" s="62"/>
      <c r="L75" s="39"/>
      <c r="M75" s="62"/>
    </row>
    <row r="76" spans="1:16" x14ac:dyDescent="0.25">
      <c r="A76" s="62"/>
      <c r="B76" s="62"/>
      <c r="C76" s="62"/>
      <c r="D76" s="76"/>
      <c r="E76" s="77"/>
      <c r="F76" s="35"/>
      <c r="G76" s="78"/>
      <c r="H76" s="62"/>
      <c r="I76" s="62"/>
      <c r="J76" s="62"/>
      <c r="K76" s="62"/>
      <c r="L76" s="39"/>
      <c r="M76" s="62"/>
      <c r="O76" s="15"/>
      <c r="P76" s="15"/>
    </row>
    <row r="77" spans="1:16" x14ac:dyDescent="0.25">
      <c r="A77" s="62"/>
      <c r="B77" s="62"/>
      <c r="C77" s="62"/>
      <c r="D77" s="76"/>
      <c r="E77" s="77"/>
      <c r="F77" s="35"/>
      <c r="G77" s="78"/>
      <c r="H77" s="62"/>
      <c r="I77" s="62"/>
      <c r="J77" s="62"/>
      <c r="K77" s="62"/>
      <c r="L77" s="39"/>
      <c r="M77" s="62"/>
    </row>
    <row r="78" spans="1:16" x14ac:dyDescent="0.25">
      <c r="A78" s="62"/>
      <c r="B78" s="62"/>
      <c r="C78" s="62"/>
      <c r="D78" s="76"/>
      <c r="E78" s="77"/>
      <c r="F78" s="35"/>
      <c r="G78" s="78"/>
      <c r="H78" s="62"/>
      <c r="I78" s="62"/>
      <c r="J78" s="62"/>
      <c r="K78" s="62"/>
      <c r="L78" s="39"/>
      <c r="M78" s="62"/>
    </row>
    <row r="79" spans="1:16" x14ac:dyDescent="0.25">
      <c r="A79" s="62"/>
      <c r="B79" s="62"/>
      <c r="C79" s="62"/>
      <c r="D79" s="76"/>
      <c r="E79" s="77"/>
      <c r="F79" s="35"/>
      <c r="G79" s="78"/>
      <c r="H79" s="62"/>
      <c r="I79" s="62"/>
      <c r="J79" s="62"/>
      <c r="K79" s="62"/>
      <c r="L79" s="39"/>
      <c r="M79" s="62"/>
    </row>
    <row r="80" spans="1:16" s="2" customFormat="1" ht="12.75" x14ac:dyDescent="0.2"/>
    <row r="81" spans="1:13" s="2" customFormat="1" ht="12.75" x14ac:dyDescent="0.2"/>
    <row r="83" spans="1:13" s="2" customFormat="1" ht="12.75" x14ac:dyDescent="0.2">
      <c r="A83" s="79"/>
      <c r="B83" s="79"/>
      <c r="E83" s="79"/>
      <c r="F83" s="79"/>
      <c r="G83" s="79"/>
      <c r="H83" s="80"/>
      <c r="M83" s="79"/>
    </row>
    <row r="84" spans="1:13" s="2" customFormat="1" ht="12.75" x14ac:dyDescent="0.2">
      <c r="A84" s="79"/>
      <c r="B84" s="79"/>
      <c r="E84" s="79"/>
      <c r="F84" s="79"/>
      <c r="G84" s="79"/>
      <c r="H84" s="80"/>
      <c r="M84" s="79"/>
    </row>
    <row r="85" spans="1:13" s="2" customFormat="1" ht="12.75" x14ac:dyDescent="0.2">
      <c r="A85" s="81"/>
      <c r="B85" s="81"/>
    </row>
    <row r="86" spans="1:13" s="2" customFormat="1" ht="12.75" x14ac:dyDescent="0.2">
      <c r="A86" s="82"/>
      <c r="B86" s="82"/>
      <c r="E86" s="82"/>
      <c r="F86" s="81"/>
      <c r="G86" s="81"/>
      <c r="M86" s="83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6"/>
  <sheetViews>
    <sheetView zoomScaleNormal="100" workbookViewId="0">
      <pane xSplit="2" topLeftCell="E1" activePane="topRight" state="frozen"/>
      <selection pane="topRight" activeCell="P7" sqref="P7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4" width="10.5703125" style="2" customWidth="1"/>
    <col min="15" max="15" width="13" style="2" customWidth="1"/>
    <col min="16" max="16" width="12" style="2" bestFit="1" customWidth="1"/>
    <col min="17" max="18" width="10.85546875" style="2" customWidth="1"/>
    <col min="19" max="19" width="11.28515625" style="2" customWidth="1"/>
    <col min="20" max="1024" width="9.140625" style="2"/>
  </cols>
  <sheetData>
    <row r="1" spans="1:19" s="2" customFormat="1" ht="25.5" x14ac:dyDescent="0.2">
      <c r="A1" s="3"/>
      <c r="B1" s="3" t="s">
        <v>137</v>
      </c>
      <c r="C1" s="4">
        <v>44069</v>
      </c>
      <c r="D1" s="5"/>
      <c r="E1" s="6" t="s">
        <v>138</v>
      </c>
      <c r="F1" s="7"/>
      <c r="G1" s="8"/>
      <c r="K1" s="9" t="s">
        <v>139</v>
      </c>
      <c r="L1" s="9" t="s">
        <v>140</v>
      </c>
      <c r="M1" s="10" t="s">
        <v>141</v>
      </c>
    </row>
    <row r="2" spans="1:19" x14ac:dyDescent="0.25">
      <c r="A2" s="3"/>
      <c r="B2" s="3" t="s">
        <v>142</v>
      </c>
      <c r="C2" s="11">
        <v>6.35</v>
      </c>
      <c r="D2" s="12"/>
      <c r="E2" s="13">
        <f>SUM(E24,E36,E47,E67,E26)</f>
        <v>50299809.928500004</v>
      </c>
      <c r="F2" s="14"/>
      <c r="G2" s="15"/>
      <c r="H2" s="12"/>
      <c r="I2" s="12"/>
      <c r="J2" s="12"/>
      <c r="K2" s="13">
        <f>SUM(K24,K36,K47,K67,K26)</f>
        <v>50430511.443272971</v>
      </c>
      <c r="L2" s="16">
        <f>SUM(L47,L67,L36,L24,L26)</f>
        <v>1</v>
      </c>
      <c r="M2" s="17">
        <f>K2/$C$6</f>
        <v>6.3665001541752968</v>
      </c>
      <c r="P2" s="18"/>
    </row>
    <row r="3" spans="1:19" ht="26.25" x14ac:dyDescent="0.25">
      <c r="A3" s="3"/>
      <c r="B3" s="3" t="s">
        <v>143</v>
      </c>
      <c r="C3" s="19">
        <v>7921229.9100000001</v>
      </c>
      <c r="D3" s="20"/>
      <c r="E3" s="6" t="s">
        <v>144</v>
      </c>
      <c r="F3" s="14"/>
      <c r="G3" s="15"/>
      <c r="H3" s="216"/>
      <c r="I3" s="12"/>
      <c r="J3" s="12"/>
      <c r="K3" s="9" t="s">
        <v>139</v>
      </c>
      <c r="L3" s="12"/>
      <c r="M3" s="10" t="s">
        <v>145</v>
      </c>
      <c r="P3" s="21"/>
    </row>
    <row r="4" spans="1:19" x14ac:dyDescent="0.25">
      <c r="A4" s="3"/>
      <c r="B4" s="3" t="s">
        <v>146</v>
      </c>
      <c r="C4" s="19">
        <v>0</v>
      </c>
      <c r="D4" s="20"/>
      <c r="E4" s="13">
        <f>SUM(E24,E67,E26)</f>
        <v>9305464.8367724996</v>
      </c>
      <c r="F4" s="14"/>
      <c r="G4" s="15"/>
      <c r="H4" s="12"/>
      <c r="I4" s="12"/>
      <c r="J4" s="12"/>
      <c r="K4" s="13">
        <f>SUM(K24,K26,K67)</f>
        <v>9562592.9987217151</v>
      </c>
      <c r="L4" s="12"/>
      <c r="M4" s="17">
        <f>K4/$C$6</f>
        <v>1.2072106361475015</v>
      </c>
      <c r="P4" s="21"/>
    </row>
    <row r="5" spans="1:19" x14ac:dyDescent="0.25">
      <c r="A5" s="3"/>
      <c r="B5" s="3" t="s">
        <v>147</v>
      </c>
      <c r="C5" s="19">
        <v>0</v>
      </c>
      <c r="D5" s="20"/>
      <c r="E5" s="14"/>
      <c r="F5" s="14"/>
      <c r="G5" s="213">
        <f>SUM(D24,D26,D36,D47,D67)</f>
        <v>1</v>
      </c>
      <c r="H5" s="12"/>
      <c r="I5" s="12"/>
      <c r="J5" s="12"/>
      <c r="K5" s="12"/>
      <c r="L5" s="12"/>
      <c r="M5" s="12"/>
      <c r="P5" s="21"/>
    </row>
    <row r="6" spans="1:19" x14ac:dyDescent="0.25">
      <c r="A6" s="3"/>
      <c r="B6" s="3" t="s">
        <v>148</v>
      </c>
      <c r="C6" s="19">
        <f>C3+C4-C5</f>
        <v>7921229.9100000001</v>
      </c>
      <c r="D6" s="20"/>
      <c r="E6" s="14"/>
      <c r="F6" s="14"/>
      <c r="G6" s="15"/>
      <c r="H6" s="12"/>
      <c r="I6" s="12"/>
      <c r="J6" s="12"/>
      <c r="K6" s="12"/>
      <c r="L6" s="12"/>
      <c r="M6" s="12"/>
      <c r="P6" s="21"/>
    </row>
    <row r="7" spans="1:19" x14ac:dyDescent="0.25">
      <c r="A7" s="22"/>
      <c r="B7" s="23"/>
      <c r="C7" s="23"/>
      <c r="D7" s="24"/>
      <c r="E7" s="25"/>
      <c r="F7" s="25"/>
      <c r="G7" s="25"/>
      <c r="H7" s="26"/>
      <c r="I7" s="26"/>
      <c r="J7" s="26"/>
      <c r="K7" s="12"/>
      <c r="L7" s="12"/>
      <c r="M7" s="12"/>
      <c r="P7" s="219">
        <f>SUM(P9:P65)/2</f>
        <v>736895.18241229036</v>
      </c>
    </row>
    <row r="8" spans="1:19" s="30" customFormat="1" ht="38.25" x14ac:dyDescent="0.2">
      <c r="A8" s="27" t="s">
        <v>149</v>
      </c>
      <c r="B8" s="27" t="s">
        <v>150</v>
      </c>
      <c r="C8" s="28" t="s">
        <v>1</v>
      </c>
      <c r="D8" s="28" t="s">
        <v>151</v>
      </c>
      <c r="E8" s="28" t="s">
        <v>152</v>
      </c>
      <c r="F8" s="28" t="s">
        <v>153</v>
      </c>
      <c r="G8" s="28" t="s">
        <v>154</v>
      </c>
      <c r="H8" s="28" t="s">
        <v>155</v>
      </c>
      <c r="I8" s="28" t="s">
        <v>156</v>
      </c>
      <c r="J8" s="28" t="s">
        <v>157</v>
      </c>
      <c r="K8" s="29" t="s">
        <v>158</v>
      </c>
      <c r="L8" s="29" t="s">
        <v>159</v>
      </c>
      <c r="M8" s="29" t="s">
        <v>160</v>
      </c>
      <c r="P8" s="31"/>
      <c r="S8" s="32"/>
    </row>
    <row r="9" spans="1:19" s="41" customFormat="1" ht="12.75" x14ac:dyDescent="0.2">
      <c r="A9" s="33" t="s">
        <v>161</v>
      </c>
      <c r="B9" s="33" t="s">
        <v>41</v>
      </c>
      <c r="C9" s="33" t="s">
        <v>42</v>
      </c>
      <c r="D9" s="34">
        <v>5.5770000000000004E-3</v>
      </c>
      <c r="E9" s="35">
        <f>'Aug 26'!$D9*$C$6*$C$2</f>
        <v>280522.03997124446</v>
      </c>
      <c r="F9" s="35">
        <v>510</v>
      </c>
      <c r="G9" s="36">
        <f>'Aug 26'!$E9/'Aug 26'!$F9</f>
        <v>550.04321562989105</v>
      </c>
      <c r="H9" s="33">
        <v>522</v>
      </c>
      <c r="I9" s="33">
        <v>550</v>
      </c>
      <c r="J9" s="37">
        <f t="shared" ref="J9:J22" si="0">I9-H9</f>
        <v>28</v>
      </c>
      <c r="K9" s="38">
        <f>'Aug 26'!$F9*'Aug 26'!$I9</f>
        <v>280500</v>
      </c>
      <c r="L9" s="39">
        <f>'Aug 26'!$K9/$K$2</f>
        <v>5.5621089688039733E-3</v>
      </c>
      <c r="M9" s="40"/>
      <c r="O9" s="2">
        <f>Table138958456799101112[[#This Row],[Change]]*Table138958456799101112[[#This Row],[Last price]]</f>
        <v>14280</v>
      </c>
      <c r="P9" s="42">
        <f>ABS(O9)</f>
        <v>14280</v>
      </c>
    </row>
    <row r="10" spans="1:19" s="41" customFormat="1" ht="25.5" customHeight="1" x14ac:dyDescent="0.2">
      <c r="A10" s="33" t="s">
        <v>161</v>
      </c>
      <c r="B10" s="33" t="s">
        <v>47</v>
      </c>
      <c r="C10" s="33" t="s">
        <v>48</v>
      </c>
      <c r="D10" s="34">
        <v>1.1154000000000001E-2</v>
      </c>
      <c r="E10" s="35">
        <f>'Aug 26'!$D10*$C$6*$C$2</f>
        <v>561044.07994248893</v>
      </c>
      <c r="F10" s="35">
        <v>610.50057142857099</v>
      </c>
      <c r="G10" s="36">
        <f>'Aug 26'!$E10/'Aug 26'!$F10</f>
        <v>918.99026176117422</v>
      </c>
      <c r="H10" s="33">
        <v>875</v>
      </c>
      <c r="I10" s="33">
        <v>919</v>
      </c>
      <c r="J10" s="37">
        <f t="shared" si="0"/>
        <v>44</v>
      </c>
      <c r="K10" s="38">
        <f>'Aug 26'!$F10*'Aug 26'!$I10</f>
        <v>561050.02514285676</v>
      </c>
      <c r="L10" s="39">
        <f>'Aug 26'!$K10/$K$2</f>
        <v>1.1125209899446625E-2</v>
      </c>
      <c r="M10" s="40"/>
      <c r="O10" s="2">
        <f>Table138958456799101112[[#This Row],[Change]]*Table138958456799101112[[#This Row],[Last price]]</f>
        <v>26862.025142857125</v>
      </c>
      <c r="P10" s="42">
        <f t="shared" ref="P10:P65" si="1">ABS(O10)</f>
        <v>26862.025142857125</v>
      </c>
    </row>
    <row r="11" spans="1:19" s="41" customFormat="1" ht="12.75" customHeight="1" x14ac:dyDescent="0.2">
      <c r="A11" s="33" t="s">
        <v>161</v>
      </c>
      <c r="B11" s="33" t="s">
        <v>50</v>
      </c>
      <c r="C11" s="33" t="s">
        <v>51</v>
      </c>
      <c r="D11" s="34">
        <v>1.1154000000000001E-2</v>
      </c>
      <c r="E11" s="35">
        <f>'Aug 26'!$D11*$C$6*$C$2</f>
        <v>561044.07994248893</v>
      </c>
      <c r="F11" s="35">
        <v>2048</v>
      </c>
      <c r="G11" s="36">
        <f>'Aug 26'!$E11/'Aug 26'!$F11</f>
        <v>273.94730465941842</v>
      </c>
      <c r="H11" s="33">
        <v>259</v>
      </c>
      <c r="I11" s="33">
        <v>274</v>
      </c>
      <c r="J11" s="37">
        <f t="shared" si="0"/>
        <v>15</v>
      </c>
      <c r="K11" s="38">
        <f>'Aug 26'!$F11*'Aug 26'!$I11</f>
        <v>561152</v>
      </c>
      <c r="L11" s="39">
        <f>'Aug 26'!$K11/$K$2</f>
        <v>1.1127231985961808E-2</v>
      </c>
      <c r="M11" s="40"/>
      <c r="O11" s="2">
        <f>Table138958456799101112[[#This Row],[Change]]*Table138958456799101112[[#This Row],[Last price]]</f>
        <v>30720</v>
      </c>
      <c r="P11" s="42">
        <f t="shared" si="1"/>
        <v>30720</v>
      </c>
    </row>
    <row r="12" spans="1:19" s="41" customFormat="1" ht="12.75" customHeight="1" x14ac:dyDescent="0.2">
      <c r="A12" s="33" t="s">
        <v>161</v>
      </c>
      <c r="B12" s="33" t="s">
        <v>35</v>
      </c>
      <c r="C12" s="33" t="s">
        <v>36</v>
      </c>
      <c r="D12" s="34">
        <v>5.5770000000000004E-3</v>
      </c>
      <c r="E12" s="35">
        <f>'Aug 26'!$D12*$C$6*$C$2</f>
        <v>280522.03997124446</v>
      </c>
      <c r="F12" s="35">
        <v>79.390133257726106</v>
      </c>
      <c r="G12" s="36">
        <f>'Aug 26'!$E12/'Aug 26'!$F12</f>
        <v>3533.462263636452</v>
      </c>
      <c r="H12" s="33">
        <v>3527</v>
      </c>
      <c r="I12" s="33">
        <v>3533</v>
      </c>
      <c r="J12" s="37">
        <f t="shared" si="0"/>
        <v>6</v>
      </c>
      <c r="K12" s="38">
        <f>'Aug 26'!$F12*'Aug 26'!$I12</f>
        <v>280485.34079954633</v>
      </c>
      <c r="L12" s="39">
        <f>'Aug 26'!$K12/$K$2</f>
        <v>5.5618182876263659E-3</v>
      </c>
      <c r="M12" s="40"/>
      <c r="O12" s="2">
        <f>Table138958456799101112[[#This Row],[Change]]*Table138958456799101112[[#This Row],[Last price]]</f>
        <v>476.34079954635661</v>
      </c>
      <c r="P12" s="42">
        <f t="shared" si="1"/>
        <v>476.34079954635661</v>
      </c>
    </row>
    <row r="13" spans="1:19" s="44" customFormat="1" ht="12.75" customHeight="1" x14ac:dyDescent="0.2">
      <c r="A13" s="33" t="s">
        <v>161</v>
      </c>
      <c r="B13" s="33" t="s">
        <v>26</v>
      </c>
      <c r="C13" s="33" t="s">
        <v>27</v>
      </c>
      <c r="D13" s="34">
        <v>1.1154000000000001E-2</v>
      </c>
      <c r="E13" s="35">
        <f>'Aug 26'!$D13*$C$6*$C$2</f>
        <v>561044.07994248893</v>
      </c>
      <c r="F13" s="35">
        <v>219.640051238258</v>
      </c>
      <c r="G13" s="36">
        <f>'Aug 26'!$E13/'Aug 26'!$F13</f>
        <v>2554.379662450031</v>
      </c>
      <c r="H13" s="33">
        <v>2342</v>
      </c>
      <c r="I13" s="33">
        <v>2554</v>
      </c>
      <c r="J13" s="37">
        <f t="shared" si="0"/>
        <v>212</v>
      </c>
      <c r="K13" s="38">
        <f>'Aug 26'!$F13*'Aug 26'!$I13</f>
        <v>560960.69086251094</v>
      </c>
      <c r="L13" s="39">
        <f>'Aug 26'!$K13/$K$2</f>
        <v>1.1123438466284653E-2</v>
      </c>
      <c r="M13" s="33"/>
      <c r="O13" s="2">
        <f>Table138958456799101112[[#This Row],[Change]]*Table138958456799101112[[#This Row],[Last price]]</f>
        <v>46563.690862510695</v>
      </c>
      <c r="P13" s="42">
        <f t="shared" si="1"/>
        <v>46563.690862510695</v>
      </c>
    </row>
    <row r="14" spans="1:19" s="44" customFormat="1" ht="12.75" customHeight="1" x14ac:dyDescent="0.2">
      <c r="A14" s="33" t="s">
        <v>161</v>
      </c>
      <c r="B14" s="33" t="s">
        <v>238</v>
      </c>
      <c r="C14" s="33" t="s">
        <v>239</v>
      </c>
      <c r="D14" s="34">
        <v>1.1154000000000001E-2</v>
      </c>
      <c r="E14" s="35">
        <f>'Aug 26'!$D14*$C$6*$C$2</f>
        <v>561044.07994248893</v>
      </c>
      <c r="F14" s="35">
        <v>43.950042052144703</v>
      </c>
      <c r="G14" s="36">
        <f>'Aug 26'!$E14/'Aug 26'!$F14</f>
        <v>12765.495861797719</v>
      </c>
      <c r="H14" s="33">
        <v>11890</v>
      </c>
      <c r="I14" s="33">
        <v>12766</v>
      </c>
      <c r="J14" s="37">
        <f t="shared" si="0"/>
        <v>876</v>
      </c>
      <c r="K14" s="38">
        <f>'Aug 26'!$F14*'Aug 26'!$I14</f>
        <v>561066.23683767929</v>
      </c>
      <c r="L14" s="39">
        <f>'Aug 26'!$K14/$K$2</f>
        <v>1.1125531365447238E-2</v>
      </c>
      <c r="M14" s="33"/>
      <c r="O14" s="2">
        <f>Table138958456799101112[[#This Row],[Change]]*Table138958456799101112[[#This Row],[Last price]]</f>
        <v>38500.236837678756</v>
      </c>
      <c r="P14" s="42">
        <f t="shared" si="1"/>
        <v>38500.236837678756</v>
      </c>
    </row>
    <row r="15" spans="1:19" s="44" customFormat="1" ht="12.75" customHeight="1" x14ac:dyDescent="0.2">
      <c r="A15" s="33" t="s">
        <v>161</v>
      </c>
      <c r="B15" s="33" t="s">
        <v>240</v>
      </c>
      <c r="C15" s="33" t="s">
        <v>241</v>
      </c>
      <c r="D15" s="34">
        <v>1.1154000000000001E-2</v>
      </c>
      <c r="E15" s="35">
        <f>'Aug 26'!$D15*$C$6*$C$2</f>
        <v>561044.07994248893</v>
      </c>
      <c r="F15" s="35">
        <v>875.68</v>
      </c>
      <c r="G15" s="36">
        <f>'Aug 26'!$E15/'Aug 26'!$F15</f>
        <v>640.69532242655873</v>
      </c>
      <c r="H15" s="33">
        <v>600</v>
      </c>
      <c r="I15" s="33">
        <v>641</v>
      </c>
      <c r="J15" s="37">
        <f t="shared" si="0"/>
        <v>41</v>
      </c>
      <c r="K15" s="38">
        <f>'Aug 26'!$F15*'Aug 26'!$I15</f>
        <v>561310.88</v>
      </c>
      <c r="L15" s="39">
        <f>'Aug 26'!$K15/$K$2</f>
        <v>1.1130382459662214E-2</v>
      </c>
      <c r="M15" s="33"/>
      <c r="O15" s="2">
        <f>Table138958456799101112[[#This Row],[Change]]*Table138958456799101112[[#This Row],[Last price]]</f>
        <v>35902.879999999997</v>
      </c>
      <c r="P15" s="42">
        <f t="shared" si="1"/>
        <v>35902.879999999997</v>
      </c>
    </row>
    <row r="16" spans="1:19" s="44" customFormat="1" ht="12.75" customHeight="1" x14ac:dyDescent="0.2">
      <c r="A16" s="33" t="s">
        <v>161</v>
      </c>
      <c r="B16" s="33" t="s">
        <v>242</v>
      </c>
      <c r="C16" s="33" t="s">
        <v>243</v>
      </c>
      <c r="D16" s="34">
        <v>1.1154000000000001E-2</v>
      </c>
      <c r="E16" s="35">
        <f>'Aug 26'!$D16*$C$6*$C$2</f>
        <v>561044.07994248893</v>
      </c>
      <c r="F16" s="35">
        <v>232.89977011494301</v>
      </c>
      <c r="G16" s="36">
        <f>'Aug 26'!$E16/'Aug 26'!$F16</f>
        <v>2408.9507673863177</v>
      </c>
      <c r="H16" s="33">
        <v>2175</v>
      </c>
      <c r="I16" s="33">
        <v>2409</v>
      </c>
      <c r="J16" s="37">
        <f t="shared" si="0"/>
        <v>234</v>
      </c>
      <c r="K16" s="38">
        <f>'Aug 26'!$F16*'Aug 26'!$I16</f>
        <v>561055.54620689771</v>
      </c>
      <c r="L16" s="39">
        <f>'Aug 26'!$K16/$K$2</f>
        <v>1.1125319378091258E-2</v>
      </c>
      <c r="M16" s="33"/>
      <c r="O16" s="2">
        <f>Table138958456799101112[[#This Row],[Change]]*Table138958456799101112[[#This Row],[Last price]]</f>
        <v>54498.546206896666</v>
      </c>
      <c r="P16" s="42">
        <f t="shared" si="1"/>
        <v>54498.546206896666</v>
      </c>
    </row>
    <row r="17" spans="1:17" s="44" customFormat="1" ht="12.75" customHeight="1" x14ac:dyDescent="0.2">
      <c r="A17" s="33" t="s">
        <v>161</v>
      </c>
      <c r="B17" s="33" t="s">
        <v>244</v>
      </c>
      <c r="C17" s="33" t="s">
        <v>245</v>
      </c>
      <c r="D17" s="34">
        <v>1.1154000000000001E-2</v>
      </c>
      <c r="E17" s="35">
        <f>'Aug 26'!$D17*$C$6*$C$2</f>
        <v>561044.07994248893</v>
      </c>
      <c r="F17" s="35">
        <v>125.900073837066</v>
      </c>
      <c r="G17" s="36">
        <f>'Aug 26'!$E17/'Aug 26'!$F17</f>
        <v>4456.2648999599951</v>
      </c>
      <c r="H17" s="33">
        <v>4063</v>
      </c>
      <c r="I17" s="33">
        <v>4456</v>
      </c>
      <c r="J17" s="37">
        <f t="shared" si="0"/>
        <v>393</v>
      </c>
      <c r="K17" s="38">
        <f>'Aug 26'!$F17*'Aug 26'!$I17</f>
        <v>561010.72901796608</v>
      </c>
      <c r="L17" s="39">
        <f>'Aug 26'!$K17/$K$2</f>
        <v>1.1124430686153599E-2</v>
      </c>
      <c r="M17" s="33"/>
      <c r="O17" s="2">
        <f>Table138958456799101112[[#This Row],[Change]]*Table138958456799101112[[#This Row],[Last price]]</f>
        <v>49478.729017966936</v>
      </c>
      <c r="P17" s="42">
        <f t="shared" si="1"/>
        <v>49478.729017966936</v>
      </c>
    </row>
    <row r="18" spans="1:17" s="44" customFormat="1" ht="12.75" customHeight="1" x14ac:dyDescent="0.2">
      <c r="A18" s="33" t="s">
        <v>161</v>
      </c>
      <c r="B18" s="33" t="s">
        <v>29</v>
      </c>
      <c r="C18" s="33" t="s">
        <v>30</v>
      </c>
      <c r="D18" s="34">
        <v>1.1154000000000001E-2</v>
      </c>
      <c r="E18" s="35">
        <f>'Aug 26'!$D18*$C$6*$C$2</f>
        <v>561044.07994248893</v>
      </c>
      <c r="F18" s="35">
        <v>207.230035756853</v>
      </c>
      <c r="G18" s="36">
        <f>'Aug 26'!$E18/'Aug 26'!$F18</f>
        <v>2707.3492406321484</v>
      </c>
      <c r="H18" s="33">
        <v>2517</v>
      </c>
      <c r="I18" s="33">
        <v>2707</v>
      </c>
      <c r="J18" s="37">
        <f t="shared" si="0"/>
        <v>190</v>
      </c>
      <c r="K18" s="38">
        <f>'Aug 26'!$F18*'Aug 26'!$I18</f>
        <v>560971.70679380104</v>
      </c>
      <c r="L18" s="39">
        <f>'Aug 26'!$K18/$K$2</f>
        <v>1.112365690411078E-2</v>
      </c>
      <c r="M18" s="33"/>
      <c r="O18" s="2">
        <f>Table138958456799101112[[#This Row],[Change]]*Table138958456799101112[[#This Row],[Last price]]</f>
        <v>39373.70679380207</v>
      </c>
      <c r="P18" s="42">
        <f t="shared" si="1"/>
        <v>39373.70679380207</v>
      </c>
    </row>
    <row r="19" spans="1:17" s="44" customFormat="1" ht="12.75" customHeight="1" x14ac:dyDescent="0.2">
      <c r="A19" s="33" t="s">
        <v>161</v>
      </c>
      <c r="B19" s="33" t="s">
        <v>246</v>
      </c>
      <c r="C19" s="33" t="s">
        <v>247</v>
      </c>
      <c r="D19" s="34">
        <v>1.1154000000000001E-2</v>
      </c>
      <c r="E19" s="35">
        <f>'Aug 26'!$D19*$C$6*$C$2</f>
        <v>561044.07994248893</v>
      </c>
      <c r="F19" s="35">
        <v>123.649975810353</v>
      </c>
      <c r="G19" s="36">
        <f>'Aug 26'!$E19/'Aug 26'!$F19</f>
        <v>4537.3569729037799</v>
      </c>
      <c r="H19" s="33">
        <v>4134</v>
      </c>
      <c r="I19" s="33">
        <v>4537</v>
      </c>
      <c r="J19" s="37">
        <f t="shared" si="0"/>
        <v>403</v>
      </c>
      <c r="K19" s="38">
        <f>'Aug 26'!$F19*'Aug 26'!$I19</f>
        <v>560999.94025157159</v>
      </c>
      <c r="L19" s="39">
        <f>'Aug 26'!$K19/$K$2</f>
        <v>1.1124216752840498E-2</v>
      </c>
      <c r="M19" s="33"/>
      <c r="O19" s="2">
        <f>Table138958456799101112[[#This Row],[Change]]*Table138958456799101112[[#This Row],[Last price]]</f>
        <v>49830.940251572261</v>
      </c>
      <c r="P19" s="42">
        <f t="shared" si="1"/>
        <v>49830.940251572261</v>
      </c>
    </row>
    <row r="20" spans="1:17" s="44" customFormat="1" ht="12.75" customHeight="1" x14ac:dyDescent="0.2">
      <c r="A20" s="33" t="s">
        <v>161</v>
      </c>
      <c r="B20" s="33" t="s">
        <v>38</v>
      </c>
      <c r="C20" s="33" t="s">
        <v>39</v>
      </c>
      <c r="D20" s="34">
        <v>1.1154000000000001E-2</v>
      </c>
      <c r="E20" s="35">
        <f>'Aug 26'!$D20*$C$6*$C$2</f>
        <v>561044.07994248893</v>
      </c>
      <c r="F20" s="35">
        <v>66.100050150451395</v>
      </c>
      <c r="G20" s="36">
        <f>'Aug 26'!$E20/'Aug 26'!$F20</f>
        <v>8487.8011236827715</v>
      </c>
      <c r="H20" s="33">
        <v>7976</v>
      </c>
      <c r="I20" s="33">
        <v>8489</v>
      </c>
      <c r="J20" s="37">
        <f t="shared" si="0"/>
        <v>513</v>
      </c>
      <c r="K20" s="38">
        <f>'Aug 26'!$F20*'Aug 26'!$I20</f>
        <v>561123.32572718186</v>
      </c>
      <c r="L20" s="39">
        <f>'Aug 26'!$K20/$K$2</f>
        <v>1.1126663396193481E-2</v>
      </c>
      <c r="M20" s="33"/>
      <c r="O20" s="2">
        <f>Table138958456799101112[[#This Row],[Change]]*Table138958456799101112[[#This Row],[Last price]]</f>
        <v>33909.325727181567</v>
      </c>
      <c r="P20" s="42">
        <f t="shared" si="1"/>
        <v>33909.325727181567</v>
      </c>
    </row>
    <row r="21" spans="1:17" s="44" customFormat="1" ht="12.75" customHeight="1" x14ac:dyDescent="0.2">
      <c r="A21" s="33" t="s">
        <v>161</v>
      </c>
      <c r="B21" s="33" t="s">
        <v>56</v>
      </c>
      <c r="C21" s="33" t="s">
        <v>57</v>
      </c>
      <c r="D21" s="34">
        <v>1.1154000000000001E-2</v>
      </c>
      <c r="E21" s="35">
        <f>'Aug 26'!$D21*$C$6*$C$2</f>
        <v>561044.07994248893</v>
      </c>
      <c r="F21" s="35">
        <v>293</v>
      </c>
      <c r="G21" s="36">
        <f>'Aug 26'!$E21/'Aug 26'!$F21</f>
        <v>1914.826211407812</v>
      </c>
      <c r="H21" s="33">
        <v>1826</v>
      </c>
      <c r="I21" s="33">
        <v>1915</v>
      </c>
      <c r="J21" s="37">
        <f t="shared" si="0"/>
        <v>89</v>
      </c>
      <c r="K21" s="38">
        <f>'Aug 26'!$F21*'Aug 26'!$I21</f>
        <v>561095</v>
      </c>
      <c r="L21" s="39">
        <f>'Aug 26'!$K21/$K$2</f>
        <v>1.112610171782911E-2</v>
      </c>
      <c r="M21" s="33"/>
      <c r="O21" s="2">
        <f>Table138958456799101112[[#This Row],[Change]]*Table138958456799101112[[#This Row],[Last price]]</f>
        <v>26077</v>
      </c>
      <c r="P21" s="42">
        <f t="shared" si="1"/>
        <v>26077</v>
      </c>
    </row>
    <row r="22" spans="1:17" s="44" customFormat="1" ht="12.75" customHeight="1" x14ac:dyDescent="0.2">
      <c r="A22" s="33" t="s">
        <v>161</v>
      </c>
      <c r="B22" s="33" t="s">
        <v>248</v>
      </c>
      <c r="C22" s="33" t="s">
        <v>249</v>
      </c>
      <c r="D22" s="34">
        <v>1.1154000000000001E-2</v>
      </c>
      <c r="E22" s="35">
        <f>'Aug 26'!$D22*$C$6*$C$2</f>
        <v>561044.07994248893</v>
      </c>
      <c r="F22" s="35">
        <v>46.799965165897397</v>
      </c>
      <c r="G22" s="36">
        <f>'Aug 26'!$E22/'Aug 26'!$F22</f>
        <v>11988.130289278834</v>
      </c>
      <c r="H22" s="33">
        <v>11483</v>
      </c>
      <c r="I22" s="33">
        <v>11988</v>
      </c>
      <c r="J22" s="37">
        <f t="shared" si="0"/>
        <v>505</v>
      </c>
      <c r="K22" s="38">
        <f>'Aug 26'!$F22*'Aug 26'!$I22</f>
        <v>561037.98240877804</v>
      </c>
      <c r="L22" s="39">
        <f>'Aug 26'!$K22/$K$2</f>
        <v>1.1124971100875401E-2</v>
      </c>
      <c r="M22" s="33"/>
      <c r="O22" s="2">
        <f>Table138958456799101112[[#This Row],[Change]]*Table138958456799101112[[#This Row],[Last price]]</f>
        <v>23633.982408778185</v>
      </c>
      <c r="P22" s="42">
        <f t="shared" si="1"/>
        <v>23633.982408778185</v>
      </c>
    </row>
    <row r="23" spans="1:17" s="44" customFormat="1" ht="12.75" customHeight="1" x14ac:dyDescent="0.2">
      <c r="A23" s="33"/>
      <c r="B23" s="33"/>
      <c r="C23" s="33"/>
      <c r="D23" s="34"/>
      <c r="E23" s="35"/>
      <c r="F23" s="35"/>
      <c r="G23" s="36"/>
      <c r="H23" s="33"/>
      <c r="I23" s="33"/>
      <c r="J23" s="45"/>
      <c r="K23" s="35"/>
      <c r="L23" s="46"/>
      <c r="M23" s="33"/>
      <c r="O23" s="2">
        <f>Table138958456799101112[[#This Row],[Change]]*Table138958456799101112[[#This Row],[Last price]]</f>
        <v>0</v>
      </c>
      <c r="P23" s="42">
        <f t="shared" si="1"/>
        <v>0</v>
      </c>
    </row>
    <row r="24" spans="1:17" s="54" customFormat="1" ht="12.75" customHeight="1" x14ac:dyDescent="0.2">
      <c r="A24" s="47" t="s">
        <v>177</v>
      </c>
      <c r="B24" s="47"/>
      <c r="C24" s="47"/>
      <c r="D24" s="48">
        <v>0.14499999999999999</v>
      </c>
      <c r="E24" s="49">
        <f>'Aug 26'!$D24*$C$6*$C$2</f>
        <v>7293472.4396324987</v>
      </c>
      <c r="F24" s="51"/>
      <c r="G24" s="51"/>
      <c r="H24" s="47"/>
      <c r="I24" s="47"/>
      <c r="J24" s="52"/>
      <c r="K24" s="49">
        <f>SUM(K9:K23)</f>
        <v>7293819.4040487884</v>
      </c>
      <c r="L24" s="53">
        <f>'Aug 26'!$K24/$K$2</f>
        <v>0.14463108136932698</v>
      </c>
      <c r="M24" s="47"/>
      <c r="O24" s="2">
        <f>Table138958456799101112[[#This Row],[Change]]*Table138958456799101112[[#This Row],[Last price]]</f>
        <v>0</v>
      </c>
      <c r="P24" s="42">
        <f t="shared" si="1"/>
        <v>0</v>
      </c>
    </row>
    <row r="25" spans="1:17" s="44" customFormat="1" ht="12.75" customHeight="1" x14ac:dyDescent="0.2">
      <c r="A25" s="33"/>
      <c r="B25" s="33"/>
      <c r="C25" s="33"/>
      <c r="D25" s="34"/>
      <c r="E25" s="35"/>
      <c r="F25" s="35"/>
      <c r="G25" s="36"/>
      <c r="H25" s="33"/>
      <c r="I25" s="33"/>
      <c r="J25" s="45"/>
      <c r="K25" s="35"/>
      <c r="L25" s="39"/>
      <c r="M25" s="33"/>
      <c r="O25" s="2">
        <f>Table138958456799101112[[#This Row],[Change]]*Table138958456799101112[[#This Row],[Last price]]</f>
        <v>0</v>
      </c>
      <c r="P25" s="42">
        <f t="shared" si="1"/>
        <v>0</v>
      </c>
    </row>
    <row r="26" spans="1:17" s="41" customFormat="1" ht="12.75" customHeight="1" x14ac:dyDescent="0.2">
      <c r="A26" s="55"/>
      <c r="B26" s="47" t="s">
        <v>32</v>
      </c>
      <c r="C26" s="55" t="s">
        <v>33</v>
      </c>
      <c r="D26" s="56">
        <v>2.5000000000000001E-2</v>
      </c>
      <c r="E26" s="57">
        <f>'Aug 26'!$D26*$C$6*$C$2</f>
        <v>1257495.2482125</v>
      </c>
      <c r="F26" s="51">
        <v>18.409993333913</v>
      </c>
      <c r="G26" s="58">
        <f>'Aug 26'!$E26/'Aug 26'!$F26</f>
        <v>68305.035499174861</v>
      </c>
      <c r="H26" s="55">
        <v>69006</v>
      </c>
      <c r="I26" s="55">
        <v>68305</v>
      </c>
      <c r="J26" s="59">
        <f>I26-H26</f>
        <v>-701</v>
      </c>
      <c r="K26" s="50">
        <f>'Aug 26'!$F26*'Aug 26'!$I26</f>
        <v>1257494.5946729274</v>
      </c>
      <c r="L26" s="53">
        <f>'Aug 26'!$K26/$K$2</f>
        <v>2.4935194164894141E-2</v>
      </c>
      <c r="M26" s="47"/>
      <c r="O26" s="2">
        <f>Table138958456799101112[[#This Row],[Change]]*Table138958456799101112[[#This Row],[Last price]]</f>
        <v>-12905.405327073013</v>
      </c>
      <c r="P26" s="42">
        <f t="shared" si="1"/>
        <v>12905.405327073013</v>
      </c>
      <c r="Q26" s="42"/>
    </row>
    <row r="27" spans="1:17" s="41" customFormat="1" ht="12.75" customHeight="1" x14ac:dyDescent="0.2">
      <c r="A27" s="33"/>
      <c r="B27" s="33"/>
      <c r="C27" s="33"/>
      <c r="D27" s="34"/>
      <c r="E27" s="35"/>
      <c r="F27" s="35"/>
      <c r="G27" s="36"/>
      <c r="H27" s="33"/>
      <c r="I27" s="33"/>
      <c r="J27" s="45"/>
      <c r="K27" s="38"/>
      <c r="L27" s="39"/>
      <c r="M27" s="33"/>
      <c r="O27" s="2">
        <f>Table138958456799101112[[#This Row],[Change]]*Table138958456799101112[[#This Row],[Last price]]</f>
        <v>0</v>
      </c>
      <c r="P27" s="42">
        <f t="shared" si="1"/>
        <v>0</v>
      </c>
      <c r="Q27" s="42"/>
    </row>
    <row r="28" spans="1:17" ht="26.25" x14ac:dyDescent="0.25">
      <c r="A28" s="33" t="s">
        <v>178</v>
      </c>
      <c r="B28" s="214" t="s">
        <v>179</v>
      </c>
      <c r="C28" s="60" t="s">
        <v>106</v>
      </c>
      <c r="D28" s="34">
        <v>3.5000000000000003E-2</v>
      </c>
      <c r="E28" s="35">
        <f>'Aug 26'!$D28*$C$6*$C$2</f>
        <v>1760493.3474975002</v>
      </c>
      <c r="F28" s="35">
        <v>156994.33333333299</v>
      </c>
      <c r="G28" s="61">
        <f>'Aug 26'!$E28/'Aug 26'!$F28</f>
        <v>11.213738165692842</v>
      </c>
      <c r="H28" s="33">
        <v>12</v>
      </c>
      <c r="I28" s="33">
        <v>11</v>
      </c>
      <c r="J28" s="37">
        <f t="shared" ref="J28:J34" si="2">I28-H28</f>
        <v>-1</v>
      </c>
      <c r="K28" s="38">
        <f>'Aug 26'!$F28*'Aug 26'!$I28</f>
        <v>1726937.666666663</v>
      </c>
      <c r="L28" s="39">
        <f>'Aug 26'!$K28/$K$2</f>
        <v>3.4243905469989497E-2</v>
      </c>
      <c r="M28" s="62"/>
      <c r="O28" s="2">
        <f>Table138958456799101112[[#This Row],[Change]]*Table138958456799101112[[#This Row],[Last price]]</f>
        <v>-156994.33333333299</v>
      </c>
      <c r="P28" s="42">
        <f t="shared" si="1"/>
        <v>156994.33333333299</v>
      </c>
    </row>
    <row r="29" spans="1:17" ht="26.25" x14ac:dyDescent="0.25">
      <c r="A29" s="33" t="s">
        <v>178</v>
      </c>
      <c r="B29" s="214" t="s">
        <v>180</v>
      </c>
      <c r="C29" s="60" t="s">
        <v>110</v>
      </c>
      <c r="D29" s="34">
        <v>3.5000000000000003E-2</v>
      </c>
      <c r="E29" s="35">
        <f>'Aug 26'!$D29*$C$6*$C$2</f>
        <v>1760493.3474975002</v>
      </c>
      <c r="F29" s="35">
        <v>218406.25</v>
      </c>
      <c r="G29" s="61">
        <f>'Aug 26'!$E29/'Aug 26'!$F29</f>
        <v>8.0606363027500372</v>
      </c>
      <c r="H29" s="33">
        <v>8</v>
      </c>
      <c r="I29" s="33">
        <v>8</v>
      </c>
      <c r="J29" s="37">
        <f t="shared" si="2"/>
        <v>0</v>
      </c>
      <c r="K29" s="38">
        <f>'Aug 26'!$F29*'Aug 26'!$I29</f>
        <v>1747250</v>
      </c>
      <c r="L29" s="39">
        <f>'Aug 26'!$K29/$K$2</f>
        <v>3.4646684120294979E-2</v>
      </c>
      <c r="M29" s="62"/>
      <c r="O29" s="2">
        <f>Table138958456799101112[[#This Row],[Change]]*Table138958456799101112[[#This Row],[Last price]]</f>
        <v>0</v>
      </c>
      <c r="P29" s="42">
        <f t="shared" si="1"/>
        <v>0</v>
      </c>
    </row>
    <row r="30" spans="1:17" ht="26.25" x14ac:dyDescent="0.25">
      <c r="A30" s="33" t="s">
        <v>178</v>
      </c>
      <c r="B30" s="214" t="s">
        <v>181</v>
      </c>
      <c r="C30" s="60" t="s">
        <v>113</v>
      </c>
      <c r="D30" s="34">
        <v>3.5000000000000003E-2</v>
      </c>
      <c r="E30" s="35">
        <f>'Aug 26'!$D30*$C$6*$C$2</f>
        <v>1760493.3474975002</v>
      </c>
      <c r="F30" s="35">
        <v>177687.6</v>
      </c>
      <c r="G30" s="61">
        <f>'Aug 26'!$E30/'Aug 26'!$F30</f>
        <v>9.9078008116351413</v>
      </c>
      <c r="H30" s="33">
        <v>10</v>
      </c>
      <c r="I30" s="33">
        <v>10</v>
      </c>
      <c r="J30" s="37">
        <f t="shared" si="2"/>
        <v>0</v>
      </c>
      <c r="K30" s="38">
        <f>'Aug 26'!$F30*'Aug 26'!$I30</f>
        <v>1776876</v>
      </c>
      <c r="L30" s="39">
        <f>'Aug 26'!$K30/$K$2</f>
        <v>3.5234145939581206E-2</v>
      </c>
      <c r="M30" s="62"/>
      <c r="O30" s="2">
        <f>Table138958456799101112[[#This Row],[Change]]*Table138958456799101112[[#This Row],[Last price]]</f>
        <v>0</v>
      </c>
      <c r="P30" s="42">
        <f t="shared" si="1"/>
        <v>0</v>
      </c>
    </row>
    <row r="31" spans="1:17" ht="26.25" x14ac:dyDescent="0.25">
      <c r="A31" s="33" t="s">
        <v>178</v>
      </c>
      <c r="B31" s="214" t="s">
        <v>182</v>
      </c>
      <c r="C31" s="60" t="s">
        <v>116</v>
      </c>
      <c r="D31" s="34">
        <v>3.5000000000000003E-2</v>
      </c>
      <c r="E31" s="35">
        <f>'Aug 26'!$D31*$C$6*$C$2</f>
        <v>1760493.3474975002</v>
      </c>
      <c r="F31" s="35">
        <v>125632.8</v>
      </c>
      <c r="G31" s="61">
        <f>'Aug 26'!$E31/'Aug 26'!$F31</f>
        <v>14.013007331664184</v>
      </c>
      <c r="H31" s="33">
        <v>15</v>
      </c>
      <c r="I31" s="33">
        <v>14</v>
      </c>
      <c r="J31" s="37">
        <f t="shared" si="2"/>
        <v>-1</v>
      </c>
      <c r="K31" s="38">
        <f>'Aug 26'!$F31*'Aug 26'!$I31</f>
        <v>1758859.2</v>
      </c>
      <c r="L31" s="39">
        <f>'Aug 26'!$K31/$K$2</f>
        <v>3.4876886029174263E-2</v>
      </c>
      <c r="M31" s="62"/>
      <c r="O31" s="2">
        <f>Table138958456799101112[[#This Row],[Change]]*Table138958456799101112[[#This Row],[Last price]]</f>
        <v>-125632.8</v>
      </c>
      <c r="P31" s="42">
        <f t="shared" si="1"/>
        <v>125632.8</v>
      </c>
    </row>
    <row r="32" spans="1:17" ht="26.25" x14ac:dyDescent="0.25">
      <c r="A32" s="33" t="s">
        <v>178</v>
      </c>
      <c r="B32" s="214" t="s">
        <v>183</v>
      </c>
      <c r="C32" s="60" t="s">
        <v>119</v>
      </c>
      <c r="D32" s="34">
        <v>3.5000000000000003E-2</v>
      </c>
      <c r="E32" s="35">
        <f>'Aug 26'!$D32*$C$6*$C$2</f>
        <v>1760493.3474975002</v>
      </c>
      <c r="F32" s="35">
        <v>139031.23076923101</v>
      </c>
      <c r="G32" s="61">
        <f>'Aug 26'!$E32/'Aug 26'!$F32</f>
        <v>12.662574716177474</v>
      </c>
      <c r="H32" s="33">
        <v>13</v>
      </c>
      <c r="I32" s="33">
        <v>13</v>
      </c>
      <c r="J32" s="37">
        <f t="shared" si="2"/>
        <v>0</v>
      </c>
      <c r="K32" s="38">
        <f>'Aug 26'!$F32*'Aug 26'!$I32</f>
        <v>1807406.0000000033</v>
      </c>
      <c r="L32" s="39">
        <f>'Aug 26'!$K32/$K$2</f>
        <v>3.583953341486678E-2</v>
      </c>
      <c r="M32" s="62"/>
      <c r="O32" s="2">
        <f>Table138958456799101112[[#This Row],[Change]]*Table138958456799101112[[#This Row],[Last price]]</f>
        <v>0</v>
      </c>
      <c r="P32" s="42">
        <f t="shared" si="1"/>
        <v>0</v>
      </c>
    </row>
    <row r="33" spans="1:17" ht="26.25" x14ac:dyDescent="0.25">
      <c r="A33" s="33" t="s">
        <v>178</v>
      </c>
      <c r="B33" s="60" t="s">
        <v>184</v>
      </c>
      <c r="C33" s="60" t="s">
        <v>122</v>
      </c>
      <c r="D33" s="34">
        <v>0.125</v>
      </c>
      <c r="E33" s="35">
        <f>'Aug 26'!$D33*$C$6*$C$2</f>
        <v>6287476.2410624996</v>
      </c>
      <c r="F33" s="35">
        <v>416304.933333333</v>
      </c>
      <c r="G33" s="61">
        <f>'Aug 26'!$E33/'Aug 26'!$F33</f>
        <v>15.103054846645675</v>
      </c>
      <c r="H33" s="33">
        <v>15</v>
      </c>
      <c r="I33" s="33">
        <v>15</v>
      </c>
      <c r="J33" s="37">
        <f t="shared" si="2"/>
        <v>0</v>
      </c>
      <c r="K33" s="38">
        <f>'Aug 26'!$F33*'Aug 26'!$I33</f>
        <v>6244573.9999999953</v>
      </c>
      <c r="L33" s="39">
        <f>'Aug 26'!$K33/$K$2</f>
        <v>0.1238253156925493</v>
      </c>
      <c r="M33" s="62"/>
      <c r="O33" s="2">
        <f>Table138958456799101112[[#This Row],[Change]]*Table138958456799101112[[#This Row],[Last price]]</f>
        <v>0</v>
      </c>
      <c r="P33" s="42">
        <f t="shared" si="1"/>
        <v>0</v>
      </c>
    </row>
    <row r="34" spans="1:17" ht="26.25" x14ac:dyDescent="0.25">
      <c r="A34" s="33" t="s">
        <v>178</v>
      </c>
      <c r="B34" s="214" t="s">
        <v>126</v>
      </c>
      <c r="C34" s="60" t="s">
        <v>127</v>
      </c>
      <c r="D34" s="34">
        <v>3.5000000000000003E-2</v>
      </c>
      <c r="E34" s="35">
        <f>'Aug 26'!$D34*$C$6*$C$2</f>
        <v>1760493.3474975002</v>
      </c>
      <c r="F34" s="35">
        <v>220813.125</v>
      </c>
      <c r="G34" s="61">
        <f>'Aug 26'!$E34/'Aug 26'!$F34</f>
        <v>7.9727749312795613</v>
      </c>
      <c r="H34" s="33">
        <v>8</v>
      </c>
      <c r="I34" s="33">
        <v>8</v>
      </c>
      <c r="J34" s="37">
        <f t="shared" si="2"/>
        <v>0</v>
      </c>
      <c r="K34" s="38">
        <f>'Aug 26'!$F34*'Aug 26'!$I34</f>
        <v>1766505</v>
      </c>
      <c r="L34" s="39">
        <f>'Aug 26'!$K34/$K$2</f>
        <v>3.5028496627226603E-2</v>
      </c>
      <c r="M34" s="62"/>
      <c r="O34" s="2">
        <f>Table138958456799101112[[#This Row],[Change]]*Table138958456799101112[[#This Row],[Last price]]</f>
        <v>0</v>
      </c>
      <c r="P34" s="42">
        <f t="shared" si="1"/>
        <v>0</v>
      </c>
    </row>
    <row r="35" spans="1:17" s="64" customFormat="1" ht="12.75" x14ac:dyDescent="0.2">
      <c r="A35" s="33"/>
      <c r="B35" s="60"/>
      <c r="C35" s="60"/>
      <c r="D35" s="34"/>
      <c r="E35" s="63"/>
      <c r="F35" s="35"/>
      <c r="G35" s="61"/>
      <c r="H35" s="33"/>
      <c r="I35" s="33"/>
      <c r="J35" s="45"/>
      <c r="K35" s="35"/>
      <c r="L35" s="46"/>
      <c r="M35" s="62"/>
      <c r="O35" s="2">
        <f>Table138958456799101112[[#This Row],[Change]]*Table138958456799101112[[#This Row],[Last price]]</f>
        <v>0</v>
      </c>
      <c r="P35" s="42">
        <f t="shared" si="1"/>
        <v>0</v>
      </c>
    </row>
    <row r="36" spans="1:17" s="15" customFormat="1" ht="12.75" x14ac:dyDescent="0.2">
      <c r="A36" s="47" t="s">
        <v>186</v>
      </c>
      <c r="B36" s="65"/>
      <c r="C36" s="65"/>
      <c r="D36" s="56">
        <f>SUBTOTAL(9,D28:D35)</f>
        <v>0.33500000000000008</v>
      </c>
      <c r="E36" s="66">
        <f>'Aug 26'!$D36*$C$6*$C$2</f>
        <v>16850436.326047502</v>
      </c>
      <c r="F36" s="67"/>
      <c r="G36" s="67"/>
      <c r="H36" s="55"/>
      <c r="I36" s="55"/>
      <c r="J36" s="59"/>
      <c r="K36" s="66">
        <f>SUM(K28:K35)</f>
        <v>16828407.866666663</v>
      </c>
      <c r="L36" s="68">
        <f>'Aug 26'!$K36/$K$2</f>
        <v>0.33369496729368264</v>
      </c>
      <c r="M36" s="69"/>
      <c r="O36" s="2">
        <f>Table138958456799101112[[#This Row],[Change]]*Table138958456799101112[[#This Row],[Last price]]</f>
        <v>0</v>
      </c>
      <c r="P36" s="42">
        <f t="shared" si="1"/>
        <v>0</v>
      </c>
    </row>
    <row r="37" spans="1:17" s="64" customFormat="1" ht="12.75" x14ac:dyDescent="0.2">
      <c r="A37" s="33"/>
      <c r="B37" s="60"/>
      <c r="C37" s="60"/>
      <c r="D37" s="34"/>
      <c r="E37" s="63"/>
      <c r="F37" s="35"/>
      <c r="G37" s="61"/>
      <c r="H37" s="33"/>
      <c r="I37" s="33"/>
      <c r="J37" s="45"/>
      <c r="K37" s="35"/>
      <c r="L37" s="39"/>
      <c r="M37" s="62"/>
      <c r="O37" s="2">
        <f>Table138958456799101112[[#This Row],[Change]]*Table138958456799101112[[#This Row],[Last price]]</f>
        <v>0</v>
      </c>
      <c r="P37" s="42">
        <f t="shared" si="1"/>
        <v>0</v>
      </c>
    </row>
    <row r="38" spans="1:17" s="41" customFormat="1" ht="25.5" customHeight="1" x14ac:dyDescent="0.2">
      <c r="A38" s="33" t="s">
        <v>187</v>
      </c>
      <c r="B38" s="33" t="s">
        <v>63</v>
      </c>
      <c r="C38" s="33" t="s">
        <v>64</v>
      </c>
      <c r="D38" s="34">
        <v>3.5000000000000003E-2</v>
      </c>
      <c r="E38" s="35">
        <f>'Aug 26'!$D38*$C$6*$C$2</f>
        <v>1760493.3474975002</v>
      </c>
      <c r="F38" s="35">
        <v>94528.85</v>
      </c>
      <c r="G38" s="36">
        <f>'Aug 26'!$E38/'Aug 26'!$F38</f>
        <v>18.623873531704874</v>
      </c>
      <c r="H38" s="33">
        <v>20</v>
      </c>
      <c r="I38" s="33">
        <v>19</v>
      </c>
      <c r="J38" s="37">
        <f t="shared" ref="J38:J43" si="3">I38-H38</f>
        <v>-1</v>
      </c>
      <c r="K38" s="38">
        <f>'Aug 26'!$F38*'Aug 26'!$I38</f>
        <v>1796048.1500000001</v>
      </c>
      <c r="L38" s="39">
        <f>'Aug 26'!$K38/$K$2</f>
        <v>3.5614315591867327E-2</v>
      </c>
      <c r="M38" s="40"/>
      <c r="N38" s="2"/>
      <c r="O38" s="2">
        <f>Table138958456799101112[[#This Row],[Change]]*Table138958456799101112[[#This Row],[Last price]]</f>
        <v>-94528.85</v>
      </c>
      <c r="P38" s="42">
        <f t="shared" si="1"/>
        <v>94528.85</v>
      </c>
      <c r="Q38" s="42"/>
    </row>
    <row r="39" spans="1:17" s="41" customFormat="1" ht="25.5" customHeight="1" x14ac:dyDescent="0.2">
      <c r="A39" s="33" t="s">
        <v>187</v>
      </c>
      <c r="B39" s="33" t="s">
        <v>72</v>
      </c>
      <c r="C39" s="33" t="s">
        <v>73</v>
      </c>
      <c r="D39" s="34">
        <v>3.5000000000000003E-2</v>
      </c>
      <c r="E39" s="35">
        <f>'Aug 26'!$D39*$C$6*$C$2</f>
        <v>1760493.3474975002</v>
      </c>
      <c r="F39" s="35">
        <v>114433.1875</v>
      </c>
      <c r="G39" s="36">
        <f>'Aug 26'!$E39/'Aug 26'!$F39</f>
        <v>15.384464821426915</v>
      </c>
      <c r="H39" s="33">
        <v>16</v>
      </c>
      <c r="I39" s="33">
        <v>15</v>
      </c>
      <c r="J39" s="37">
        <f t="shared" si="3"/>
        <v>-1</v>
      </c>
      <c r="K39" s="38">
        <f>'Aug 26'!$F39*'Aug 26'!$I39</f>
        <v>1716497.8125</v>
      </c>
      <c r="L39" s="39">
        <f>'Aug 26'!$K39/$K$2</f>
        <v>3.4036890830084314E-2</v>
      </c>
      <c r="M39" s="40"/>
      <c r="N39" s="2"/>
      <c r="O39" s="2">
        <f>Table138958456799101112[[#This Row],[Change]]*Table138958456799101112[[#This Row],[Last price]]</f>
        <v>-114433.1875</v>
      </c>
      <c r="P39" s="42">
        <f t="shared" si="1"/>
        <v>114433.1875</v>
      </c>
    </row>
    <row r="40" spans="1:17" s="41" customFormat="1" ht="25.5" customHeight="1" x14ac:dyDescent="0.2">
      <c r="A40" s="33" t="s">
        <v>187</v>
      </c>
      <c r="B40" s="33" t="s">
        <v>76</v>
      </c>
      <c r="C40" s="33" t="s">
        <v>77</v>
      </c>
      <c r="D40" s="34">
        <v>3.5000000000000003E-2</v>
      </c>
      <c r="E40" s="35">
        <f>'Aug 26'!$D40*$C$6*$C$2</f>
        <v>1760493.3474975002</v>
      </c>
      <c r="F40" s="35">
        <v>112636.625</v>
      </c>
      <c r="G40" s="36">
        <f>'Aug 26'!$E40/'Aug 26'!$F40</f>
        <v>15.629848173251819</v>
      </c>
      <c r="H40" s="33">
        <v>16</v>
      </c>
      <c r="I40" s="33">
        <v>16</v>
      </c>
      <c r="J40" s="37">
        <f t="shared" si="3"/>
        <v>0</v>
      </c>
      <c r="K40" s="38">
        <f>'Aug 26'!$F40*'Aug 26'!$I40</f>
        <v>1802186</v>
      </c>
      <c r="L40" s="39">
        <f>'Aug 26'!$K40/$K$2</f>
        <v>3.5736024649030154E-2</v>
      </c>
      <c r="M40" s="40"/>
      <c r="N40" s="2"/>
      <c r="O40" s="2">
        <f>Table138958456799101112[[#This Row],[Change]]*Table138958456799101112[[#This Row],[Last price]]</f>
        <v>0</v>
      </c>
      <c r="P40" s="42">
        <f t="shared" si="1"/>
        <v>0</v>
      </c>
    </row>
    <row r="41" spans="1:17" s="41" customFormat="1" ht="25.5" x14ac:dyDescent="0.2">
      <c r="A41" s="33" t="s">
        <v>187</v>
      </c>
      <c r="B41" s="33" t="s">
        <v>78</v>
      </c>
      <c r="C41" s="33" t="s">
        <v>79</v>
      </c>
      <c r="D41" s="34">
        <v>0.125</v>
      </c>
      <c r="E41" s="35">
        <f>'Aug 26'!$D41*$C$6*$C$2</f>
        <v>6287476.2410624996</v>
      </c>
      <c r="F41" s="35">
        <v>249419.615384615</v>
      </c>
      <c r="G41" s="36">
        <f>'Aug 26'!$E41/'Aug 26'!$F41</f>
        <v>25.208427297776723</v>
      </c>
      <c r="H41" s="33">
        <v>26</v>
      </c>
      <c r="I41" s="33">
        <v>25</v>
      </c>
      <c r="J41" s="37">
        <f t="shared" si="3"/>
        <v>-1</v>
      </c>
      <c r="K41" s="38">
        <f>'Aug 26'!$F41*'Aug 26'!$I41</f>
        <v>6235490.3846153747</v>
      </c>
      <c r="L41" s="39">
        <f>'Aug 26'!$K41/$K$2</f>
        <v>0.12364519427151556</v>
      </c>
      <c r="M41" s="40"/>
      <c r="N41" s="2"/>
      <c r="O41" s="2">
        <f>Table138958456799101112[[#This Row],[Change]]*Table138958456799101112[[#This Row],[Last price]]</f>
        <v>-249419.615384615</v>
      </c>
      <c r="P41" s="42">
        <f t="shared" si="1"/>
        <v>249419.615384615</v>
      </c>
    </row>
    <row r="42" spans="1:17" s="41" customFormat="1" ht="25.5" x14ac:dyDescent="0.2">
      <c r="A42" s="33" t="s">
        <v>187</v>
      </c>
      <c r="B42" s="33" t="s">
        <v>193</v>
      </c>
      <c r="C42" s="33" t="s">
        <v>100</v>
      </c>
      <c r="D42" s="34">
        <v>0.125</v>
      </c>
      <c r="E42" s="35">
        <f>'Aug 26'!$D42*$C$6*$C$2</f>
        <v>6287476.2410624996</v>
      </c>
      <c r="F42" s="35">
        <v>416337.933333333</v>
      </c>
      <c r="G42" s="36">
        <f>'Aug 26'!$E42/'Aug 26'!$F42</f>
        <v>15.101857740232745</v>
      </c>
      <c r="H42" s="33">
        <v>15</v>
      </c>
      <c r="I42" s="33">
        <v>15</v>
      </c>
      <c r="J42" s="37">
        <f t="shared" si="3"/>
        <v>0</v>
      </c>
      <c r="K42" s="38">
        <f>'Aug 26'!$F42*'Aug 26'!$I42</f>
        <v>6245068.9999999953</v>
      </c>
      <c r="L42" s="39">
        <f>'Aug 26'!$K42/$K$2</f>
        <v>0.12383513117896483</v>
      </c>
      <c r="M42" s="40"/>
      <c r="N42" s="2"/>
      <c r="O42" s="2">
        <f>Table138958456799101112[[#This Row],[Change]]*Table138958456799101112[[#This Row],[Last price]]</f>
        <v>0</v>
      </c>
      <c r="P42" s="42">
        <f t="shared" si="1"/>
        <v>0</v>
      </c>
    </row>
    <row r="43" spans="1:17" s="41" customFormat="1" ht="25.5" x14ac:dyDescent="0.2">
      <c r="A43" s="33" t="s">
        <v>187</v>
      </c>
      <c r="B43" s="33" t="s">
        <v>102</v>
      </c>
      <c r="C43" s="33" t="s">
        <v>103</v>
      </c>
      <c r="D43" s="34">
        <v>0.125</v>
      </c>
      <c r="E43" s="35">
        <f>'Aug 26'!$D43*$C$6*$C$2</f>
        <v>6287476.2410624996</v>
      </c>
      <c r="F43" s="35">
        <v>249768.76923076899</v>
      </c>
      <c r="G43" s="36">
        <f>'Aug 26'!$E43/'Aug 26'!$F43</f>
        <v>25.173188226960868</v>
      </c>
      <c r="H43" s="33">
        <v>26</v>
      </c>
      <c r="I43" s="33">
        <v>25</v>
      </c>
      <c r="J43" s="37">
        <f t="shared" si="3"/>
        <v>-1</v>
      </c>
      <c r="K43" s="38">
        <f>'Aug 26'!$F43*'Aug 26'!$I43</f>
        <v>6244219.2307692245</v>
      </c>
      <c r="L43" s="39">
        <f>'Aug 26'!$K43/$K$2</f>
        <v>0.12381828087928611</v>
      </c>
      <c r="M43" s="40"/>
      <c r="N43" s="2"/>
      <c r="O43" s="2">
        <f>Table138958456799101112[[#This Row],[Change]]*Table138958456799101112[[#This Row],[Last price]]</f>
        <v>-249768.76923076899</v>
      </c>
      <c r="P43" s="42">
        <f t="shared" si="1"/>
        <v>249768.76923076899</v>
      </c>
    </row>
    <row r="44" spans="1:17" s="41" customFormat="1" ht="12.75" x14ac:dyDescent="0.2">
      <c r="A44" s="33"/>
      <c r="B44" s="33"/>
      <c r="C44" s="33"/>
      <c r="D44" s="34"/>
      <c r="E44" s="35"/>
      <c r="F44" s="35"/>
      <c r="G44" s="36"/>
      <c r="H44" s="33"/>
      <c r="I44" s="33"/>
      <c r="J44" s="37"/>
      <c r="K44" s="38"/>
      <c r="L44" s="39"/>
      <c r="M44" s="40"/>
      <c r="N44" s="2"/>
      <c r="O44" s="2">
        <f>Table138958456799101112[[#This Row],[Change]]*Table138958456799101112[[#This Row],[Last price]]</f>
        <v>0</v>
      </c>
      <c r="P44" s="42">
        <f t="shared" si="1"/>
        <v>0</v>
      </c>
    </row>
    <row r="45" spans="1:17" s="41" customFormat="1" ht="12.75" x14ac:dyDescent="0.2">
      <c r="A45" s="33"/>
      <c r="B45" s="33"/>
      <c r="C45" s="33"/>
      <c r="D45" s="34"/>
      <c r="E45" s="35"/>
      <c r="F45" s="35"/>
      <c r="G45" s="36"/>
      <c r="H45" s="33"/>
      <c r="I45" s="33"/>
      <c r="J45" s="37"/>
      <c r="K45" s="38"/>
      <c r="L45" s="39"/>
      <c r="M45" s="40"/>
      <c r="N45" s="2"/>
      <c r="O45" s="2">
        <f>Table138958456799101112[[#This Row],[Change]]*Table138958456799101112[[#This Row],[Last price]]</f>
        <v>0</v>
      </c>
      <c r="P45" s="42">
        <f t="shared" si="1"/>
        <v>0</v>
      </c>
    </row>
    <row r="46" spans="1:17" s="44" customFormat="1" ht="12.75" x14ac:dyDescent="0.2">
      <c r="A46" s="33"/>
      <c r="B46" s="33"/>
      <c r="C46" s="33"/>
      <c r="D46" s="34"/>
      <c r="E46" s="35"/>
      <c r="F46" s="35"/>
      <c r="G46" s="36"/>
      <c r="H46" s="33"/>
      <c r="I46" s="33"/>
      <c r="J46" s="45"/>
      <c r="K46" s="35"/>
      <c r="L46" s="39"/>
      <c r="M46" s="33"/>
      <c r="N46" s="64"/>
      <c r="O46" s="2">
        <f>Table138958456799101112[[#This Row],[Change]]*Table138958456799101112[[#This Row],[Last price]]</f>
        <v>0</v>
      </c>
      <c r="P46" s="42">
        <f t="shared" si="1"/>
        <v>0</v>
      </c>
    </row>
    <row r="47" spans="1:17" s="54" customFormat="1" ht="12.75" x14ac:dyDescent="0.2">
      <c r="A47" s="47" t="s">
        <v>194</v>
      </c>
      <c r="B47" s="47"/>
      <c r="C47" s="47"/>
      <c r="D47" s="56">
        <f>SUBTOTAL(9,D38:D46)</f>
        <v>0.48</v>
      </c>
      <c r="E47" s="49">
        <f>'Aug 26'!$D47*$C$6*$C$2</f>
        <v>24143908.765679996</v>
      </c>
      <c r="F47" s="70"/>
      <c r="G47" s="70"/>
      <c r="H47" s="55"/>
      <c r="I47" s="55"/>
      <c r="J47" s="59"/>
      <c r="K47" s="49">
        <f>SUM(K38:K46)</f>
        <v>24039510.577884596</v>
      </c>
      <c r="L47" s="68">
        <f>'Aug 26'!$K47/$K$2</f>
        <v>0.47668583740074832</v>
      </c>
      <c r="M47" s="47"/>
      <c r="N47" s="15"/>
      <c r="O47" s="2">
        <f>Table138958456799101112[[#This Row],[Change]]*Table138958456799101112[[#This Row],[Last price]]</f>
        <v>0</v>
      </c>
      <c r="P47" s="42">
        <f t="shared" si="1"/>
        <v>0</v>
      </c>
    </row>
    <row r="48" spans="1:17" s="44" customFormat="1" ht="12.75" x14ac:dyDescent="0.2">
      <c r="A48" s="33"/>
      <c r="B48" s="33"/>
      <c r="C48" s="33"/>
      <c r="D48" s="34"/>
      <c r="E48" s="35"/>
      <c r="F48" s="35"/>
      <c r="G48" s="36"/>
      <c r="H48" s="33"/>
      <c r="I48" s="33"/>
      <c r="J48" s="45"/>
      <c r="K48" s="35"/>
      <c r="L48" s="39"/>
      <c r="M48" s="33"/>
      <c r="N48" s="64"/>
      <c r="O48" s="2">
        <f>Table138958456799101112[[#This Row],[Change]]*Table138958456799101112[[#This Row],[Last price]]</f>
        <v>0</v>
      </c>
      <c r="P48" s="42">
        <f t="shared" si="1"/>
        <v>0</v>
      </c>
    </row>
    <row r="49" spans="1:18" s="41" customFormat="1" ht="12.75" x14ac:dyDescent="0.2">
      <c r="A49" s="33"/>
      <c r="B49" s="33"/>
      <c r="C49" s="33"/>
      <c r="D49" s="34"/>
      <c r="E49" s="35"/>
      <c r="F49" s="35"/>
      <c r="G49" s="71"/>
      <c r="H49" s="33"/>
      <c r="I49" s="33"/>
      <c r="J49" s="37"/>
      <c r="K49" s="38"/>
      <c r="L49" s="39"/>
      <c r="M49" s="40"/>
      <c r="N49" s="2"/>
      <c r="O49" s="2">
        <f>Table138958456799101112[[#This Row],[Change]]*Table138958456799101112[[#This Row],[Last price]]</f>
        <v>0</v>
      </c>
      <c r="P49" s="42">
        <f t="shared" si="1"/>
        <v>0</v>
      </c>
    </row>
    <row r="50" spans="1:18" s="41" customFormat="1" ht="25.5" x14ac:dyDescent="0.2">
      <c r="A50" s="33" t="s">
        <v>195</v>
      </c>
      <c r="B50" s="33" t="s">
        <v>67</v>
      </c>
      <c r="C50" s="33" t="s">
        <v>68</v>
      </c>
      <c r="D50" s="34">
        <v>1.5E-3</v>
      </c>
      <c r="E50" s="35">
        <f>'Aug 26'!$D50*$C$6*$C$2</f>
        <v>75449.714892749995</v>
      </c>
      <c r="F50" s="35">
        <v>43787</v>
      </c>
      <c r="G50" s="71">
        <f>'Aug 26'!$E50/'Aug 26'!$F50</f>
        <v>1.7231076550745654</v>
      </c>
      <c r="H50" s="33">
        <v>2</v>
      </c>
      <c r="I50" s="33">
        <v>2</v>
      </c>
      <c r="J50" s="37">
        <f t="shared" ref="J50:J59" si="4">I50-H50</f>
        <v>0</v>
      </c>
      <c r="K50" s="38">
        <f>'Aug 26'!$F50*'Aug 26'!$I50</f>
        <v>87574</v>
      </c>
      <c r="L50" s="39">
        <f>'Aug 26'!$K50/$K$2</f>
        <v>1.7365280956650238E-3</v>
      </c>
      <c r="M50" s="40"/>
      <c r="N50" s="2"/>
      <c r="O50" s="2">
        <f>Table138958456799101112[[#This Row],[Change]]*Table138958456799101112[[#This Row],[Last price]]</f>
        <v>0</v>
      </c>
      <c r="P50" s="42">
        <f t="shared" si="1"/>
        <v>0</v>
      </c>
    </row>
    <row r="51" spans="1:18" s="41" customFormat="1" ht="25.5" x14ac:dyDescent="0.2">
      <c r="A51" s="33" t="s">
        <v>195</v>
      </c>
      <c r="B51" s="33" t="s">
        <v>70</v>
      </c>
      <c r="C51" s="33" t="s">
        <v>71</v>
      </c>
      <c r="D51" s="34">
        <v>1.5E-3</v>
      </c>
      <c r="E51" s="35">
        <f>'Aug 26'!$D51*$C$6*$C$2</f>
        <v>75449.714892749995</v>
      </c>
      <c r="F51" s="35">
        <v>163800</v>
      </c>
      <c r="G51" s="71">
        <f>'Aug 26'!$E51/'Aug 26'!$F51</f>
        <v>0.46062097004120878</v>
      </c>
      <c r="H51" s="33">
        <v>1</v>
      </c>
      <c r="I51" s="33">
        <v>1</v>
      </c>
      <c r="J51" s="37">
        <f t="shared" si="4"/>
        <v>0</v>
      </c>
      <c r="K51" s="38">
        <f>'Aug 26'!$F51*'Aug 26'!$I51</f>
        <v>163800</v>
      </c>
      <c r="L51" s="39">
        <f>'Aug 26'!$K51/$K$2</f>
        <v>3.2480336865956892E-3</v>
      </c>
      <c r="M51" s="40"/>
      <c r="N51" s="2"/>
      <c r="O51" s="2">
        <f>Table138958456799101112[[#This Row],[Change]]*Table138958456799101112[[#This Row],[Last price]]</f>
        <v>0</v>
      </c>
      <c r="P51" s="42">
        <f t="shared" si="1"/>
        <v>0</v>
      </c>
      <c r="R51" s="41" t="s">
        <v>198</v>
      </c>
    </row>
    <row r="52" spans="1:18" s="41" customFormat="1" ht="25.5" x14ac:dyDescent="0.2">
      <c r="A52" s="33" t="s">
        <v>195</v>
      </c>
      <c r="B52" s="33" t="s">
        <v>81</v>
      </c>
      <c r="C52" s="33" t="s">
        <v>82</v>
      </c>
      <c r="D52" s="34">
        <v>1.5E-3</v>
      </c>
      <c r="E52" s="35">
        <f>'Aug 26'!$D52*$C$6*$C$2</f>
        <v>75449.714892749995</v>
      </c>
      <c r="F52" s="35">
        <v>90511</v>
      </c>
      <c r="G52" s="71">
        <f>'Aug 26'!$E52/'Aug 26'!$F52</f>
        <v>0.83359718589729415</v>
      </c>
      <c r="H52" s="33">
        <v>1</v>
      </c>
      <c r="I52" s="33">
        <v>1</v>
      </c>
      <c r="J52" s="37">
        <f t="shared" si="4"/>
        <v>0</v>
      </c>
      <c r="K52" s="38">
        <f>'Aug 26'!$F52*'Aug 26'!$I52</f>
        <v>90511</v>
      </c>
      <c r="L52" s="39">
        <f>'Aug 26'!$K52/$K$2</f>
        <v>1.7947666483972065E-3</v>
      </c>
      <c r="M52" s="40"/>
      <c r="N52" s="2"/>
      <c r="O52" s="2">
        <f>Table138958456799101112[[#This Row],[Change]]*Table138958456799101112[[#This Row],[Last price]]</f>
        <v>0</v>
      </c>
      <c r="P52" s="42">
        <f t="shared" si="1"/>
        <v>0</v>
      </c>
    </row>
    <row r="53" spans="1:18" s="41" customFormat="1" ht="25.5" x14ac:dyDescent="0.2">
      <c r="A53" s="33" t="s">
        <v>195</v>
      </c>
      <c r="B53" s="33" t="s">
        <v>83</v>
      </c>
      <c r="C53" s="33" t="s">
        <v>84</v>
      </c>
      <c r="D53" s="34">
        <v>1.5E-3</v>
      </c>
      <c r="E53" s="35">
        <f>'Aug 26'!$D53*$C$6*$C$2</f>
        <v>75449.714892749995</v>
      </c>
      <c r="F53" s="35">
        <v>219594</v>
      </c>
      <c r="G53" s="71">
        <f>'Aug 26'!$E53/'Aug 26'!$F53</f>
        <v>0.34358732430189348</v>
      </c>
      <c r="H53" s="33">
        <v>1</v>
      </c>
      <c r="I53" s="33">
        <v>1</v>
      </c>
      <c r="J53" s="37">
        <f t="shared" si="4"/>
        <v>0</v>
      </c>
      <c r="K53" s="38">
        <f>'Aug 26'!$F53*'Aug 26'!$I53</f>
        <v>219594</v>
      </c>
      <c r="L53" s="39">
        <f>'Aug 26'!$K53/$K$2</f>
        <v>4.3543877251177891E-3</v>
      </c>
      <c r="M53" s="40"/>
      <c r="N53" s="2"/>
      <c r="O53" s="2">
        <f>Table138958456799101112[[#This Row],[Change]]*Table138958456799101112[[#This Row],[Last price]]</f>
        <v>0</v>
      </c>
      <c r="P53" s="42">
        <f t="shared" si="1"/>
        <v>0</v>
      </c>
    </row>
    <row r="54" spans="1:18" s="41" customFormat="1" ht="25.5" x14ac:dyDescent="0.2">
      <c r="A54" s="33" t="s">
        <v>195</v>
      </c>
      <c r="B54" s="33" t="s">
        <v>86</v>
      </c>
      <c r="C54" s="33" t="s">
        <v>87</v>
      </c>
      <c r="D54" s="34">
        <v>1.5E-3</v>
      </c>
      <c r="E54" s="35">
        <f>'Aug 26'!$D54*$C$6*$C$2</f>
        <v>75449.714892749995</v>
      </c>
      <c r="F54" s="35">
        <v>49381</v>
      </c>
      <c r="G54" s="71">
        <f>'Aug 26'!$E54/'Aug 26'!$F54</f>
        <v>1.5279098214444826</v>
      </c>
      <c r="H54" s="33">
        <v>1</v>
      </c>
      <c r="I54" s="33">
        <v>1</v>
      </c>
      <c r="J54" s="37">
        <f t="shared" si="4"/>
        <v>0</v>
      </c>
      <c r="K54" s="38">
        <f>'Aug 26'!$F54*'Aug 26'!$I54</f>
        <v>49381</v>
      </c>
      <c r="L54" s="39">
        <f>'Aug 26'!$K54/$K$2</f>
        <v>9.7918895896081633E-4</v>
      </c>
      <c r="M54" s="40"/>
      <c r="N54" s="2"/>
      <c r="O54" s="2">
        <f>Table138958456799101112[[#This Row],[Change]]*Table138958456799101112[[#This Row],[Last price]]</f>
        <v>0</v>
      </c>
      <c r="P54" s="42">
        <f t="shared" si="1"/>
        <v>0</v>
      </c>
    </row>
    <row r="55" spans="1:18" s="41" customFormat="1" ht="25.5" x14ac:dyDescent="0.2">
      <c r="A55" s="33" t="s">
        <v>195</v>
      </c>
      <c r="B55" s="33" t="s">
        <v>89</v>
      </c>
      <c r="C55" s="33" t="s">
        <v>90</v>
      </c>
      <c r="D55" s="34">
        <v>1.5E-3</v>
      </c>
      <c r="E55" s="35">
        <f>'Aug 26'!$D55*$C$6*$C$2</f>
        <v>75449.714892749995</v>
      </c>
      <c r="F55" s="35">
        <v>46413</v>
      </c>
      <c r="G55" s="71">
        <f>'Aug 26'!$E55/'Aug 26'!$F55</f>
        <v>1.6256159888985844</v>
      </c>
      <c r="H55" s="33">
        <v>1</v>
      </c>
      <c r="I55" s="33">
        <v>1</v>
      </c>
      <c r="J55" s="37">
        <f t="shared" si="4"/>
        <v>0</v>
      </c>
      <c r="K55" s="38">
        <f>'Aug 26'!$F55*'Aug 26'!$I55</f>
        <v>46413</v>
      </c>
      <c r="L55" s="39">
        <f>'Aug 26'!$K55/$K$2</f>
        <v>9.2033569899856974E-4</v>
      </c>
      <c r="M55" s="40"/>
      <c r="N55" s="2"/>
      <c r="O55" s="2">
        <f>Table138958456799101112[[#This Row],[Change]]*Table138958456799101112[[#This Row],[Last price]]</f>
        <v>0</v>
      </c>
      <c r="P55" s="42">
        <f t="shared" si="1"/>
        <v>0</v>
      </c>
    </row>
    <row r="56" spans="1:18" s="41" customFormat="1" ht="25.5" x14ac:dyDescent="0.2">
      <c r="A56" s="33" t="s">
        <v>195</v>
      </c>
      <c r="B56" s="33" t="s">
        <v>202</v>
      </c>
      <c r="C56" s="33" t="s">
        <v>92</v>
      </c>
      <c r="D56" s="34">
        <v>1.5E-3</v>
      </c>
      <c r="E56" s="35">
        <f>'Aug 26'!$D56*$C$6*$C$2</f>
        <v>75449.714892749995</v>
      </c>
      <c r="F56" s="35">
        <v>12234.833333333299</v>
      </c>
      <c r="G56" s="71">
        <f>'Aug 26'!$E56/'Aug 26'!$F56</f>
        <v>6.1667954795256881</v>
      </c>
      <c r="H56" s="33">
        <v>6</v>
      </c>
      <c r="I56" s="33">
        <v>6</v>
      </c>
      <c r="J56" s="37">
        <f t="shared" si="4"/>
        <v>0</v>
      </c>
      <c r="K56" s="38">
        <f>'Aug 26'!$F56*'Aug 26'!$I56</f>
        <v>73408.999999999796</v>
      </c>
      <c r="L56" s="39">
        <f>'Aug 26'!$K56/$K$2</f>
        <v>1.4556465500567906E-3</v>
      </c>
      <c r="M56" s="40"/>
      <c r="N56" s="2"/>
      <c r="O56" s="2">
        <f>Table138958456799101112[[#This Row],[Change]]*Table138958456799101112[[#This Row],[Last price]]</f>
        <v>0</v>
      </c>
      <c r="P56" s="42">
        <f t="shared" si="1"/>
        <v>0</v>
      </c>
    </row>
    <row r="57" spans="1:18" s="41" customFormat="1" ht="25.5" x14ac:dyDescent="0.2">
      <c r="A57" s="33" t="s">
        <v>195</v>
      </c>
      <c r="B57" s="33" t="s">
        <v>96</v>
      </c>
      <c r="C57" s="33" t="s">
        <v>97</v>
      </c>
      <c r="D57" s="34">
        <v>1.5E-3</v>
      </c>
      <c r="E57" s="35">
        <f>'Aug 26'!$D57*$C$6*$C$2</f>
        <v>75449.714892749995</v>
      </c>
      <c r="F57" s="35">
        <v>87266</v>
      </c>
      <c r="G57" s="71">
        <f>'Aug 26'!$E57/'Aug 26'!$F57</f>
        <v>0.86459462898207773</v>
      </c>
      <c r="H57" s="33">
        <v>1</v>
      </c>
      <c r="I57" s="33">
        <v>1</v>
      </c>
      <c r="J57" s="37">
        <f t="shared" si="4"/>
        <v>0</v>
      </c>
      <c r="K57" s="38">
        <f>'Aug 26'!$F57*'Aug 26'!$I57</f>
        <v>87266</v>
      </c>
      <c r="L57" s="39">
        <f>'Aug 26'!$K57/$K$2</f>
        <v>1.7304206818953567E-3</v>
      </c>
      <c r="M57" s="40"/>
      <c r="N57" s="2"/>
      <c r="O57" s="2">
        <f>Table138958456799101112[[#This Row],[Change]]*Table138958456799101112[[#This Row],[Last price]]</f>
        <v>0</v>
      </c>
      <c r="P57" s="42">
        <f t="shared" si="1"/>
        <v>0</v>
      </c>
    </row>
    <row r="58" spans="1:18" ht="26.25" x14ac:dyDescent="0.25">
      <c r="A58" s="33" t="s">
        <v>195</v>
      </c>
      <c r="B58" s="60" t="s">
        <v>123</v>
      </c>
      <c r="C58" s="60" t="s">
        <v>124</v>
      </c>
      <c r="D58" s="34">
        <v>1.5E-3</v>
      </c>
      <c r="E58" s="35">
        <f>'Aug 26'!$D58*$C$6*$C$2</f>
        <v>75449.714892749995</v>
      </c>
      <c r="F58" s="35">
        <v>61483</v>
      </c>
      <c r="G58" s="71">
        <f>'Aug 26'!$E58/'Aug 26'!$F58</f>
        <v>1.2271638484255809</v>
      </c>
      <c r="H58" s="33">
        <v>1</v>
      </c>
      <c r="I58" s="33">
        <v>1</v>
      </c>
      <c r="J58" s="37">
        <f t="shared" si="4"/>
        <v>0</v>
      </c>
      <c r="K58" s="38">
        <f>'Aug 26'!$F58*'Aug 26'!$I58</f>
        <v>61483</v>
      </c>
      <c r="L58" s="39">
        <f>'Aug 26'!$K58/$K$2</f>
        <v>1.2191627298715675E-3</v>
      </c>
      <c r="M58" s="62"/>
      <c r="O58" s="2">
        <f>Table138958456799101112[[#This Row],[Change]]*Table138958456799101112[[#This Row],[Last price]]</f>
        <v>0</v>
      </c>
      <c r="P58" s="42">
        <f t="shared" si="1"/>
        <v>0</v>
      </c>
    </row>
    <row r="59" spans="1:18" s="41" customFormat="1" ht="25.5" x14ac:dyDescent="0.2">
      <c r="A59" s="33" t="s">
        <v>195</v>
      </c>
      <c r="B59" s="33" t="s">
        <v>94</v>
      </c>
      <c r="C59" s="33" t="s">
        <v>95</v>
      </c>
      <c r="D59" s="34">
        <v>1.5E-3</v>
      </c>
      <c r="E59" s="35">
        <f>'Aug 26'!$D59*$C$6*$C$2</f>
        <v>75449.714892749995</v>
      </c>
      <c r="F59" s="35">
        <v>131848</v>
      </c>
      <c r="G59" s="71">
        <f>'Aug 26'!$E59/'Aug 26'!$F59</f>
        <v>0.57224770108571987</v>
      </c>
      <c r="H59" s="33">
        <v>1</v>
      </c>
      <c r="I59" s="33">
        <v>1</v>
      </c>
      <c r="J59" s="37">
        <f t="shared" si="4"/>
        <v>0</v>
      </c>
      <c r="K59" s="38">
        <f>'Aug 26'!$F59*'Aug 26'!$I59</f>
        <v>131848</v>
      </c>
      <c r="L59" s="39">
        <f>'Aug 26'!$K59/$K$2</f>
        <v>2.6144489957891847E-3</v>
      </c>
      <c r="M59" s="40"/>
      <c r="N59" s="2"/>
      <c r="O59" s="2">
        <f>Table138958456799101112[[#This Row],[Change]]*Table138958456799101112[[#This Row],[Last price]]</f>
        <v>0</v>
      </c>
      <c r="P59" s="42">
        <f t="shared" si="1"/>
        <v>0</v>
      </c>
    </row>
    <row r="60" spans="1:18" s="41" customFormat="1" ht="12.75" x14ac:dyDescent="0.2">
      <c r="A60" s="33"/>
      <c r="B60" s="33"/>
      <c r="C60" s="33"/>
      <c r="D60" s="34"/>
      <c r="E60" s="35"/>
      <c r="F60" s="35"/>
      <c r="G60" s="36"/>
      <c r="H60" s="33"/>
      <c r="I60" s="33"/>
      <c r="J60" s="40"/>
      <c r="K60" s="38"/>
      <c r="L60" s="39"/>
      <c r="M60" s="40"/>
      <c r="N60" s="2"/>
      <c r="O60" s="2">
        <f>Table138958456799101112[[#This Row],[Change]]*Table138958456799101112[[#This Row],[Last price]]</f>
        <v>0</v>
      </c>
      <c r="P60" s="42">
        <f t="shared" si="1"/>
        <v>0</v>
      </c>
    </row>
    <row r="61" spans="1:18" s="41" customFormat="1" ht="12.75" x14ac:dyDescent="0.2">
      <c r="A61" s="33"/>
      <c r="B61" s="33"/>
      <c r="C61" s="33"/>
      <c r="D61" s="34"/>
      <c r="E61" s="35"/>
      <c r="F61" s="35"/>
      <c r="G61" s="36"/>
      <c r="H61" s="33"/>
      <c r="I61" s="33"/>
      <c r="J61" s="40"/>
      <c r="K61" s="38"/>
      <c r="L61" s="39"/>
      <c r="M61" s="40"/>
      <c r="N61" s="2"/>
      <c r="O61" s="2">
        <f>Table138958456799101112[[#This Row],[Change]]*Table138958456799101112[[#This Row],[Last price]]</f>
        <v>0</v>
      </c>
      <c r="P61" s="42">
        <f t="shared" si="1"/>
        <v>0</v>
      </c>
    </row>
    <row r="62" spans="1:18" s="41" customFormat="1" ht="12.75" x14ac:dyDescent="0.2">
      <c r="A62" s="33"/>
      <c r="B62" s="33"/>
      <c r="C62" s="33"/>
      <c r="D62" s="34"/>
      <c r="E62" s="35"/>
      <c r="F62" s="35"/>
      <c r="G62" s="36"/>
      <c r="H62" s="33"/>
      <c r="I62" s="33"/>
      <c r="J62" s="40"/>
      <c r="K62" s="38"/>
      <c r="L62" s="39"/>
      <c r="M62" s="40"/>
      <c r="N62" s="2"/>
      <c r="O62" s="2">
        <f>Table138958456799101112[[#This Row],[Change]]*Table138958456799101112[[#This Row],[Last price]]</f>
        <v>0</v>
      </c>
      <c r="P62" s="42">
        <f t="shared" si="1"/>
        <v>0</v>
      </c>
    </row>
    <row r="63" spans="1:18" s="41" customFormat="1" ht="12.75" x14ac:dyDescent="0.2">
      <c r="A63" s="33"/>
      <c r="B63" s="33"/>
      <c r="C63" s="33"/>
      <c r="D63" s="34"/>
      <c r="E63" s="35"/>
      <c r="F63" s="35"/>
      <c r="G63" s="36"/>
      <c r="H63" s="33"/>
      <c r="I63" s="33"/>
      <c r="J63" s="40"/>
      <c r="K63" s="38"/>
      <c r="L63" s="39"/>
      <c r="M63" s="40"/>
      <c r="N63" s="2"/>
      <c r="O63" s="2">
        <f>Table138958456799101112[[#This Row],[Change]]*Table138958456799101112[[#This Row],[Last price]]</f>
        <v>0</v>
      </c>
      <c r="P63" s="42">
        <f t="shared" si="1"/>
        <v>0</v>
      </c>
    </row>
    <row r="64" spans="1:18" s="41" customFormat="1" ht="12.75" x14ac:dyDescent="0.2">
      <c r="A64" s="33"/>
      <c r="B64" s="33"/>
      <c r="C64" s="33"/>
      <c r="D64" s="34"/>
      <c r="E64" s="35"/>
      <c r="F64" s="35"/>
      <c r="G64" s="36"/>
      <c r="H64" s="33"/>
      <c r="I64" s="33"/>
      <c r="J64" s="40"/>
      <c r="K64" s="38"/>
      <c r="L64" s="39"/>
      <c r="M64" s="40"/>
      <c r="N64" s="2"/>
      <c r="O64" s="2">
        <f>Table138958456799101112[[#This Row],[Change]]*Table138958456799101112[[#This Row],[Last price]]</f>
        <v>0</v>
      </c>
      <c r="P64" s="42">
        <f t="shared" si="1"/>
        <v>0</v>
      </c>
    </row>
    <row r="65" spans="1:16" s="41" customFormat="1" ht="12.75" x14ac:dyDescent="0.2">
      <c r="A65" s="33"/>
      <c r="B65" s="33"/>
      <c r="C65" s="33"/>
      <c r="D65" s="34"/>
      <c r="E65" s="35"/>
      <c r="F65" s="35"/>
      <c r="G65" s="36"/>
      <c r="H65" s="33"/>
      <c r="I65" s="33"/>
      <c r="J65" s="40"/>
      <c r="K65" s="38"/>
      <c r="L65" s="39"/>
      <c r="M65" s="40"/>
      <c r="N65" s="2"/>
      <c r="O65" s="2">
        <f>Table138958456799101112[[#This Row],[Change]]*Table138958456799101112[[#This Row],[Last price]]</f>
        <v>0</v>
      </c>
      <c r="P65" s="42">
        <f t="shared" si="1"/>
        <v>0</v>
      </c>
    </row>
    <row r="66" spans="1:16" s="41" customFormat="1" ht="12.75" x14ac:dyDescent="0.2">
      <c r="A66" s="33"/>
      <c r="B66" s="33"/>
      <c r="C66" s="33"/>
      <c r="D66" s="34"/>
      <c r="E66" s="35"/>
      <c r="F66" s="35"/>
      <c r="G66" s="36"/>
      <c r="H66" s="33"/>
      <c r="I66" s="33"/>
      <c r="J66" s="40"/>
      <c r="K66" s="38"/>
      <c r="L66" s="39"/>
      <c r="M66" s="40"/>
      <c r="N66" s="2"/>
    </row>
    <row r="67" spans="1:16" s="15" customFormat="1" ht="12.75" x14ac:dyDescent="0.2">
      <c r="A67" s="47" t="s">
        <v>206</v>
      </c>
      <c r="B67" s="65"/>
      <c r="C67" s="65"/>
      <c r="D67" s="72">
        <f>SUM(D50:D66)</f>
        <v>1.4999999999999998E-2</v>
      </c>
      <c r="E67" s="49">
        <f>SUM(E49:E66)</f>
        <v>754497.14892750012</v>
      </c>
      <c r="F67" s="70"/>
      <c r="G67" s="70"/>
      <c r="H67" s="65"/>
      <c r="I67" s="65"/>
      <c r="J67" s="47"/>
      <c r="K67" s="49">
        <f>SUM(K49:K66)</f>
        <v>1011278.9999999998</v>
      </c>
      <c r="L67" s="53">
        <f>'Aug 26'!$K67/$K$2</f>
        <v>2.0052919771347995E-2</v>
      </c>
      <c r="M67" s="50"/>
      <c r="O67" s="41"/>
      <c r="P67" s="41"/>
    </row>
    <row r="68" spans="1:16" x14ac:dyDescent="0.25">
      <c r="A68" s="33"/>
      <c r="B68" s="60"/>
      <c r="C68" s="60"/>
      <c r="D68" s="73"/>
      <c r="E68" s="35"/>
      <c r="F68" s="35"/>
      <c r="G68" s="36"/>
      <c r="H68" s="60"/>
      <c r="I68" s="60"/>
      <c r="J68" s="33"/>
      <c r="K68" s="33"/>
      <c r="L68" s="39"/>
      <c r="M68" s="62"/>
      <c r="O68" s="41"/>
      <c r="P68" s="41"/>
    </row>
    <row r="69" spans="1:16" x14ac:dyDescent="0.25">
      <c r="A69" s="33"/>
      <c r="B69" s="60"/>
      <c r="C69" s="60"/>
      <c r="D69" s="74"/>
      <c r="E69" s="63"/>
      <c r="F69" s="35"/>
      <c r="G69" s="61"/>
      <c r="H69" s="60"/>
      <c r="I69" s="60"/>
      <c r="J69" s="33"/>
      <c r="K69" s="33"/>
      <c r="L69" s="39"/>
      <c r="M69" s="62"/>
      <c r="O69" s="41"/>
      <c r="P69" s="41"/>
    </row>
    <row r="70" spans="1:16" s="15" customFormat="1" ht="12.75" x14ac:dyDescent="0.2">
      <c r="A70" s="47" t="s">
        <v>207</v>
      </c>
      <c r="B70" s="65"/>
      <c r="C70" s="65"/>
      <c r="D70" s="65"/>
      <c r="E70" s="75"/>
      <c r="F70" s="75"/>
      <c r="G70" s="65"/>
      <c r="H70" s="65"/>
      <c r="I70" s="65"/>
      <c r="J70" s="65"/>
      <c r="K70" s="75">
        <f>SUM(K24,K26,K36,K47,K67)</f>
        <v>50430511.443272978</v>
      </c>
      <c r="L70" s="53">
        <f>'Aug 26'!$K70/$K$2</f>
        <v>1.0000000000000002</v>
      </c>
      <c r="M70" s="65"/>
      <c r="O70" s="41"/>
      <c r="P70" s="41"/>
    </row>
    <row r="71" spans="1:16" x14ac:dyDescent="0.25">
      <c r="A71" s="62"/>
      <c r="B71" s="62"/>
      <c r="C71" s="62"/>
      <c r="D71" s="76"/>
      <c r="E71" s="77"/>
      <c r="F71" s="35"/>
      <c r="G71" s="78"/>
      <c r="H71" s="62"/>
      <c r="I71" s="62"/>
      <c r="J71" s="62"/>
      <c r="K71" s="62"/>
      <c r="L71" s="39"/>
      <c r="M71" s="62"/>
      <c r="O71" s="41"/>
      <c r="P71" s="41"/>
    </row>
    <row r="72" spans="1:16" x14ac:dyDescent="0.25">
      <c r="A72" s="62"/>
      <c r="B72" s="62"/>
      <c r="C72" s="62"/>
      <c r="D72" s="76"/>
      <c r="E72" s="77"/>
      <c r="F72" s="35"/>
      <c r="G72" s="78"/>
      <c r="H72" s="62"/>
      <c r="I72" s="62"/>
      <c r="J72" s="62"/>
      <c r="K72" s="62"/>
      <c r="L72" s="39"/>
      <c r="M72" s="62"/>
      <c r="O72" s="41"/>
      <c r="P72" s="41"/>
    </row>
    <row r="73" spans="1:16" x14ac:dyDescent="0.25">
      <c r="A73" s="62"/>
      <c r="B73" s="62"/>
      <c r="C73" s="62"/>
      <c r="D73" s="76"/>
      <c r="E73" s="77"/>
      <c r="F73" s="35"/>
      <c r="G73" s="78"/>
      <c r="H73" s="62"/>
      <c r="I73" s="62"/>
      <c r="J73" s="62"/>
      <c r="K73" s="62"/>
      <c r="L73" s="39"/>
      <c r="M73" s="62"/>
      <c r="O73" s="15"/>
      <c r="P73" s="15"/>
    </row>
    <row r="74" spans="1:16" x14ac:dyDescent="0.25">
      <c r="A74" s="62"/>
      <c r="B74" s="62"/>
      <c r="C74" s="62"/>
      <c r="D74" s="76"/>
      <c r="E74" s="77"/>
      <c r="F74" s="35"/>
      <c r="G74" s="78"/>
      <c r="H74" s="62"/>
      <c r="I74" s="62"/>
      <c r="J74" s="62"/>
      <c r="K74" s="62"/>
      <c r="L74" s="39"/>
      <c r="M74" s="62"/>
    </row>
    <row r="75" spans="1:16" x14ac:dyDescent="0.25">
      <c r="A75" s="62"/>
      <c r="B75" s="62"/>
      <c r="C75" s="62"/>
      <c r="D75" s="76"/>
      <c r="E75" s="77"/>
      <c r="F75" s="35"/>
      <c r="G75" s="78"/>
      <c r="H75" s="62"/>
      <c r="I75" s="62"/>
      <c r="J75" s="62"/>
      <c r="K75" s="62"/>
      <c r="L75" s="39"/>
      <c r="M75" s="62"/>
    </row>
    <row r="76" spans="1:16" x14ac:dyDescent="0.25">
      <c r="A76" s="62"/>
      <c r="B76" s="62"/>
      <c r="C76" s="62"/>
      <c r="D76" s="76"/>
      <c r="E76" s="77"/>
      <c r="F76" s="35"/>
      <c r="G76" s="78"/>
      <c r="H76" s="62"/>
      <c r="I76" s="62"/>
      <c r="J76" s="62"/>
      <c r="K76" s="62"/>
      <c r="L76" s="39"/>
      <c r="M76" s="62"/>
      <c r="O76" s="15"/>
      <c r="P76" s="15"/>
    </row>
    <row r="77" spans="1:16" x14ac:dyDescent="0.25">
      <c r="A77" s="62"/>
      <c r="B77" s="62"/>
      <c r="C77" s="62"/>
      <c r="D77" s="76"/>
      <c r="E77" s="77"/>
      <c r="F77" s="35"/>
      <c r="G77" s="78"/>
      <c r="H77" s="62"/>
      <c r="I77" s="62"/>
      <c r="J77" s="62"/>
      <c r="K77" s="62"/>
      <c r="L77" s="39"/>
      <c r="M77" s="62"/>
    </row>
    <row r="78" spans="1:16" x14ac:dyDescent="0.25">
      <c r="A78" s="62"/>
      <c r="B78" s="62"/>
      <c r="C78" s="62"/>
      <c r="D78" s="76"/>
      <c r="E78" s="77"/>
      <c r="F78" s="35"/>
      <c r="G78" s="78"/>
      <c r="H78" s="62"/>
      <c r="I78" s="62"/>
      <c r="J78" s="62"/>
      <c r="K78" s="62"/>
      <c r="L78" s="39"/>
      <c r="M78" s="62"/>
    </row>
    <row r="79" spans="1:16" x14ac:dyDescent="0.25">
      <c r="A79" s="62"/>
      <c r="B79" s="62"/>
      <c r="C79" s="62"/>
      <c r="D79" s="76"/>
      <c r="E79" s="77"/>
      <c r="F79" s="35"/>
      <c r="G79" s="78"/>
      <c r="H79" s="62"/>
      <c r="I79" s="62"/>
      <c r="J79" s="62"/>
      <c r="K79" s="62"/>
      <c r="L79" s="39"/>
      <c r="M79" s="62"/>
    </row>
    <row r="80" spans="1:16" s="2" customFormat="1" ht="12.75" x14ac:dyDescent="0.2"/>
    <row r="81" spans="1:13" s="2" customFormat="1" ht="12.75" x14ac:dyDescent="0.2"/>
    <row r="83" spans="1:13" s="2" customFormat="1" ht="12.75" x14ac:dyDescent="0.2">
      <c r="A83" s="79"/>
      <c r="B83" s="79"/>
      <c r="E83" s="79"/>
      <c r="F83" s="79"/>
      <c r="G83" s="79"/>
      <c r="H83" s="80"/>
      <c r="M83" s="79"/>
    </row>
    <row r="84" spans="1:13" s="2" customFormat="1" ht="12.75" x14ac:dyDescent="0.2">
      <c r="A84" s="79"/>
      <c r="B84" s="79"/>
      <c r="E84" s="79"/>
      <c r="F84" s="79"/>
      <c r="G84" s="79"/>
      <c r="H84" s="80"/>
      <c r="M84" s="79"/>
    </row>
    <row r="85" spans="1:13" s="2" customFormat="1" ht="12.75" x14ac:dyDescent="0.2">
      <c r="A85" s="81"/>
      <c r="B85" s="81"/>
    </row>
    <row r="86" spans="1:13" s="2" customFormat="1" ht="12.75" x14ac:dyDescent="0.2">
      <c r="A86" s="82"/>
      <c r="B86" s="82"/>
      <c r="E86" s="82"/>
      <c r="F86" s="81"/>
      <c r="G86" s="81"/>
      <c r="M86" s="83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3"/>
  <sheetViews>
    <sheetView zoomScaleNormal="100" workbookViewId="0">
      <pane xSplit="2" topLeftCell="E1" activePane="topRight" state="frozen"/>
      <selection activeCell="A43" sqref="A43"/>
      <selection pane="topRight" activeCell="P7" sqref="P7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4" width="10.5703125" style="2" customWidth="1"/>
    <col min="15" max="15" width="13" style="2" customWidth="1"/>
    <col min="16" max="16" width="13.7109375" style="2" bestFit="1" customWidth="1"/>
    <col min="17" max="18" width="10.85546875" style="2" customWidth="1"/>
    <col min="19" max="19" width="11.28515625" style="2" customWidth="1"/>
    <col min="20" max="1024" width="9.140625" style="2"/>
  </cols>
  <sheetData>
    <row r="1" spans="1:19" s="2" customFormat="1" ht="25.5" x14ac:dyDescent="0.2">
      <c r="A1" s="3"/>
      <c r="B1" s="3" t="s">
        <v>137</v>
      </c>
      <c r="C1" s="4">
        <v>44071</v>
      </c>
      <c r="D1" s="5"/>
      <c r="E1" s="6" t="s">
        <v>138</v>
      </c>
      <c r="F1" s="7"/>
      <c r="G1" s="8"/>
      <c r="K1" s="9" t="s">
        <v>139</v>
      </c>
      <c r="L1" s="9" t="s">
        <v>140</v>
      </c>
      <c r="M1" s="10" t="s">
        <v>141</v>
      </c>
    </row>
    <row r="2" spans="1:19" x14ac:dyDescent="0.25">
      <c r="A2" s="3"/>
      <c r="B2" s="3" t="s">
        <v>142</v>
      </c>
      <c r="C2" s="11">
        <v>7.15</v>
      </c>
      <c r="D2" s="12"/>
      <c r="E2" s="13">
        <f>SUM(E31,E43,E54,E74,E33)</f>
        <v>55993701.859590858</v>
      </c>
      <c r="F2" s="14"/>
      <c r="G2" s="15"/>
      <c r="H2" s="12"/>
      <c r="I2" s="12"/>
      <c r="J2" s="12"/>
      <c r="K2" s="13">
        <f>SUM(K31,K43,K54,K74,K33)</f>
        <v>56458442.295786195</v>
      </c>
      <c r="L2" s="16">
        <f>SUM(L54,L74,L43,L31,L33)</f>
        <v>0.99999999999999989</v>
      </c>
      <c r="M2" s="17">
        <f>K2/$C$6</f>
        <v>7.2093080224953159</v>
      </c>
      <c r="P2" s="18"/>
    </row>
    <row r="3" spans="1:19" ht="26.25" x14ac:dyDescent="0.25">
      <c r="A3" s="3"/>
      <c r="B3" s="3" t="s">
        <v>143</v>
      </c>
      <c r="C3" s="19">
        <v>7831326.1299999999</v>
      </c>
      <c r="D3" s="20"/>
      <c r="E3" s="6" t="s">
        <v>144</v>
      </c>
      <c r="F3" s="14"/>
      <c r="G3" s="15"/>
      <c r="H3" s="12"/>
      <c r="I3" s="12"/>
      <c r="J3" s="12"/>
      <c r="K3" s="9" t="s">
        <v>139</v>
      </c>
      <c r="L3" s="12"/>
      <c r="M3" s="10" t="s">
        <v>145</v>
      </c>
      <c r="P3" s="21"/>
    </row>
    <row r="4" spans="1:19" x14ac:dyDescent="0.25">
      <c r="A4" s="3"/>
      <c r="B4" s="3" t="s">
        <v>146</v>
      </c>
      <c r="C4" s="19">
        <v>0</v>
      </c>
      <c r="D4" s="20"/>
      <c r="E4" s="13">
        <f>SUM(E31,E74,E33)</f>
        <v>10918490.492861522</v>
      </c>
      <c r="F4" s="14"/>
      <c r="G4" s="15"/>
      <c r="H4" s="12"/>
      <c r="I4" s="12"/>
      <c r="J4" s="12"/>
      <c r="K4" s="13">
        <f>SUM(K31,K33,K74)</f>
        <v>11116266.536533508</v>
      </c>
      <c r="L4" s="12"/>
      <c r="M4" s="17">
        <f>K4/$C$6</f>
        <v>1.4194615767500298</v>
      </c>
      <c r="P4" s="21"/>
    </row>
    <row r="5" spans="1:19" x14ac:dyDescent="0.25">
      <c r="A5" s="3"/>
      <c r="B5" s="3" t="s">
        <v>147</v>
      </c>
      <c r="C5" s="19">
        <v>0</v>
      </c>
      <c r="D5" s="20"/>
      <c r="E5" s="14"/>
      <c r="F5" s="14"/>
      <c r="G5" s="213">
        <f>SUM(D31,D33,D43,D54,D74)</f>
        <v>0.99999500000000008</v>
      </c>
      <c r="H5" s="12"/>
      <c r="I5" s="12"/>
      <c r="J5" s="12"/>
      <c r="K5" s="12"/>
      <c r="L5" s="12"/>
      <c r="M5" s="12"/>
      <c r="P5" s="21"/>
    </row>
    <row r="6" spans="1:19" x14ac:dyDescent="0.25">
      <c r="A6" s="3"/>
      <c r="B6" s="3" t="s">
        <v>148</v>
      </c>
      <c r="C6" s="19">
        <f>C3+C4-C5</f>
        <v>7831326.1299999999</v>
      </c>
      <c r="D6" s="20"/>
      <c r="E6" s="14"/>
      <c r="F6" s="14"/>
      <c r="G6" s="15"/>
      <c r="H6" s="12"/>
      <c r="I6" s="12"/>
      <c r="J6" s="12"/>
      <c r="K6" s="12"/>
      <c r="L6" s="12"/>
      <c r="M6" s="12"/>
      <c r="P6" s="21"/>
    </row>
    <row r="7" spans="1:19" x14ac:dyDescent="0.25">
      <c r="A7" s="22"/>
      <c r="B7" s="23"/>
      <c r="C7" s="23"/>
      <c r="D7" s="24"/>
      <c r="E7" s="25"/>
      <c r="F7" s="25"/>
      <c r="G7" s="25"/>
      <c r="H7" s="26"/>
      <c r="I7" s="26"/>
      <c r="J7" s="26"/>
      <c r="K7" s="12"/>
      <c r="L7" s="12"/>
      <c r="M7" s="12"/>
      <c r="P7" s="219">
        <f>SUM(P9:P65)/2</f>
        <v>6271818.3486230168</v>
      </c>
    </row>
    <row r="8" spans="1:19" s="30" customFormat="1" ht="38.25" x14ac:dyDescent="0.2">
      <c r="A8" s="27" t="s">
        <v>149</v>
      </c>
      <c r="B8" s="27" t="s">
        <v>150</v>
      </c>
      <c r="C8" s="28" t="s">
        <v>1</v>
      </c>
      <c r="D8" s="28" t="s">
        <v>151</v>
      </c>
      <c r="E8" s="28" t="s">
        <v>152</v>
      </c>
      <c r="F8" s="28" t="s">
        <v>153</v>
      </c>
      <c r="G8" s="28" t="s">
        <v>154</v>
      </c>
      <c r="H8" s="28" t="s">
        <v>155</v>
      </c>
      <c r="I8" s="28" t="s">
        <v>156</v>
      </c>
      <c r="J8" s="28" t="s">
        <v>157</v>
      </c>
      <c r="K8" s="29" t="s">
        <v>158</v>
      </c>
      <c r="L8" s="29" t="s">
        <v>159</v>
      </c>
      <c r="M8" s="29" t="s">
        <v>160</v>
      </c>
      <c r="N8" s="30" t="s">
        <v>250</v>
      </c>
      <c r="O8" s="30" t="s">
        <v>251</v>
      </c>
      <c r="P8" s="31"/>
      <c r="S8" s="32"/>
    </row>
    <row r="9" spans="1:19" s="41" customFormat="1" ht="12.75" x14ac:dyDescent="0.2">
      <c r="A9" s="33" t="s">
        <v>161</v>
      </c>
      <c r="B9" s="33" t="s">
        <v>41</v>
      </c>
      <c r="C9" s="33" t="s">
        <v>42</v>
      </c>
      <c r="D9" s="34">
        <v>1.1070999999999999E-2</v>
      </c>
      <c r="E9" s="35">
        <f>'Aug 28'!$D9*$C$6*$C$2</f>
        <v>619909.37283439457</v>
      </c>
      <c r="F9" s="35">
        <v>504.39090909090902</v>
      </c>
      <c r="G9" s="36">
        <f>'Aug 28'!$E9/'Aug 28'!$F9</f>
        <v>1229.0256657315467</v>
      </c>
      <c r="H9" s="33">
        <v>550</v>
      </c>
      <c r="I9" s="33">
        <v>1229</v>
      </c>
      <c r="J9" s="37">
        <f t="shared" ref="J9:J28" si="0">I9-H9</f>
        <v>679</v>
      </c>
      <c r="K9" s="38">
        <f>'Aug 28'!$F9*'Aug 28'!$I9</f>
        <v>619896.42727272713</v>
      </c>
      <c r="L9" s="39">
        <f>'Aug 28'!$K9/$K$2</f>
        <v>1.0979694126612372E-2</v>
      </c>
      <c r="M9" s="40"/>
      <c r="O9" s="2">
        <f>Table13895845679910111213[[#This Row],[Change]]*Table13895845679910111213[[#This Row],[Last price]]</f>
        <v>342481.42727272725</v>
      </c>
      <c r="P9" s="42">
        <f>ABS(O9)</f>
        <v>342481.42727272725</v>
      </c>
    </row>
    <row r="10" spans="1:19" s="41" customFormat="1" ht="25.5" customHeight="1" x14ac:dyDescent="0.2">
      <c r="A10" s="33" t="s">
        <v>161</v>
      </c>
      <c r="B10" s="33" t="s">
        <v>47</v>
      </c>
      <c r="C10" s="33" t="s">
        <v>48</v>
      </c>
      <c r="D10" s="34">
        <v>1.1070999999999999E-2</v>
      </c>
      <c r="E10" s="35">
        <f>'Aug 28'!$D10*$C$6*$C$2</f>
        <v>619909.37283439457</v>
      </c>
      <c r="F10" s="35">
        <v>613.56039173014096</v>
      </c>
      <c r="G10" s="36">
        <f>'Aug 28'!$E10/'Aug 28'!$F10</f>
        <v>1010.3477688420377</v>
      </c>
      <c r="H10" s="33">
        <v>919</v>
      </c>
      <c r="I10" s="33">
        <v>1010</v>
      </c>
      <c r="J10" s="37">
        <f t="shared" si="0"/>
        <v>91</v>
      </c>
      <c r="K10" s="38">
        <f>'Aug 28'!$F10*'Aug 28'!$I10</f>
        <v>619695.99564744241</v>
      </c>
      <c r="L10" s="39">
        <f>'Aug 28'!$K10/$K$2</f>
        <v>1.0976144053016031E-2</v>
      </c>
      <c r="M10" s="40"/>
      <c r="O10" s="2">
        <f>Table13895845679910111213[[#This Row],[Change]]*Table13895845679910111213[[#This Row],[Last price]]</f>
        <v>55833.995647442825</v>
      </c>
      <c r="P10" s="42">
        <f t="shared" ref="P10:P66" si="1">ABS(O10)</f>
        <v>55833.995647442825</v>
      </c>
    </row>
    <row r="11" spans="1:19" s="41" customFormat="1" ht="12.75" customHeight="1" x14ac:dyDescent="0.2">
      <c r="A11" s="33" t="s">
        <v>161</v>
      </c>
      <c r="B11" s="33" t="s">
        <v>50</v>
      </c>
      <c r="C11" s="33" t="s">
        <v>51</v>
      </c>
      <c r="D11" s="34">
        <v>1.1070999999999999E-2</v>
      </c>
      <c r="E11" s="35">
        <f>'Aug 28'!$D11*$C$6*$C$2</f>
        <v>619909.37283439457</v>
      </c>
      <c r="F11" s="35">
        <v>2267.7007299270099</v>
      </c>
      <c r="G11" s="36">
        <f>'Aug 28'!$E11/'Aug 28'!$F11</f>
        <v>273.36471900961442</v>
      </c>
      <c r="H11" s="33">
        <v>274</v>
      </c>
      <c r="I11" s="33">
        <v>273</v>
      </c>
      <c r="J11" s="37">
        <f t="shared" si="0"/>
        <v>-1</v>
      </c>
      <c r="K11" s="38">
        <f>'Aug 28'!$F11*'Aug 28'!$I11</f>
        <v>619082.29927007365</v>
      </c>
      <c r="L11" s="39">
        <f>'Aug 28'!$K11/$K$2</f>
        <v>1.096527417505954E-2</v>
      </c>
      <c r="M11" s="40"/>
      <c r="O11" s="2">
        <f>Table13895845679910111213[[#This Row],[Change]]*Table13895845679910111213[[#This Row],[Last price]]</f>
        <v>-2267.7007299270099</v>
      </c>
      <c r="P11" s="42">
        <f t="shared" si="1"/>
        <v>2267.7007299270099</v>
      </c>
    </row>
    <row r="12" spans="1:19" s="41" customFormat="1" ht="12.75" customHeight="1" x14ac:dyDescent="0.2">
      <c r="A12" s="33" t="s">
        <v>161</v>
      </c>
      <c r="B12" s="33" t="s">
        <v>35</v>
      </c>
      <c r="C12" s="33" t="s">
        <v>36</v>
      </c>
      <c r="D12" s="34">
        <v>1.1070999999999999E-2</v>
      </c>
      <c r="E12" s="35">
        <f>'Aug 28'!$D12*$C$6*$C$2</f>
        <v>619909.37283439457</v>
      </c>
      <c r="F12" s="35">
        <v>79.500141522785199</v>
      </c>
      <c r="G12" s="36">
        <f>'Aug 28'!$E12/'Aug 28'!$F12</f>
        <v>7797.5882930563712</v>
      </c>
      <c r="H12" s="33">
        <v>3533</v>
      </c>
      <c r="I12" s="33">
        <v>7798</v>
      </c>
      <c r="J12" s="37">
        <f t="shared" si="0"/>
        <v>4265</v>
      </c>
      <c r="K12" s="38">
        <f>'Aug 28'!$F12*'Aug 28'!$I12</f>
        <v>619942.10359467904</v>
      </c>
      <c r="L12" s="39">
        <f>'Aug 28'!$K12/$K$2</f>
        <v>1.0980503152155666E-2</v>
      </c>
      <c r="M12" s="40"/>
      <c r="O12" s="2">
        <f>Table13895845679910111213[[#This Row],[Change]]*Table13895845679910111213[[#This Row],[Last price]]</f>
        <v>339068.10359467886</v>
      </c>
      <c r="P12" s="42">
        <f t="shared" si="1"/>
        <v>339068.10359467886</v>
      </c>
    </row>
    <row r="13" spans="1:19" s="44" customFormat="1" ht="12.75" customHeight="1" x14ac:dyDescent="0.2">
      <c r="A13" s="33" t="s">
        <v>161</v>
      </c>
      <c r="B13" s="33" t="s">
        <v>26</v>
      </c>
      <c r="C13" s="33" t="s">
        <v>27</v>
      </c>
      <c r="D13" s="34">
        <v>1.1070999999999999E-2</v>
      </c>
      <c r="E13" s="35">
        <f>'Aug 28'!$D13*$C$6*$C$2</f>
        <v>619909.37283439457</v>
      </c>
      <c r="F13" s="35">
        <v>220.745888801879</v>
      </c>
      <c r="G13" s="36">
        <f>'Aug 28'!$E13/'Aug 28'!$F13</f>
        <v>2808.248779621747</v>
      </c>
      <c r="H13" s="33">
        <v>2554</v>
      </c>
      <c r="I13" s="33">
        <v>2808</v>
      </c>
      <c r="J13" s="37">
        <f t="shared" si="0"/>
        <v>254</v>
      </c>
      <c r="K13" s="38">
        <f>'Aug 28'!$F13*'Aug 28'!$I13</f>
        <v>619854.45575567626</v>
      </c>
      <c r="L13" s="39">
        <f>'Aug 28'!$K13/$K$2</f>
        <v>1.0978950721103041E-2</v>
      </c>
      <c r="M13" s="33"/>
      <c r="O13" s="2">
        <f>Table13895845679910111213[[#This Row],[Change]]*Table13895845679910111213[[#This Row],[Last price]]</f>
        <v>56069.455755677271</v>
      </c>
      <c r="P13" s="42">
        <f t="shared" si="1"/>
        <v>56069.455755677271</v>
      </c>
    </row>
    <row r="14" spans="1:19" s="44" customFormat="1" ht="12.75" customHeight="1" x14ac:dyDescent="0.2">
      <c r="A14" s="33" t="s">
        <v>161</v>
      </c>
      <c r="B14" s="33" t="s">
        <v>238</v>
      </c>
      <c r="C14" s="33" t="s">
        <v>239</v>
      </c>
      <c r="D14" s="34">
        <v>0</v>
      </c>
      <c r="E14" s="35">
        <f>'Aug 28'!$D14*$C$6*$C$2</f>
        <v>0</v>
      </c>
      <c r="F14" s="35">
        <v>47.4899733667554</v>
      </c>
      <c r="G14" s="36">
        <f>'Aug 28'!$E14/'Aug 28'!$F14</f>
        <v>0</v>
      </c>
      <c r="H14" s="33">
        <v>12766</v>
      </c>
      <c r="I14" s="33">
        <v>0</v>
      </c>
      <c r="J14" s="37">
        <f t="shared" si="0"/>
        <v>-12766</v>
      </c>
      <c r="K14" s="38">
        <f>'Aug 28'!$F14*'Aug 28'!$I14</f>
        <v>0</v>
      </c>
      <c r="L14" s="39">
        <f>'Aug 28'!$K14/$K$2</f>
        <v>0</v>
      </c>
      <c r="M14" s="33"/>
      <c r="O14" s="2">
        <f>Table13895845679910111213[[#This Row],[Change]]*Table13895845679910111213[[#This Row],[Last price]]</f>
        <v>-606256.99999999942</v>
      </c>
      <c r="P14" s="42">
        <f t="shared" si="1"/>
        <v>606256.99999999942</v>
      </c>
    </row>
    <row r="15" spans="1:19" s="44" customFormat="1" ht="12.75" customHeight="1" x14ac:dyDescent="0.2">
      <c r="A15" s="33" t="s">
        <v>161</v>
      </c>
      <c r="B15" s="33" t="s">
        <v>240</v>
      </c>
      <c r="C15" s="33" t="s">
        <v>241</v>
      </c>
      <c r="D15" s="34">
        <v>0</v>
      </c>
      <c r="E15" s="35">
        <f>'Aug 28'!$D15*$C$6*$C$2</f>
        <v>0</v>
      </c>
      <c r="F15" s="35">
        <v>890.09828393135695</v>
      </c>
      <c r="G15" s="36">
        <f>'Aug 28'!$E15/'Aug 28'!$F15</f>
        <v>0</v>
      </c>
      <c r="H15" s="33">
        <v>641</v>
      </c>
      <c r="I15" s="33">
        <v>0</v>
      </c>
      <c r="J15" s="37">
        <f t="shared" si="0"/>
        <v>-641</v>
      </c>
      <c r="K15" s="38">
        <f>'Aug 28'!$F15*'Aug 28'!$I15</f>
        <v>0</v>
      </c>
      <c r="L15" s="39">
        <f>'Aug 28'!$K15/$K$2</f>
        <v>0</v>
      </c>
      <c r="M15" s="33"/>
      <c r="O15" s="2">
        <f>Table13895845679910111213[[#This Row],[Change]]*Table13895845679910111213[[#This Row],[Last price]]</f>
        <v>-570552.99999999977</v>
      </c>
      <c r="P15" s="42">
        <f t="shared" si="1"/>
        <v>570552.99999999977</v>
      </c>
    </row>
    <row r="16" spans="1:19" s="44" customFormat="1" ht="12.75" customHeight="1" x14ac:dyDescent="0.2">
      <c r="A16" s="33" t="s">
        <v>161</v>
      </c>
      <c r="B16" s="33" t="s">
        <v>242</v>
      </c>
      <c r="C16" s="33" t="s">
        <v>243</v>
      </c>
      <c r="D16" s="34">
        <v>0</v>
      </c>
      <c r="E16" s="35">
        <f>'Aug 28'!$D16*$C$6*$C$2</f>
        <v>0</v>
      </c>
      <c r="F16" s="35">
        <v>170</v>
      </c>
      <c r="G16" s="36">
        <f>'Aug 28'!$E16/'Aug 28'!$F16</f>
        <v>0</v>
      </c>
      <c r="H16" s="33">
        <v>2409</v>
      </c>
      <c r="I16" s="33">
        <v>0</v>
      </c>
      <c r="J16" s="37">
        <f t="shared" si="0"/>
        <v>-2409</v>
      </c>
      <c r="K16" s="38">
        <f>'Aug 28'!$F16*'Aug 28'!$I16</f>
        <v>0</v>
      </c>
      <c r="L16" s="39">
        <f>'Aug 28'!$K16/$K$2</f>
        <v>0</v>
      </c>
      <c r="M16" s="33"/>
      <c r="O16" s="2">
        <f>Table13895845679910111213[[#This Row],[Change]]*Table13895845679910111213[[#This Row],[Last price]]</f>
        <v>-409530</v>
      </c>
      <c r="P16" s="42">
        <f t="shared" si="1"/>
        <v>409530</v>
      </c>
    </row>
    <row r="17" spans="1:16" s="44" customFormat="1" ht="12.75" customHeight="1" x14ac:dyDescent="0.2">
      <c r="A17" s="33" t="s">
        <v>161</v>
      </c>
      <c r="B17" s="33" t="s">
        <v>244</v>
      </c>
      <c r="C17" s="33" t="s">
        <v>245</v>
      </c>
      <c r="D17" s="34">
        <v>0</v>
      </c>
      <c r="E17" s="35">
        <f>'Aug 28'!$D17*$C$6*$C$2</f>
        <v>0</v>
      </c>
      <c r="F17" s="35">
        <v>122.800044883303</v>
      </c>
      <c r="G17" s="36">
        <f>'Aug 28'!$E17/'Aug 28'!$F17</f>
        <v>0</v>
      </c>
      <c r="H17" s="33">
        <v>4456</v>
      </c>
      <c r="I17" s="33">
        <v>0</v>
      </c>
      <c r="J17" s="37">
        <f t="shared" si="0"/>
        <v>-4456</v>
      </c>
      <c r="K17" s="38">
        <f>'Aug 28'!$F17*'Aug 28'!$I17</f>
        <v>0</v>
      </c>
      <c r="L17" s="39">
        <f>'Aug 28'!$K17/$K$2</f>
        <v>0</v>
      </c>
      <c r="M17" s="33"/>
      <c r="O17" s="2">
        <f>Table13895845679910111213[[#This Row],[Change]]*Table13895845679910111213[[#This Row],[Last price]]</f>
        <v>-547196.99999999814</v>
      </c>
      <c r="P17" s="42">
        <f t="shared" si="1"/>
        <v>547196.99999999814</v>
      </c>
    </row>
    <row r="18" spans="1:16" s="44" customFormat="1" ht="12.75" customHeight="1" x14ac:dyDescent="0.2">
      <c r="A18" s="33" t="s">
        <v>161</v>
      </c>
      <c r="B18" s="33" t="s">
        <v>29</v>
      </c>
      <c r="C18" s="33" t="s">
        <v>30</v>
      </c>
      <c r="D18" s="34">
        <v>1.1070999999999999E-2</v>
      </c>
      <c r="E18" s="35">
        <f>'Aug 28'!$D18*$C$6*$C$2</f>
        <v>619909.37283439457</v>
      </c>
      <c r="F18" s="35">
        <v>215.51015884743299</v>
      </c>
      <c r="G18" s="36">
        <f>'Aug 28'!$E18/'Aug 28'!$F18</f>
        <v>2876.4740193674565</v>
      </c>
      <c r="H18" s="33">
        <v>2707</v>
      </c>
      <c r="I18" s="33">
        <v>2876</v>
      </c>
      <c r="J18" s="37">
        <f t="shared" si="0"/>
        <v>169</v>
      </c>
      <c r="K18" s="38">
        <f>'Aug 28'!$F18*'Aug 28'!$I18</f>
        <v>619807.21684521728</v>
      </c>
      <c r="L18" s="39">
        <f>'Aug 28'!$K18/$K$2</f>
        <v>1.0978114018768756E-2</v>
      </c>
      <c r="M18" s="33"/>
      <c r="O18" s="2">
        <f>Table13895845679910111213[[#This Row],[Change]]*Table13895845679910111213[[#This Row],[Last price]]</f>
        <v>36421.216845216179</v>
      </c>
      <c r="P18" s="42">
        <f t="shared" si="1"/>
        <v>36421.216845216179</v>
      </c>
    </row>
    <row r="19" spans="1:16" s="44" customFormat="1" ht="12.75" customHeight="1" x14ac:dyDescent="0.2">
      <c r="A19" s="33" t="s">
        <v>161</v>
      </c>
      <c r="B19" s="33" t="s">
        <v>246</v>
      </c>
      <c r="C19" s="33" t="s">
        <v>247</v>
      </c>
      <c r="D19" s="34">
        <v>0</v>
      </c>
      <c r="E19" s="35">
        <f>'Aug 28'!$D19*$C$6*$C$2</f>
        <v>0</v>
      </c>
      <c r="F19" s="35">
        <v>118.37006832708801</v>
      </c>
      <c r="G19" s="36">
        <f>'Aug 28'!$E19/'Aug 28'!$F19</f>
        <v>0</v>
      </c>
      <c r="H19" s="33">
        <v>4537</v>
      </c>
      <c r="I19" s="33">
        <v>0</v>
      </c>
      <c r="J19" s="37">
        <f t="shared" si="0"/>
        <v>-4537</v>
      </c>
      <c r="K19" s="38">
        <f>'Aug 28'!$F19*'Aug 28'!$I19</f>
        <v>0</v>
      </c>
      <c r="L19" s="39">
        <f>'Aug 28'!$K19/$K$2</f>
        <v>0</v>
      </c>
      <c r="M19" s="33"/>
      <c r="O19" s="2">
        <f>Table13895845679910111213[[#This Row],[Change]]*Table13895845679910111213[[#This Row],[Last price]]</f>
        <v>-537044.99999999825</v>
      </c>
      <c r="P19" s="42">
        <f t="shared" si="1"/>
        <v>537044.99999999825</v>
      </c>
    </row>
    <row r="20" spans="1:16" s="44" customFormat="1" ht="12.75" customHeight="1" x14ac:dyDescent="0.2">
      <c r="A20" s="33" t="s">
        <v>161</v>
      </c>
      <c r="B20" s="33" t="s">
        <v>38</v>
      </c>
      <c r="C20" s="33" t="s">
        <v>39</v>
      </c>
      <c r="D20" s="34">
        <v>1.1070999999999999E-2</v>
      </c>
      <c r="E20" s="35">
        <f>'Aug 28'!$D20*$C$6*$C$2</f>
        <v>619909.37283439457</v>
      </c>
      <c r="F20" s="35">
        <v>67.390034161856505</v>
      </c>
      <c r="G20" s="36">
        <f>'Aug 28'!$E20/'Aug 28'!$F20</f>
        <v>9198.8285885937421</v>
      </c>
      <c r="H20" s="33">
        <v>8489</v>
      </c>
      <c r="I20" s="33">
        <v>9199</v>
      </c>
      <c r="J20" s="37">
        <f t="shared" si="0"/>
        <v>710</v>
      </c>
      <c r="K20" s="38">
        <f>'Aug 28'!$F20*'Aug 28'!$I20</f>
        <v>619920.92425491801</v>
      </c>
      <c r="L20" s="39">
        <f>'Aug 28'!$K20/$K$2</f>
        <v>1.0980128020662486E-2</v>
      </c>
      <c r="M20" s="33"/>
      <c r="O20" s="2">
        <f>Table13895845679910111213[[#This Row],[Change]]*Table13895845679910111213[[#This Row],[Last price]]</f>
        <v>47846.924254918122</v>
      </c>
      <c r="P20" s="42">
        <f t="shared" si="1"/>
        <v>47846.924254918122</v>
      </c>
    </row>
    <row r="21" spans="1:16" s="44" customFormat="1" ht="12.75" customHeight="1" x14ac:dyDescent="0.2">
      <c r="A21" s="33" t="s">
        <v>161</v>
      </c>
      <c r="B21" s="33" t="s">
        <v>56</v>
      </c>
      <c r="C21" s="33" t="s">
        <v>57</v>
      </c>
      <c r="D21" s="34">
        <v>1.1070999999999999E-2</v>
      </c>
      <c r="E21" s="35">
        <f>'Aug 28'!$D21*$C$6*$C$2</f>
        <v>619909.37283439457</v>
      </c>
      <c r="F21" s="35">
        <v>296.29973890339397</v>
      </c>
      <c r="G21" s="36">
        <f>'Aug 28'!$E21/'Aug 28'!$F21</f>
        <v>2092.169824815508</v>
      </c>
      <c r="H21" s="33">
        <v>1915</v>
      </c>
      <c r="I21" s="33">
        <v>2092</v>
      </c>
      <c r="J21" s="37">
        <f t="shared" si="0"/>
        <v>177</v>
      </c>
      <c r="K21" s="38">
        <f>'Aug 28'!$F21*'Aug 28'!$I21</f>
        <v>619859.05378590024</v>
      </c>
      <c r="L21" s="39">
        <f>'Aug 28'!$K21/$K$2</f>
        <v>1.0979032162071601E-2</v>
      </c>
      <c r="M21" s="33"/>
      <c r="O21" s="2">
        <f>Table13895845679910111213[[#This Row],[Change]]*Table13895845679910111213[[#This Row],[Last price]]</f>
        <v>52445.053785900731</v>
      </c>
      <c r="P21" s="42">
        <f t="shared" si="1"/>
        <v>52445.053785900731</v>
      </c>
    </row>
    <row r="22" spans="1:16" s="44" customFormat="1" ht="12.75" customHeight="1" x14ac:dyDescent="0.2">
      <c r="A22" s="33" t="s">
        <v>161</v>
      </c>
      <c r="B22" s="33" t="s">
        <v>248</v>
      </c>
      <c r="C22" s="33" t="s">
        <v>249</v>
      </c>
      <c r="D22" s="34">
        <v>0</v>
      </c>
      <c r="E22" s="35">
        <f>'Aug 28'!$D22*$C$6*$C$2</f>
        <v>0</v>
      </c>
      <c r="F22" s="35">
        <v>47.100016683349999</v>
      </c>
      <c r="G22" s="36">
        <f>'Aug 28'!$E22/'Aug 28'!$F22</f>
        <v>0</v>
      </c>
      <c r="H22" s="33">
        <v>11988</v>
      </c>
      <c r="I22" s="33">
        <v>0</v>
      </c>
      <c r="J22" s="37">
        <f t="shared" si="0"/>
        <v>-11988</v>
      </c>
      <c r="K22" s="38">
        <f>'Aug 28'!$F22*'Aug 28'!$I22</f>
        <v>0</v>
      </c>
      <c r="L22" s="39">
        <f>'Aug 28'!$K22/$K$2</f>
        <v>0</v>
      </c>
      <c r="M22" s="33"/>
      <c r="O22" s="2">
        <f>Table13895845679910111213[[#This Row],[Change]]*Table13895845679910111213[[#This Row],[Last price]]</f>
        <v>-564634.99999999977</v>
      </c>
      <c r="P22" s="42">
        <f t="shared" si="1"/>
        <v>564634.99999999977</v>
      </c>
    </row>
    <row r="23" spans="1:16" s="44" customFormat="1" ht="12.75" customHeight="1" x14ac:dyDescent="0.2">
      <c r="A23" s="33" t="s">
        <v>161</v>
      </c>
      <c r="B23" s="33" t="s">
        <v>20</v>
      </c>
      <c r="C23" s="33" t="s">
        <v>21</v>
      </c>
      <c r="D23" s="34">
        <v>1.1070999999999999E-2</v>
      </c>
      <c r="E23" s="35">
        <f>'Aug 28'!$D23*$C$6*$C$2</f>
        <v>619909.37283439457</v>
      </c>
      <c r="F23" s="35">
        <v>3400</v>
      </c>
      <c r="G23" s="36">
        <f>'Aug 28'!$E23/'Aug 28'!$F23</f>
        <v>182.3262861277631</v>
      </c>
      <c r="H23" s="33">
        <v>0</v>
      </c>
      <c r="I23" s="33">
        <v>182</v>
      </c>
      <c r="J23" s="37">
        <f t="shared" si="0"/>
        <v>182</v>
      </c>
      <c r="K23" s="38">
        <f>'Aug 28'!$F23*'Aug 28'!$I23</f>
        <v>618800</v>
      </c>
      <c r="L23" s="39">
        <f>'Aug 28'!$K23/$K$2</f>
        <v>1.0960274050036703E-2</v>
      </c>
      <c r="M23" s="33"/>
      <c r="O23" s="2">
        <f>Table13895845679910111213[[#This Row],[Change]]*Table13895845679910111213[[#This Row],[Last price]]</f>
        <v>618800</v>
      </c>
      <c r="P23" s="42">
        <f t="shared" si="1"/>
        <v>618800</v>
      </c>
    </row>
    <row r="24" spans="1:16" s="44" customFormat="1" ht="12.75" customHeight="1" x14ac:dyDescent="0.2">
      <c r="A24" s="33" t="s">
        <v>161</v>
      </c>
      <c r="B24" s="33" t="s">
        <v>44</v>
      </c>
      <c r="C24" s="33" t="s">
        <v>45</v>
      </c>
      <c r="D24" s="34">
        <v>1.1070999999999999E-2</v>
      </c>
      <c r="E24" s="35">
        <f>'Aug 28'!$D24*$C$6*$C$2</f>
        <v>619909.37283439457</v>
      </c>
      <c r="F24" s="35">
        <v>204.34</v>
      </c>
      <c r="G24" s="36">
        <f>'Aug 28'!$E24/'Aug 28'!$F24</f>
        <v>3033.7152433904012</v>
      </c>
      <c r="H24" s="33">
        <v>0</v>
      </c>
      <c r="I24" s="33">
        <v>3034</v>
      </c>
      <c r="J24" s="37">
        <f t="shared" si="0"/>
        <v>3034</v>
      </c>
      <c r="K24" s="38">
        <f>'Aug 28'!$F24*'Aug 28'!$I24</f>
        <v>619967.56000000006</v>
      </c>
      <c r="L24" s="39">
        <f>'Aug 28'!$K24/$K$2</f>
        <v>1.0980954039645399E-2</v>
      </c>
      <c r="M24" s="33"/>
      <c r="O24" s="2">
        <f>Table13895845679910111213[[#This Row],[Change]]*Table13895845679910111213[[#This Row],[Last price]]</f>
        <v>619967.56000000006</v>
      </c>
      <c r="P24" s="42">
        <f t="shared" si="1"/>
        <v>619967.56000000006</v>
      </c>
    </row>
    <row r="25" spans="1:16" s="44" customFormat="1" ht="12.75" customHeight="1" x14ac:dyDescent="0.2">
      <c r="A25" s="33" t="s">
        <v>161</v>
      </c>
      <c r="B25" s="33" t="s">
        <v>53</v>
      </c>
      <c r="C25" s="33" t="s">
        <v>54</v>
      </c>
      <c r="D25" s="34">
        <v>1.1070999999999999E-2</v>
      </c>
      <c r="E25" s="35">
        <f>'Aug 28'!$D25*$C$6*$C$2</f>
        <v>619909.37283439457</v>
      </c>
      <c r="F25" s="35">
        <v>273.92</v>
      </c>
      <c r="G25" s="36">
        <f>'Aug 28'!$E25/'Aug 28'!$F25</f>
        <v>2263.1037267610782</v>
      </c>
      <c r="H25" s="33">
        <v>0</v>
      </c>
      <c r="I25" s="33">
        <v>2263</v>
      </c>
      <c r="J25" s="37">
        <f t="shared" si="0"/>
        <v>2263</v>
      </c>
      <c r="K25" s="38">
        <f>'Aug 28'!$F25*'Aug 28'!$I25</f>
        <v>619880.96000000008</v>
      </c>
      <c r="L25" s="39">
        <f>'Aug 28'!$K25/$K$2</f>
        <v>1.0979420168066968E-2</v>
      </c>
      <c r="M25" s="33"/>
      <c r="O25" s="2">
        <f>Table13895845679910111213[[#This Row],[Change]]*Table13895845679910111213[[#This Row],[Last price]]</f>
        <v>619880.96000000008</v>
      </c>
      <c r="P25" s="42">
        <f t="shared" si="1"/>
        <v>619880.96000000008</v>
      </c>
    </row>
    <row r="26" spans="1:16" s="44" customFormat="1" ht="12.75" customHeight="1" x14ac:dyDescent="0.2">
      <c r="A26" s="33" t="s">
        <v>161</v>
      </c>
      <c r="B26" s="33" t="s">
        <v>11</v>
      </c>
      <c r="C26" s="33" t="s">
        <v>12</v>
      </c>
      <c r="D26" s="34">
        <v>1.1070999999999999E-2</v>
      </c>
      <c r="E26" s="35">
        <f>'Aug 28'!$D26*$C$6*$C$2</f>
        <v>619909.37283439457</v>
      </c>
      <c r="F26" s="35">
        <v>311.10000000000002</v>
      </c>
      <c r="G26" s="36">
        <f>'Aug 28'!$E26/'Aug 28'!$F26</f>
        <v>1992.6370068607989</v>
      </c>
      <c r="H26" s="33">
        <v>0</v>
      </c>
      <c r="I26" s="33">
        <v>1993</v>
      </c>
      <c r="J26" s="37">
        <f t="shared" si="0"/>
        <v>1993</v>
      </c>
      <c r="K26" s="38">
        <f>'Aug 28'!$F26*'Aug 28'!$I26</f>
        <v>620022.30000000005</v>
      </c>
      <c r="L26" s="39">
        <f>'Aug 28'!$K26/$K$2</f>
        <v>1.0981923602349826E-2</v>
      </c>
      <c r="M26" s="33"/>
      <c r="O26" s="2">
        <f>Table13895845679910111213[[#This Row],[Change]]*Table13895845679910111213[[#This Row],[Last price]]</f>
        <v>620022.30000000005</v>
      </c>
      <c r="P26" s="42">
        <f t="shared" si="1"/>
        <v>620022.30000000005</v>
      </c>
    </row>
    <row r="27" spans="1:16" s="44" customFormat="1" ht="12.75" customHeight="1" x14ac:dyDescent="0.2">
      <c r="A27" s="33" t="s">
        <v>161</v>
      </c>
      <c r="B27" s="33" t="s">
        <v>23</v>
      </c>
      <c r="C27" s="33" t="s">
        <v>24</v>
      </c>
      <c r="D27" s="34">
        <v>1.1070999999999999E-2</v>
      </c>
      <c r="E27" s="35">
        <f>'Aug 28'!$D27*$C$6*$C$2</f>
        <v>619909.37283439457</v>
      </c>
      <c r="F27" s="35">
        <v>218.25</v>
      </c>
      <c r="G27" s="36">
        <f>'Aug 28'!$E27/'Aug 28'!$F27</f>
        <v>2840.363678508108</v>
      </c>
      <c r="H27" s="33">
        <v>0</v>
      </c>
      <c r="I27" s="33">
        <v>2840</v>
      </c>
      <c r="J27" s="37">
        <f t="shared" si="0"/>
        <v>2840</v>
      </c>
      <c r="K27" s="38">
        <f>'Aug 28'!$F27*'Aug 28'!$I27</f>
        <v>619830</v>
      </c>
      <c r="L27" s="39">
        <f>'Aug 28'!$K27/$K$2</f>
        <v>1.0978517557262845E-2</v>
      </c>
      <c r="M27" s="33"/>
      <c r="O27" s="2">
        <f>Table13895845679910111213[[#This Row],[Change]]*Table13895845679910111213[[#This Row],[Last price]]</f>
        <v>619830</v>
      </c>
      <c r="P27" s="42">
        <f t="shared" si="1"/>
        <v>619830</v>
      </c>
    </row>
    <row r="28" spans="1:16" s="44" customFormat="1" ht="12.75" customHeight="1" x14ac:dyDescent="0.2">
      <c r="A28" s="33" t="s">
        <v>161</v>
      </c>
      <c r="B28" s="33" t="s">
        <v>17</v>
      </c>
      <c r="C28" s="33" t="s">
        <v>18</v>
      </c>
      <c r="D28" s="34">
        <v>1.1070999999999999E-2</v>
      </c>
      <c r="E28" s="35">
        <f>'Aug 28'!$D28*$C$6*$C$2</f>
        <v>619909.37283439457</v>
      </c>
      <c r="F28" s="35">
        <v>83.72</v>
      </c>
      <c r="G28" s="36">
        <f>'Aug 28'!$E28/'Aug 28'!$F28</f>
        <v>7404.5553372479044</v>
      </c>
      <c r="H28" s="33">
        <v>0</v>
      </c>
      <c r="I28" s="33">
        <v>7405</v>
      </c>
      <c r="J28" s="37">
        <f t="shared" si="0"/>
        <v>7405</v>
      </c>
      <c r="K28" s="38">
        <f>'Aug 28'!$F28*'Aug 28'!$I28</f>
        <v>619946.6</v>
      </c>
      <c r="L28" s="39">
        <f>'Aug 28'!$K28/$K$2</f>
        <v>1.0980582793129417E-2</v>
      </c>
      <c r="M28" s="33"/>
      <c r="O28" s="2">
        <f>Table13895845679910111213[[#This Row],[Change]]*Table13895845679910111213[[#This Row],[Last price]]</f>
        <v>619946.6</v>
      </c>
      <c r="P28" s="42">
        <f t="shared" si="1"/>
        <v>619946.6</v>
      </c>
    </row>
    <row r="29" spans="1:16" s="44" customFormat="1" ht="12.75" customHeight="1" x14ac:dyDescent="0.2">
      <c r="A29" s="33"/>
      <c r="B29" s="33"/>
      <c r="C29" s="33"/>
      <c r="D29" s="34"/>
      <c r="E29" s="35"/>
      <c r="F29" s="35"/>
      <c r="G29" s="36"/>
      <c r="H29" s="33"/>
      <c r="I29" s="33"/>
      <c r="J29" s="37"/>
      <c r="K29" s="38"/>
      <c r="L29" s="39"/>
      <c r="M29" s="33"/>
      <c r="O29" s="2">
        <f>Table13895845679910111213[[#This Row],[Change]]*Table13895845679910111213[[#This Row],[Last price]]</f>
        <v>0</v>
      </c>
      <c r="P29" s="42">
        <f t="shared" si="1"/>
        <v>0</v>
      </c>
    </row>
    <row r="30" spans="1:16" s="44" customFormat="1" ht="12.75" customHeight="1" x14ac:dyDescent="0.2">
      <c r="A30" s="33"/>
      <c r="B30" s="33"/>
      <c r="C30" s="33"/>
      <c r="D30" s="34"/>
      <c r="E30" s="35"/>
      <c r="F30" s="35"/>
      <c r="G30" s="36"/>
      <c r="H30" s="33"/>
      <c r="I30" s="33"/>
      <c r="J30" s="45"/>
      <c r="K30" s="35"/>
      <c r="L30" s="46"/>
      <c r="M30" s="33"/>
      <c r="O30" s="2">
        <f>Table13895845679910111213[[#This Row],[Change]]*Table13895845679910111213[[#This Row],[Last price]]</f>
        <v>0</v>
      </c>
      <c r="P30" s="42">
        <f t="shared" si="1"/>
        <v>0</v>
      </c>
    </row>
    <row r="31" spans="1:16" s="54" customFormat="1" ht="12.75" customHeight="1" x14ac:dyDescent="0.2">
      <c r="A31" s="47" t="s">
        <v>177</v>
      </c>
      <c r="B31" s="47"/>
      <c r="C31" s="47"/>
      <c r="D31" s="48">
        <f>SUM(D9:D30)</f>
        <v>0.15499399999999999</v>
      </c>
      <c r="E31" s="49">
        <f>'Aug 28'!$D31*$C$6*$C$2</f>
        <v>8678731.2196815237</v>
      </c>
      <c r="F31" s="51"/>
      <c r="G31" s="51"/>
      <c r="H31" s="47"/>
      <c r="I31" s="47"/>
      <c r="J31" s="52"/>
      <c r="K31" s="49">
        <f>SUM(K9:K30)</f>
        <v>8676505.896426633</v>
      </c>
      <c r="L31" s="53">
        <f>'Aug 28'!$K31/$K$2</f>
        <v>0.15367951263994062</v>
      </c>
      <c r="M31" s="47"/>
      <c r="O31" s="2">
        <f>Table13895845679910111213[[#This Row],[Change]]*Table13895845679910111213[[#This Row],[Last price]]</f>
        <v>0</v>
      </c>
      <c r="P31" s="42">
        <f t="shared" si="1"/>
        <v>0</v>
      </c>
    </row>
    <row r="32" spans="1:16" s="44" customFormat="1" ht="12.75" customHeight="1" x14ac:dyDescent="0.2">
      <c r="A32" s="33"/>
      <c r="B32" s="33"/>
      <c r="C32" s="33"/>
      <c r="D32" s="34"/>
      <c r="E32" s="35"/>
      <c r="F32" s="35"/>
      <c r="G32" s="36"/>
      <c r="H32" s="33"/>
      <c r="I32" s="33"/>
      <c r="J32" s="45"/>
      <c r="K32" s="35"/>
      <c r="L32" s="39"/>
      <c r="M32" s="33"/>
      <c r="O32" s="2">
        <f>Table13895845679910111213[[#This Row],[Change]]*Table13895845679910111213[[#This Row],[Last price]]</f>
        <v>0</v>
      </c>
      <c r="P32" s="42">
        <f t="shared" si="1"/>
        <v>0</v>
      </c>
    </row>
    <row r="33" spans="1:17" s="41" customFormat="1" ht="12.75" customHeight="1" x14ac:dyDescent="0.2">
      <c r="A33" s="55"/>
      <c r="B33" s="47" t="s">
        <v>32</v>
      </c>
      <c r="C33" s="55" t="s">
        <v>33</v>
      </c>
      <c r="D33" s="56">
        <v>2.5000000000000001E-2</v>
      </c>
      <c r="E33" s="57">
        <f>'Aug 28'!$D33*$C$6*$C$2</f>
        <v>1399849.5457375001</v>
      </c>
      <c r="F33" s="51">
        <v>18.639997071956699</v>
      </c>
      <c r="G33" s="58">
        <f>'Aug 28'!$E33/'Aug 28'!$F33</f>
        <v>75099.23635361137</v>
      </c>
      <c r="H33" s="55">
        <v>68305</v>
      </c>
      <c r="I33" s="55">
        <v>75099</v>
      </c>
      <c r="J33" s="59">
        <f>I33-H33</f>
        <v>6794</v>
      </c>
      <c r="K33" s="50">
        <f>'Aug 28'!$F33*'Aug 28'!$I33</f>
        <v>1399845.1401068761</v>
      </c>
      <c r="L33" s="53">
        <f>'Aug 28'!$K33/$K$2</f>
        <v>2.4794257212642834E-2</v>
      </c>
      <c r="M33" s="47"/>
      <c r="O33" s="2">
        <f>Table13895845679910111213[[#This Row],[Change]]*Table13895845679910111213[[#This Row],[Last price]]</f>
        <v>126640.14010687382</v>
      </c>
      <c r="P33" s="42">
        <f t="shared" si="1"/>
        <v>126640.14010687382</v>
      </c>
      <c r="Q33" s="42"/>
    </row>
    <row r="34" spans="1:17" s="41" customFormat="1" ht="12.75" customHeight="1" x14ac:dyDescent="0.2">
      <c r="A34" s="33"/>
      <c r="B34" s="33"/>
      <c r="C34" s="33"/>
      <c r="D34" s="34"/>
      <c r="E34" s="35"/>
      <c r="F34" s="35"/>
      <c r="G34" s="36"/>
      <c r="H34" s="33"/>
      <c r="I34" s="33"/>
      <c r="J34" s="45"/>
      <c r="K34" s="38"/>
      <c r="L34" s="39"/>
      <c r="M34" s="33"/>
      <c r="O34" s="2">
        <f>Table13895845679910111213[[#This Row],[Change]]*Table13895845679910111213[[#This Row],[Last price]]</f>
        <v>0</v>
      </c>
      <c r="P34" s="42">
        <f t="shared" si="1"/>
        <v>0</v>
      </c>
      <c r="Q34" s="42"/>
    </row>
    <row r="35" spans="1:17" ht="26.25" x14ac:dyDescent="0.25">
      <c r="A35" s="33" t="s">
        <v>178</v>
      </c>
      <c r="B35" s="214" t="s">
        <v>105</v>
      </c>
      <c r="C35" s="60" t="s">
        <v>106</v>
      </c>
      <c r="D35" s="34">
        <v>3.3889000000000002E-2</v>
      </c>
      <c r="E35" s="35">
        <f>'Aug 28'!$D35*$C$6*$C$2</f>
        <v>1897580.0502199256</v>
      </c>
      <c r="F35" s="35">
        <v>158393.727272727</v>
      </c>
      <c r="G35" s="36">
        <f>'Aug 28'!$E35/'Aug 28'!$F35</f>
        <v>11.980146454616957</v>
      </c>
      <c r="H35" s="33">
        <v>11</v>
      </c>
      <c r="I35" s="33">
        <v>12</v>
      </c>
      <c r="J35" s="37">
        <f t="shared" ref="J35:J41" si="2">I35-H35</f>
        <v>1</v>
      </c>
      <c r="K35" s="38">
        <f>'Aug 28'!$F35*'Aug 28'!$I35</f>
        <v>1900724.727272724</v>
      </c>
      <c r="L35" s="39">
        <f>'Aug 28'!$K35/$K$2</f>
        <v>3.3665908055252623E-2</v>
      </c>
      <c r="M35" s="62"/>
      <c r="O35" s="2">
        <f>Table13895845679910111213[[#This Row],[Change]]*Table13895845679910111213[[#This Row],[Last price]]</f>
        <v>158393.727272727</v>
      </c>
      <c r="P35" s="42">
        <f t="shared" si="1"/>
        <v>158393.727272727</v>
      </c>
    </row>
    <row r="36" spans="1:17" ht="26.25" x14ac:dyDescent="0.25">
      <c r="A36" s="33" t="s">
        <v>178</v>
      </c>
      <c r="B36" s="214" t="s">
        <v>109</v>
      </c>
      <c r="C36" s="60" t="s">
        <v>110</v>
      </c>
      <c r="D36" s="34">
        <v>3.3889000000000002E-2</v>
      </c>
      <c r="E36" s="35">
        <f>'Aug 28'!$D36*$C$6*$C$2</f>
        <v>1897580.0502199256</v>
      </c>
      <c r="F36" s="35">
        <v>216812.5</v>
      </c>
      <c r="G36" s="36">
        <f>'Aug 28'!$E36/'Aug 28'!$F36</f>
        <v>8.7521708859956213</v>
      </c>
      <c r="H36" s="33">
        <v>8</v>
      </c>
      <c r="I36" s="33">
        <v>9</v>
      </c>
      <c r="J36" s="37">
        <f t="shared" si="2"/>
        <v>1</v>
      </c>
      <c r="K36" s="38">
        <f>'Aug 28'!$F36*'Aug 28'!$I36</f>
        <v>1951312.5</v>
      </c>
      <c r="L36" s="39">
        <f>'Aug 28'!$K36/$K$2</f>
        <v>3.4561925916713386E-2</v>
      </c>
      <c r="M36" s="62"/>
      <c r="O36" s="2">
        <f>Table13895845679910111213[[#This Row],[Change]]*Table13895845679910111213[[#This Row],[Last price]]</f>
        <v>216812.5</v>
      </c>
      <c r="P36" s="42">
        <f t="shared" si="1"/>
        <v>216812.5</v>
      </c>
    </row>
    <row r="37" spans="1:17" ht="26.25" x14ac:dyDescent="0.25">
      <c r="A37" s="33" t="s">
        <v>178</v>
      </c>
      <c r="B37" s="214" t="s">
        <v>112</v>
      </c>
      <c r="C37" s="60" t="s">
        <v>113</v>
      </c>
      <c r="D37" s="34">
        <v>3.3889000000000002E-2</v>
      </c>
      <c r="E37" s="35">
        <f>'Aug 28'!$D37*$C$6*$C$2</f>
        <v>1897580.0502199256</v>
      </c>
      <c r="F37" s="35">
        <v>174062.5</v>
      </c>
      <c r="G37" s="36">
        <f>'Aug 28'!$E37/'Aug 28'!$F37</f>
        <v>10.90171662603907</v>
      </c>
      <c r="H37" s="33">
        <v>10</v>
      </c>
      <c r="I37" s="33">
        <v>11</v>
      </c>
      <c r="J37" s="37">
        <f t="shared" si="2"/>
        <v>1</v>
      </c>
      <c r="K37" s="38">
        <f>'Aug 28'!$F37*'Aug 28'!$I37</f>
        <v>1914687.5</v>
      </c>
      <c r="L37" s="39">
        <f>'Aug 28'!$K37/$K$2</f>
        <v>3.3913218681609E-2</v>
      </c>
      <c r="M37" s="62"/>
      <c r="O37" s="2">
        <f>Table13895845679910111213[[#This Row],[Change]]*Table13895845679910111213[[#This Row],[Last price]]</f>
        <v>174062.5</v>
      </c>
      <c r="P37" s="42">
        <f t="shared" si="1"/>
        <v>174062.5</v>
      </c>
    </row>
    <row r="38" spans="1:17" ht="26.25" x14ac:dyDescent="0.25">
      <c r="A38" s="33" t="s">
        <v>178</v>
      </c>
      <c r="B38" s="214" t="s">
        <v>115</v>
      </c>
      <c r="C38" s="60" t="s">
        <v>116</v>
      </c>
      <c r="D38" s="34">
        <v>3.3889000000000002E-2</v>
      </c>
      <c r="E38" s="35">
        <f>'Aug 28'!$D38*$C$6*$C$2</f>
        <v>1897580.0502199256</v>
      </c>
      <c r="F38" s="35">
        <v>125774.642857143</v>
      </c>
      <c r="G38" s="36">
        <f>'Aug 28'!$E38/'Aug 28'!$F38</f>
        <v>15.087143219919373</v>
      </c>
      <c r="H38" s="33">
        <v>14</v>
      </c>
      <c r="I38" s="33">
        <v>15</v>
      </c>
      <c r="J38" s="37">
        <f t="shared" si="2"/>
        <v>1</v>
      </c>
      <c r="K38" s="38">
        <f>'Aug 28'!$F38*'Aug 28'!$I38</f>
        <v>1886619.6428571451</v>
      </c>
      <c r="L38" s="39">
        <f>'Aug 28'!$K38/$K$2</f>
        <v>3.3416076783931284E-2</v>
      </c>
      <c r="M38" s="62"/>
      <c r="O38" s="2">
        <f>Table13895845679910111213[[#This Row],[Change]]*Table13895845679910111213[[#This Row],[Last price]]</f>
        <v>125774.642857143</v>
      </c>
      <c r="P38" s="42">
        <f t="shared" si="1"/>
        <v>125774.642857143</v>
      </c>
    </row>
    <row r="39" spans="1:17" ht="26.25" x14ac:dyDescent="0.25">
      <c r="A39" s="33" t="s">
        <v>178</v>
      </c>
      <c r="B39" s="214" t="s">
        <v>118</v>
      </c>
      <c r="C39" s="60" t="s">
        <v>119</v>
      </c>
      <c r="D39" s="34">
        <v>3.3889000000000002E-2</v>
      </c>
      <c r="E39" s="35">
        <f>'Aug 28'!$D39*$C$6*$C$2</f>
        <v>1897580.0502199256</v>
      </c>
      <c r="F39" s="35">
        <v>138750</v>
      </c>
      <c r="G39" s="36">
        <f>'Aug 28'!$E39/'Aug 28'!$F39</f>
        <v>13.676252614197661</v>
      </c>
      <c r="H39" s="33">
        <v>13</v>
      </c>
      <c r="I39" s="33">
        <v>14</v>
      </c>
      <c r="J39" s="37">
        <f t="shared" si="2"/>
        <v>1</v>
      </c>
      <c r="K39" s="38">
        <f>'Aug 28'!$F39*'Aug 28'!$I39</f>
        <v>1942500</v>
      </c>
      <c r="L39" s="39">
        <f>'Aug 28'!$K39/$K$2</f>
        <v>3.4405837657072225E-2</v>
      </c>
      <c r="M39" s="62"/>
      <c r="N39" s="217"/>
      <c r="O39" s="2">
        <f>Table13895845679910111213[[#This Row],[Change]]*Table13895845679910111213[[#This Row],[Last price]]</f>
        <v>138750</v>
      </c>
      <c r="P39" s="42">
        <f t="shared" si="1"/>
        <v>138750</v>
      </c>
    </row>
    <row r="40" spans="1:17" ht="26.25" x14ac:dyDescent="0.25">
      <c r="A40" s="33" t="s">
        <v>178</v>
      </c>
      <c r="B40" s="60" t="s">
        <v>121</v>
      </c>
      <c r="C40" s="60" t="s">
        <v>122</v>
      </c>
      <c r="D40" s="34">
        <v>0.125</v>
      </c>
      <c r="E40" s="35">
        <f>'Aug 28'!$D40*$C$6*$C$2</f>
        <v>6999247.7286875006</v>
      </c>
      <c r="F40" s="35">
        <v>416366.6</v>
      </c>
      <c r="G40" s="36">
        <f>'Aug 28'!$E40/'Aug 28'!$F40</f>
        <v>16.810300654969684</v>
      </c>
      <c r="H40" s="33">
        <v>15</v>
      </c>
      <c r="I40" s="33">
        <v>17</v>
      </c>
      <c r="J40" s="37">
        <f t="shared" si="2"/>
        <v>2</v>
      </c>
      <c r="K40" s="38">
        <f>'Aug 28'!$F40*'Aug 28'!$I40</f>
        <v>7078232.1999999993</v>
      </c>
      <c r="L40" s="39">
        <f>'Aug 28'!$K40/$K$2</f>
        <v>0.12537066047478052</v>
      </c>
      <c r="M40" s="62"/>
      <c r="O40" s="2">
        <f>Table13895845679910111213[[#This Row],[Change]]*Table13895845679910111213[[#This Row],[Last price]]</f>
        <v>832733.2</v>
      </c>
      <c r="P40" s="42">
        <f t="shared" si="1"/>
        <v>832733.2</v>
      </c>
    </row>
    <row r="41" spans="1:17" ht="26.25" x14ac:dyDescent="0.25">
      <c r="A41" s="33" t="s">
        <v>178</v>
      </c>
      <c r="B41" s="214" t="s">
        <v>126</v>
      </c>
      <c r="C41" s="60" t="s">
        <v>127</v>
      </c>
      <c r="D41" s="34">
        <v>3.3889000000000002E-2</v>
      </c>
      <c r="E41" s="35">
        <f>'Aug 28'!$D41*$C$6*$C$2</f>
        <v>1897580.0502199256</v>
      </c>
      <c r="F41" s="35">
        <v>220835.25</v>
      </c>
      <c r="G41" s="36">
        <f>'Aug 28'!$E41/'Aug 28'!$F41</f>
        <v>8.5927407432460416</v>
      </c>
      <c r="H41" s="33">
        <v>8</v>
      </c>
      <c r="I41" s="33">
        <v>9</v>
      </c>
      <c r="J41" s="37">
        <f t="shared" si="2"/>
        <v>1</v>
      </c>
      <c r="K41" s="38">
        <f>'Aug 28'!$F41*'Aug 28'!$I41</f>
        <v>1987517.25</v>
      </c>
      <c r="L41" s="39">
        <f>'Aug 28'!$K41/$K$2</f>
        <v>3.5203189623748077E-2</v>
      </c>
      <c r="M41" s="62"/>
      <c r="O41" s="2">
        <f>Table13895845679910111213[[#This Row],[Change]]*Table13895845679910111213[[#This Row],[Last price]]</f>
        <v>220835.25</v>
      </c>
      <c r="P41" s="42">
        <f t="shared" si="1"/>
        <v>220835.25</v>
      </c>
    </row>
    <row r="42" spans="1:17" s="64" customFormat="1" ht="12.75" x14ac:dyDescent="0.2">
      <c r="A42" s="33"/>
      <c r="B42" s="60"/>
      <c r="C42" s="60"/>
      <c r="D42" s="34"/>
      <c r="E42" s="63"/>
      <c r="F42" s="35"/>
      <c r="G42" s="36"/>
      <c r="H42" s="33"/>
      <c r="I42" s="33"/>
      <c r="J42" s="45"/>
      <c r="K42" s="35"/>
      <c r="L42" s="46"/>
      <c r="M42" s="62"/>
      <c r="O42" s="2">
        <f>Table13895845679910111213[[#This Row],[Change]]*Table13895845679910111213[[#This Row],[Last price]]</f>
        <v>0</v>
      </c>
      <c r="P42" s="42">
        <f t="shared" si="1"/>
        <v>0</v>
      </c>
    </row>
    <row r="43" spans="1:17" s="15" customFormat="1" ht="12.75" x14ac:dyDescent="0.2">
      <c r="A43" s="47" t="s">
        <v>186</v>
      </c>
      <c r="B43" s="65"/>
      <c r="C43" s="65"/>
      <c r="D43" s="56">
        <f>SUBTOTAL(9,D35:D42)</f>
        <v>0.32833400000000001</v>
      </c>
      <c r="E43" s="66">
        <f>'Aug 28'!$D43*$C$6*$C$2</f>
        <v>18384728.030007057</v>
      </c>
      <c r="F43" s="67"/>
      <c r="G43" s="70"/>
      <c r="H43" s="55"/>
      <c r="I43" s="55"/>
      <c r="J43" s="59"/>
      <c r="K43" s="66">
        <f>SUM(K35:K42)</f>
        <v>18661593.820129868</v>
      </c>
      <c r="L43" s="68">
        <f>'Aug 28'!$K43/$K$2</f>
        <v>0.33053681719310712</v>
      </c>
      <c r="M43" s="69"/>
      <c r="O43" s="2">
        <f>Table13895845679910111213[[#This Row],[Change]]*Table13895845679910111213[[#This Row],[Last price]]</f>
        <v>0</v>
      </c>
      <c r="P43" s="42">
        <f t="shared" si="1"/>
        <v>0</v>
      </c>
    </row>
    <row r="44" spans="1:17" s="64" customFormat="1" ht="12.75" x14ac:dyDescent="0.2">
      <c r="A44" s="33"/>
      <c r="B44" s="60"/>
      <c r="C44" s="60"/>
      <c r="D44" s="34"/>
      <c r="E44" s="63"/>
      <c r="F44" s="35"/>
      <c r="G44" s="36"/>
      <c r="H44" s="33"/>
      <c r="I44" s="33"/>
      <c r="J44" s="45"/>
      <c r="K44" s="35"/>
      <c r="L44" s="39"/>
      <c r="M44" s="62"/>
      <c r="O44" s="2">
        <f>Table13895845679910111213[[#This Row],[Change]]*Table13895845679910111213[[#This Row],[Last price]]</f>
        <v>0</v>
      </c>
      <c r="P44" s="42">
        <f t="shared" si="1"/>
        <v>0</v>
      </c>
    </row>
    <row r="45" spans="1:17" s="41" customFormat="1" ht="25.5" customHeight="1" x14ac:dyDescent="0.2">
      <c r="A45" s="33" t="s">
        <v>187</v>
      </c>
      <c r="B45" s="33" t="s">
        <v>63</v>
      </c>
      <c r="C45" s="33" t="s">
        <v>64</v>
      </c>
      <c r="D45" s="34">
        <v>3.3889000000000002E-2</v>
      </c>
      <c r="E45" s="35">
        <f>'Aug 28'!$D45*$C$6*$C$2</f>
        <v>1897580.0502199256</v>
      </c>
      <c r="F45" s="35">
        <v>94250.315789473694</v>
      </c>
      <c r="G45" s="36">
        <f>'Aug 28'!$E45/'Aug 28'!$F45</f>
        <v>20.133407875879563</v>
      </c>
      <c r="H45" s="33">
        <v>19</v>
      </c>
      <c r="I45" s="33">
        <v>20</v>
      </c>
      <c r="J45" s="37">
        <f t="shared" ref="J45:J50" si="3">I45-H45</f>
        <v>1</v>
      </c>
      <c r="K45" s="38">
        <f>'Aug 28'!$F45*'Aug 28'!$I45</f>
        <v>1885006.3157894739</v>
      </c>
      <c r="L45" s="39">
        <f>'Aug 28'!$K45/$K$2</f>
        <v>3.3387501304302944E-2</v>
      </c>
      <c r="M45" s="40"/>
      <c r="N45" s="2"/>
      <c r="O45" s="2">
        <f>Table13895845679910111213[[#This Row],[Change]]*Table13895845679910111213[[#This Row],[Last price]]</f>
        <v>94250.315789473694</v>
      </c>
      <c r="P45" s="42">
        <f t="shared" si="1"/>
        <v>94250.315789473694</v>
      </c>
      <c r="Q45" s="42"/>
    </row>
    <row r="46" spans="1:17" s="41" customFormat="1" ht="25.5" customHeight="1" x14ac:dyDescent="0.2">
      <c r="A46" s="33" t="s">
        <v>187</v>
      </c>
      <c r="B46" s="33" t="s">
        <v>72</v>
      </c>
      <c r="C46" s="33" t="s">
        <v>73</v>
      </c>
      <c r="D46" s="34">
        <v>3.3889000000000002E-2</v>
      </c>
      <c r="E46" s="35">
        <f>'Aug 28'!$D46*$C$6*$C$2</f>
        <v>1897580.0502199256</v>
      </c>
      <c r="F46" s="35">
        <v>115072.2</v>
      </c>
      <c r="G46" s="36">
        <f>'Aug 28'!$E46/'Aug 28'!$F46</f>
        <v>16.49034302133726</v>
      </c>
      <c r="H46" s="33">
        <v>15</v>
      </c>
      <c r="I46" s="33">
        <v>16</v>
      </c>
      <c r="J46" s="37">
        <f t="shared" si="3"/>
        <v>1</v>
      </c>
      <c r="K46" s="38">
        <f>'Aug 28'!$F46*'Aug 28'!$I46</f>
        <v>1841155.2</v>
      </c>
      <c r="L46" s="39">
        <f>'Aug 28'!$K46/$K$2</f>
        <v>3.2610804073448824E-2</v>
      </c>
      <c r="M46" s="40"/>
      <c r="N46" s="2"/>
      <c r="O46" s="2">
        <f>Table13895845679910111213[[#This Row],[Change]]*Table13895845679910111213[[#This Row],[Last price]]</f>
        <v>115072.2</v>
      </c>
      <c r="P46" s="42">
        <f t="shared" si="1"/>
        <v>115072.2</v>
      </c>
    </row>
    <row r="47" spans="1:17" s="41" customFormat="1" ht="25.5" customHeight="1" x14ac:dyDescent="0.2">
      <c r="A47" s="33" t="s">
        <v>187</v>
      </c>
      <c r="B47" s="33" t="s">
        <v>76</v>
      </c>
      <c r="C47" s="33" t="s">
        <v>77</v>
      </c>
      <c r="D47" s="34">
        <v>3.3889000000000002E-2</v>
      </c>
      <c r="E47" s="35">
        <f>'Aug 28'!$D47*$C$6*$C$2</f>
        <v>1897580.0502199256</v>
      </c>
      <c r="F47" s="35">
        <v>111728.25</v>
      </c>
      <c r="G47" s="36">
        <f>'Aug 28'!$E47/'Aug 28'!$F47</f>
        <v>16.983887693756284</v>
      </c>
      <c r="H47" s="33">
        <v>16</v>
      </c>
      <c r="I47" s="33">
        <v>17</v>
      </c>
      <c r="J47" s="37">
        <f t="shared" si="3"/>
        <v>1</v>
      </c>
      <c r="K47" s="38">
        <f>'Aug 28'!$F47*'Aug 28'!$I47</f>
        <v>1899380.25</v>
      </c>
      <c r="L47" s="39">
        <f>'Aug 28'!$K47/$K$2</f>
        <v>3.364209448162124E-2</v>
      </c>
      <c r="M47" s="40"/>
      <c r="N47" s="2"/>
      <c r="O47" s="2">
        <f>Table13895845679910111213[[#This Row],[Change]]*Table13895845679910111213[[#This Row],[Last price]]</f>
        <v>111728.25</v>
      </c>
      <c r="P47" s="42">
        <f t="shared" si="1"/>
        <v>111728.25</v>
      </c>
    </row>
    <row r="48" spans="1:17" s="41" customFormat="1" ht="25.5" x14ac:dyDescent="0.2">
      <c r="A48" s="33" t="s">
        <v>187</v>
      </c>
      <c r="B48" s="33" t="s">
        <v>78</v>
      </c>
      <c r="C48" s="33" t="s">
        <v>79</v>
      </c>
      <c r="D48" s="34">
        <v>0.125</v>
      </c>
      <c r="E48" s="35">
        <f>'Aug 28'!$D48*$C$6*$C$2</f>
        <v>6999247.7286875006</v>
      </c>
      <c r="F48" s="35">
        <v>249407.56</v>
      </c>
      <c r="G48" s="36">
        <f>'Aug 28'!$E48/'Aug 28'!$F48</f>
        <v>28.063494661859892</v>
      </c>
      <c r="H48" s="33">
        <v>25</v>
      </c>
      <c r="I48" s="33">
        <v>28</v>
      </c>
      <c r="J48" s="37">
        <f t="shared" si="3"/>
        <v>3</v>
      </c>
      <c r="K48" s="38">
        <f>'Aug 28'!$F48*'Aug 28'!$I48</f>
        <v>6983411.6799999997</v>
      </c>
      <c r="L48" s="39">
        <f>'Aug 28'!$K48/$K$2</f>
        <v>0.12369118587108469</v>
      </c>
      <c r="M48" s="40"/>
      <c r="N48" s="2"/>
      <c r="O48" s="2">
        <f>Table13895845679910111213[[#This Row],[Change]]*Table13895845679910111213[[#This Row],[Last price]]</f>
        <v>748222.67999999993</v>
      </c>
      <c r="P48" s="42">
        <f t="shared" si="1"/>
        <v>748222.67999999993</v>
      </c>
    </row>
    <row r="49" spans="1:18" s="41" customFormat="1" ht="25.5" x14ac:dyDescent="0.2">
      <c r="A49" s="33" t="s">
        <v>187</v>
      </c>
      <c r="B49" s="33" t="s">
        <v>193</v>
      </c>
      <c r="C49" s="33" t="s">
        <v>100</v>
      </c>
      <c r="D49" s="34">
        <v>0.125</v>
      </c>
      <c r="E49" s="35">
        <f>'Aug 28'!$D49*$C$6*$C$2</f>
        <v>6999247.7286875006</v>
      </c>
      <c r="F49" s="35">
        <v>416343.26666666701</v>
      </c>
      <c r="G49" s="36">
        <f>'Aug 28'!$E49/'Aug 28'!$F49</f>
        <v>16.811242763032944</v>
      </c>
      <c r="H49" s="33">
        <v>15</v>
      </c>
      <c r="I49" s="33">
        <v>17</v>
      </c>
      <c r="J49" s="37">
        <f t="shared" si="3"/>
        <v>2</v>
      </c>
      <c r="K49" s="38">
        <f>'Aug 28'!$F49*'Aug 28'!$I49</f>
        <v>7077835.5333333388</v>
      </c>
      <c r="L49" s="39">
        <f>'Aug 28'!$K49/$K$2</f>
        <v>0.1253636346580819</v>
      </c>
      <c r="M49" s="40"/>
      <c r="N49" s="2"/>
      <c r="O49" s="2">
        <f>Table13895845679910111213[[#This Row],[Change]]*Table13895845679910111213[[#This Row],[Last price]]</f>
        <v>832686.53333333402</v>
      </c>
      <c r="P49" s="42">
        <f t="shared" si="1"/>
        <v>832686.53333333402</v>
      </c>
    </row>
    <row r="50" spans="1:18" s="41" customFormat="1" ht="25.5" x14ac:dyDescent="0.2">
      <c r="A50" s="33" t="s">
        <v>187</v>
      </c>
      <c r="B50" s="33" t="s">
        <v>102</v>
      </c>
      <c r="C50" s="33" t="s">
        <v>103</v>
      </c>
      <c r="D50" s="34">
        <v>0.125</v>
      </c>
      <c r="E50" s="35">
        <f>'Aug 28'!$D50*$C$6*$C$2</f>
        <v>6999247.7286875006</v>
      </c>
      <c r="F50" s="35">
        <v>249778.32</v>
      </c>
      <c r="G50" s="36">
        <f>'Aug 28'!$E50/'Aug 28'!$F50</f>
        <v>28.021838439330924</v>
      </c>
      <c r="H50" s="33">
        <v>25</v>
      </c>
      <c r="I50" s="33">
        <v>28</v>
      </c>
      <c r="J50" s="37">
        <f t="shared" si="3"/>
        <v>3</v>
      </c>
      <c r="K50" s="38">
        <f>'Aug 28'!$F50*'Aug 28'!$I50</f>
        <v>6993792.96</v>
      </c>
      <c r="L50" s="39">
        <f>'Aug 28'!$K50/$K$2</f>
        <v>0.12387506058632414</v>
      </c>
      <c r="M50" s="40"/>
      <c r="N50" s="2"/>
      <c r="O50" s="2">
        <f>Table13895845679910111213[[#This Row],[Change]]*Table13895845679910111213[[#This Row],[Last price]]</f>
        <v>749334.96</v>
      </c>
      <c r="P50" s="42">
        <f t="shared" si="1"/>
        <v>749334.96</v>
      </c>
    </row>
    <row r="51" spans="1:18" s="41" customFormat="1" ht="12.75" x14ac:dyDescent="0.2">
      <c r="A51" s="33"/>
      <c r="B51" s="33"/>
      <c r="C51" s="33"/>
      <c r="D51" s="34"/>
      <c r="E51" s="35"/>
      <c r="F51" s="35"/>
      <c r="G51" s="36"/>
      <c r="H51" s="33"/>
      <c r="I51" s="33"/>
      <c r="J51" s="37"/>
      <c r="K51" s="38"/>
      <c r="L51" s="39"/>
      <c r="M51" s="40"/>
      <c r="N51" s="2"/>
      <c r="O51" s="2">
        <f>Table13895845679910111213[[#This Row],[Change]]*Table13895845679910111213[[#This Row],[Last price]]</f>
        <v>0</v>
      </c>
      <c r="P51" s="42">
        <f t="shared" si="1"/>
        <v>0</v>
      </c>
    </row>
    <row r="52" spans="1:18" s="41" customFormat="1" ht="12.75" x14ac:dyDescent="0.2">
      <c r="A52" s="33"/>
      <c r="B52" s="33"/>
      <c r="C52" s="33"/>
      <c r="D52" s="34"/>
      <c r="E52" s="35"/>
      <c r="F52" s="35"/>
      <c r="G52" s="36"/>
      <c r="H52" s="33"/>
      <c r="I52" s="33"/>
      <c r="J52" s="37"/>
      <c r="K52" s="38"/>
      <c r="L52" s="39"/>
      <c r="M52" s="40"/>
      <c r="N52" s="2"/>
      <c r="O52" s="2">
        <f>Table13895845679910111213[[#This Row],[Change]]*Table13895845679910111213[[#This Row],[Last price]]</f>
        <v>0</v>
      </c>
      <c r="P52" s="42">
        <f t="shared" si="1"/>
        <v>0</v>
      </c>
    </row>
    <row r="53" spans="1:18" s="44" customFormat="1" ht="12.75" x14ac:dyDescent="0.2">
      <c r="A53" s="33"/>
      <c r="B53" s="33"/>
      <c r="C53" s="33"/>
      <c r="D53" s="34"/>
      <c r="E53" s="35"/>
      <c r="F53" s="35"/>
      <c r="G53" s="36"/>
      <c r="H53" s="33"/>
      <c r="I53" s="33"/>
      <c r="J53" s="45"/>
      <c r="K53" s="35"/>
      <c r="L53" s="39"/>
      <c r="M53" s="33"/>
      <c r="N53" s="64"/>
      <c r="O53" s="2">
        <f>Table13895845679910111213[[#This Row],[Change]]*Table13895845679910111213[[#This Row],[Last price]]</f>
        <v>0</v>
      </c>
      <c r="P53" s="42">
        <f t="shared" si="1"/>
        <v>0</v>
      </c>
    </row>
    <row r="54" spans="1:18" s="54" customFormat="1" ht="12.75" x14ac:dyDescent="0.2">
      <c r="A54" s="47" t="s">
        <v>194</v>
      </c>
      <c r="B54" s="47"/>
      <c r="C54" s="47"/>
      <c r="D54" s="56">
        <f>SUBTOTAL(9,D45:D53)</f>
        <v>0.47666700000000001</v>
      </c>
      <c r="E54" s="49">
        <f>'Aug 28'!$D54*$C$6*$C$2</f>
        <v>26690483.336722277</v>
      </c>
      <c r="F54" s="70"/>
      <c r="G54" s="70"/>
      <c r="H54" s="55"/>
      <c r="I54" s="55"/>
      <c r="J54" s="59"/>
      <c r="K54" s="49">
        <f>SUM(K45:K53)</f>
        <v>26680581.939122811</v>
      </c>
      <c r="L54" s="68">
        <f>'Aug 28'!$K54/$K$2</f>
        <v>0.4725702809748637</v>
      </c>
      <c r="M54" s="47"/>
      <c r="N54" s="15"/>
      <c r="O54" s="2">
        <f>Table13895845679910111213[[#This Row],[Change]]*Table13895845679910111213[[#This Row],[Last price]]</f>
        <v>0</v>
      </c>
      <c r="P54" s="42">
        <f t="shared" si="1"/>
        <v>0</v>
      </c>
    </row>
    <row r="55" spans="1:18" s="44" customFormat="1" ht="12.75" x14ac:dyDescent="0.2">
      <c r="A55" s="33"/>
      <c r="B55" s="33"/>
      <c r="C55" s="33"/>
      <c r="D55" s="34"/>
      <c r="E55" s="35"/>
      <c r="F55" s="35"/>
      <c r="G55" s="36"/>
      <c r="H55" s="33"/>
      <c r="I55" s="33"/>
      <c r="J55" s="45"/>
      <c r="K55" s="35"/>
      <c r="L55" s="39"/>
      <c r="M55" s="33"/>
      <c r="N55" s="64"/>
      <c r="O55" s="2">
        <f>Table13895845679910111213[[#This Row],[Change]]*Table13895845679910111213[[#This Row],[Last price]]</f>
        <v>0</v>
      </c>
      <c r="P55" s="42">
        <f t="shared" si="1"/>
        <v>0</v>
      </c>
    </row>
    <row r="56" spans="1:18" s="41" customFormat="1" ht="12.75" x14ac:dyDescent="0.2">
      <c r="A56" s="33"/>
      <c r="B56" s="33"/>
      <c r="C56" s="33"/>
      <c r="D56" s="34"/>
      <c r="E56" s="35"/>
      <c r="F56" s="35"/>
      <c r="G56" s="71"/>
      <c r="H56" s="33"/>
      <c r="I56" s="33"/>
      <c r="J56" s="37"/>
      <c r="K56" s="38"/>
      <c r="L56" s="39"/>
      <c r="M56" s="40"/>
      <c r="N56" s="2"/>
      <c r="O56" s="2">
        <f>Table13895845679910111213[[#This Row],[Change]]*Table13895845679910111213[[#This Row],[Last price]]</f>
        <v>0</v>
      </c>
      <c r="P56" s="42">
        <f t="shared" si="1"/>
        <v>0</v>
      </c>
    </row>
    <row r="57" spans="1:18" s="41" customFormat="1" ht="25.5" x14ac:dyDescent="0.2">
      <c r="A57" s="33" t="s">
        <v>195</v>
      </c>
      <c r="B57" s="33" t="s">
        <v>67</v>
      </c>
      <c r="C57" s="33" t="s">
        <v>68</v>
      </c>
      <c r="D57" s="34">
        <v>1.5E-3</v>
      </c>
      <c r="E57" s="35">
        <f>'Aug 28'!$D57*$C$6*$C$2</f>
        <v>83990.972744250001</v>
      </c>
      <c r="F57" s="35">
        <v>43977.5</v>
      </c>
      <c r="G57" s="71">
        <f>'Aug 28'!$E57/'Aug 28'!$F57</f>
        <v>1.9098623783582513</v>
      </c>
      <c r="H57" s="33">
        <v>2</v>
      </c>
      <c r="I57" s="33">
        <v>2</v>
      </c>
      <c r="J57" s="37">
        <f t="shared" ref="J57:J66" si="4">I57-H57</f>
        <v>0</v>
      </c>
      <c r="K57" s="38">
        <f>'Aug 28'!$F57*'Aug 28'!$I57</f>
        <v>87955</v>
      </c>
      <c r="L57" s="39">
        <f>'Aug 28'!$K57/$K$2</f>
        <v>1.5578715321121171E-3</v>
      </c>
      <c r="M57" s="40"/>
      <c r="N57" s="2"/>
      <c r="O57" s="2">
        <f>Table13895845679910111213[[#This Row],[Change]]*Table13895845679910111213[[#This Row],[Last price]]</f>
        <v>0</v>
      </c>
      <c r="P57" s="42">
        <f t="shared" si="1"/>
        <v>0</v>
      </c>
    </row>
    <row r="58" spans="1:18" s="41" customFormat="1" ht="25.5" x14ac:dyDescent="0.2">
      <c r="A58" s="33" t="s">
        <v>195</v>
      </c>
      <c r="B58" s="33" t="s">
        <v>70</v>
      </c>
      <c r="C58" s="33" t="s">
        <v>71</v>
      </c>
      <c r="D58" s="34">
        <v>1.5E-3</v>
      </c>
      <c r="E58" s="35">
        <f>'Aug 28'!$D58*$C$6*$C$2</f>
        <v>83990.972744250001</v>
      </c>
      <c r="F58" s="35">
        <v>167534</v>
      </c>
      <c r="G58" s="71">
        <f>'Aug 28'!$E58/'Aug 28'!$F58</f>
        <v>0.50133687934538662</v>
      </c>
      <c r="H58" s="33">
        <v>1</v>
      </c>
      <c r="I58" s="33">
        <v>1</v>
      </c>
      <c r="J58" s="37">
        <f t="shared" si="4"/>
        <v>0</v>
      </c>
      <c r="K58" s="38">
        <f>'Aug 28'!$F58*'Aug 28'!$I58</f>
        <v>167534</v>
      </c>
      <c r="L58" s="39">
        <f>'Aug 28'!$K58/$K$2</f>
        <v>2.9673861549755153E-3</v>
      </c>
      <c r="M58" s="40"/>
      <c r="N58" s="2"/>
      <c r="O58" s="2">
        <f>Table13895845679910111213[[#This Row],[Change]]*Table13895845679910111213[[#This Row],[Last price]]</f>
        <v>0</v>
      </c>
      <c r="P58" s="42">
        <f t="shared" si="1"/>
        <v>0</v>
      </c>
      <c r="R58" s="41" t="s">
        <v>198</v>
      </c>
    </row>
    <row r="59" spans="1:18" s="41" customFormat="1" ht="25.5" x14ac:dyDescent="0.2">
      <c r="A59" s="33" t="s">
        <v>195</v>
      </c>
      <c r="B59" s="33" t="s">
        <v>81</v>
      </c>
      <c r="C59" s="33" t="s">
        <v>82</v>
      </c>
      <c r="D59" s="34">
        <v>1.5E-3</v>
      </c>
      <c r="E59" s="35">
        <f>'Aug 28'!$D59*$C$6*$C$2</f>
        <v>83990.972744250001</v>
      </c>
      <c r="F59" s="35">
        <v>91850</v>
      </c>
      <c r="G59" s="71">
        <f>'Aug 28'!$E59/'Aug 28'!$F59</f>
        <v>0.91443628464071858</v>
      </c>
      <c r="H59" s="33">
        <v>1</v>
      </c>
      <c r="I59" s="33">
        <v>1</v>
      </c>
      <c r="J59" s="37">
        <f t="shared" si="4"/>
        <v>0</v>
      </c>
      <c r="K59" s="38">
        <f>'Aug 28'!$F59*'Aug 28'!$I59</f>
        <v>91850</v>
      </c>
      <c r="L59" s="39">
        <f>'Aug 28'!$K59/$K$2</f>
        <v>1.6268603288556417E-3</v>
      </c>
      <c r="M59" s="40"/>
      <c r="N59" s="2"/>
      <c r="O59" s="2">
        <f>Table13895845679910111213[[#This Row],[Change]]*Table13895845679910111213[[#This Row],[Last price]]</f>
        <v>0</v>
      </c>
      <c r="P59" s="42">
        <f t="shared" si="1"/>
        <v>0</v>
      </c>
    </row>
    <row r="60" spans="1:18" s="41" customFormat="1" ht="25.5" x14ac:dyDescent="0.2">
      <c r="A60" s="33" t="s">
        <v>195</v>
      </c>
      <c r="B60" s="33" t="s">
        <v>83</v>
      </c>
      <c r="C60" s="33" t="s">
        <v>84</v>
      </c>
      <c r="D60" s="34">
        <v>1.5E-3</v>
      </c>
      <c r="E60" s="35">
        <f>'Aug 28'!$D60*$C$6*$C$2</f>
        <v>83990.972744250001</v>
      </c>
      <c r="F60" s="35">
        <v>220130</v>
      </c>
      <c r="G60" s="71">
        <f>'Aug 28'!$E60/'Aug 28'!$F60</f>
        <v>0.38155168647730886</v>
      </c>
      <c r="H60" s="33">
        <v>1</v>
      </c>
      <c r="I60" s="33">
        <v>1</v>
      </c>
      <c r="J60" s="37">
        <f t="shared" si="4"/>
        <v>0</v>
      </c>
      <c r="K60" s="38">
        <f>'Aug 28'!$F60*'Aug 28'!$I60</f>
        <v>220130</v>
      </c>
      <c r="L60" s="39">
        <f>'Aug 28'!$K60/$K$2</f>
        <v>3.8989740249427592E-3</v>
      </c>
      <c r="M60" s="40"/>
      <c r="N60" s="2"/>
      <c r="O60" s="2">
        <f>Table13895845679910111213[[#This Row],[Change]]*Table13895845679910111213[[#This Row],[Last price]]</f>
        <v>0</v>
      </c>
      <c r="P60" s="42">
        <f t="shared" si="1"/>
        <v>0</v>
      </c>
    </row>
    <row r="61" spans="1:18" s="41" customFormat="1" ht="25.5" x14ac:dyDescent="0.2">
      <c r="A61" s="33" t="s">
        <v>195</v>
      </c>
      <c r="B61" s="33" t="s">
        <v>86</v>
      </c>
      <c r="C61" s="33" t="s">
        <v>87</v>
      </c>
      <c r="D61" s="34">
        <v>1.5E-3</v>
      </c>
      <c r="E61" s="35">
        <f>'Aug 28'!$D61*$C$6*$C$2</f>
        <v>83990.972744250001</v>
      </c>
      <c r="F61" s="35">
        <v>49626</v>
      </c>
      <c r="G61" s="71">
        <f>'Aug 28'!$E61/'Aug 28'!$F61</f>
        <v>1.692479199295732</v>
      </c>
      <c r="H61" s="33">
        <v>1</v>
      </c>
      <c r="I61" s="33">
        <v>1</v>
      </c>
      <c r="J61" s="37">
        <f t="shared" si="4"/>
        <v>0</v>
      </c>
      <c r="K61" s="38">
        <f>'Aug 28'!$F61*'Aug 28'!$I61</f>
        <v>49626</v>
      </c>
      <c r="L61" s="39">
        <f>'Aug 28'!$K61/$K$2</f>
        <v>8.7898280544137261E-4</v>
      </c>
      <c r="M61" s="40"/>
      <c r="N61" s="2"/>
      <c r="O61" s="2">
        <f>Table13895845679910111213[[#This Row],[Change]]*Table13895845679910111213[[#This Row],[Last price]]</f>
        <v>0</v>
      </c>
      <c r="P61" s="42">
        <f t="shared" si="1"/>
        <v>0</v>
      </c>
    </row>
    <row r="62" spans="1:18" s="41" customFormat="1" ht="25.5" x14ac:dyDescent="0.2">
      <c r="A62" s="33" t="s">
        <v>195</v>
      </c>
      <c r="B62" s="33" t="s">
        <v>89</v>
      </c>
      <c r="C62" s="33" t="s">
        <v>90</v>
      </c>
      <c r="D62" s="34">
        <v>1.5E-3</v>
      </c>
      <c r="E62" s="35">
        <f>'Aug 28'!$D62*$C$6*$C$2</f>
        <v>83990.972744250001</v>
      </c>
      <c r="F62" s="35">
        <v>47005</v>
      </c>
      <c r="G62" s="71">
        <f>'Aug 28'!$E62/'Aug 28'!$F62</f>
        <v>1.7868518826561004</v>
      </c>
      <c r="H62" s="33">
        <v>1</v>
      </c>
      <c r="I62" s="33">
        <v>1</v>
      </c>
      <c r="J62" s="37">
        <f t="shared" si="4"/>
        <v>0</v>
      </c>
      <c r="K62" s="38">
        <f>'Aug 28'!$F62*'Aug 28'!$I62</f>
        <v>47005</v>
      </c>
      <c r="L62" s="39">
        <f>'Aug 28'!$K62/$K$2</f>
        <v>8.3255927880086485E-4</v>
      </c>
      <c r="M62" s="40"/>
      <c r="N62" s="2"/>
      <c r="O62" s="2">
        <f>Table13895845679910111213[[#This Row],[Change]]*Table13895845679910111213[[#This Row],[Last price]]</f>
        <v>0</v>
      </c>
      <c r="P62" s="42">
        <f t="shared" si="1"/>
        <v>0</v>
      </c>
    </row>
    <row r="63" spans="1:18" s="41" customFormat="1" ht="25.5" x14ac:dyDescent="0.2">
      <c r="A63" s="33" t="s">
        <v>195</v>
      </c>
      <c r="B63" s="33" t="s">
        <v>202</v>
      </c>
      <c r="C63" s="33" t="s">
        <v>92</v>
      </c>
      <c r="D63" s="34">
        <v>1.5E-3</v>
      </c>
      <c r="E63" s="35">
        <f>'Aug 28'!$D63*$C$6*$C$2</f>
        <v>83990.972744250001</v>
      </c>
      <c r="F63" s="35">
        <v>12241.5</v>
      </c>
      <c r="G63" s="71">
        <f>'Aug 28'!$E63/'Aug 28'!$F63</f>
        <v>6.8611667478862888</v>
      </c>
      <c r="H63" s="33">
        <v>6</v>
      </c>
      <c r="I63" s="33">
        <v>7</v>
      </c>
      <c r="J63" s="37">
        <f t="shared" si="4"/>
        <v>1</v>
      </c>
      <c r="K63" s="38">
        <f>'Aug 28'!$F63*'Aug 28'!$I63</f>
        <v>85690.5</v>
      </c>
      <c r="L63" s="39">
        <f>'Aug 28'!$K63/$K$2</f>
        <v>1.5177623844290077E-3</v>
      </c>
      <c r="M63" s="40"/>
      <c r="N63" s="2"/>
      <c r="O63" s="2">
        <f>Table13895845679910111213[[#This Row],[Change]]*Table13895845679910111213[[#This Row],[Last price]]</f>
        <v>12241.5</v>
      </c>
      <c r="P63" s="42">
        <f t="shared" si="1"/>
        <v>12241.5</v>
      </c>
    </row>
    <row r="64" spans="1:18" s="41" customFormat="1" ht="25.5" x14ac:dyDescent="0.2">
      <c r="A64" s="33" t="s">
        <v>195</v>
      </c>
      <c r="B64" s="33" t="s">
        <v>96</v>
      </c>
      <c r="C64" s="33" t="s">
        <v>97</v>
      </c>
      <c r="D64" s="34">
        <v>1.5E-3</v>
      </c>
      <c r="E64" s="35">
        <f>'Aug 28'!$D64*$C$6*$C$2</f>
        <v>83990.972744250001</v>
      </c>
      <c r="F64" s="35">
        <v>88884</v>
      </c>
      <c r="G64" s="71">
        <f>'Aug 28'!$E64/'Aug 28'!$F64</f>
        <v>0.94495041564567306</v>
      </c>
      <c r="H64" s="33">
        <v>1</v>
      </c>
      <c r="I64" s="33">
        <v>1</v>
      </c>
      <c r="J64" s="37">
        <f t="shared" si="4"/>
        <v>0</v>
      </c>
      <c r="K64" s="38">
        <f>'Aug 28'!$F64*'Aug 28'!$I64</f>
        <v>88884</v>
      </c>
      <c r="L64" s="39">
        <f>'Aug 28'!$K64/$K$2</f>
        <v>1.5743261129015228E-3</v>
      </c>
      <c r="M64" s="40"/>
      <c r="N64" s="2"/>
      <c r="O64" s="2">
        <f>Table13895845679910111213[[#This Row],[Change]]*Table13895845679910111213[[#This Row],[Last price]]</f>
        <v>0</v>
      </c>
      <c r="P64" s="42">
        <f t="shared" si="1"/>
        <v>0</v>
      </c>
    </row>
    <row r="65" spans="1:16" ht="26.25" x14ac:dyDescent="0.25">
      <c r="A65" s="33" t="s">
        <v>195</v>
      </c>
      <c r="B65" s="60" t="s">
        <v>123</v>
      </c>
      <c r="C65" s="60" t="s">
        <v>124</v>
      </c>
      <c r="D65" s="34">
        <v>1.5E-3</v>
      </c>
      <c r="E65" s="35">
        <f>'Aug 28'!$D65*$C$6*$C$2</f>
        <v>83990.972744250001</v>
      </c>
      <c r="F65" s="35">
        <v>63019</v>
      </c>
      <c r="G65" s="71">
        <f>'Aug 28'!$E65/'Aug 28'!$F65</f>
        <v>1.3327880915953918</v>
      </c>
      <c r="H65" s="33">
        <v>1</v>
      </c>
      <c r="I65" s="33">
        <v>1</v>
      </c>
      <c r="J65" s="37">
        <f t="shared" si="4"/>
        <v>0</v>
      </c>
      <c r="K65" s="38">
        <f>'Aug 28'!$F65*'Aug 28'!$I65</f>
        <v>63019</v>
      </c>
      <c r="L65" s="39">
        <f>'Aug 28'!$K65/$K$2</f>
        <v>1.1162015358100565E-3</v>
      </c>
      <c r="M65" s="62"/>
      <c r="O65" s="2">
        <f>Table13895845679910111213[[#This Row],[Change]]*Table13895845679910111213[[#This Row],[Last price]]</f>
        <v>0</v>
      </c>
      <c r="P65" s="42">
        <f t="shared" si="1"/>
        <v>0</v>
      </c>
    </row>
    <row r="66" spans="1:16" s="41" customFormat="1" ht="25.5" x14ac:dyDescent="0.2">
      <c r="A66" s="33" t="s">
        <v>195</v>
      </c>
      <c r="B66" s="33" t="s">
        <v>94</v>
      </c>
      <c r="C66" s="33" t="s">
        <v>95</v>
      </c>
      <c r="D66" s="34">
        <v>1.5E-3</v>
      </c>
      <c r="E66" s="35">
        <f>'Aug 28'!$D66*$C$6*$C$2</f>
        <v>83990.972744250001</v>
      </c>
      <c r="F66" s="35">
        <v>138222</v>
      </c>
      <c r="G66" s="71">
        <f>'Aug 28'!$E66/'Aug 28'!$F66</f>
        <v>0.60765270900616397</v>
      </c>
      <c r="H66" s="33">
        <v>1</v>
      </c>
      <c r="I66" s="33">
        <v>1</v>
      </c>
      <c r="J66" s="37">
        <f t="shared" si="4"/>
        <v>0</v>
      </c>
      <c r="K66" s="38">
        <f>'Aug 28'!$F66*'Aug 28'!$I66</f>
        <v>138222</v>
      </c>
      <c r="L66" s="39">
        <f>'Aug 28'!$K66/$K$2</f>
        <v>2.4482078211767503E-3</v>
      </c>
      <c r="M66" s="40"/>
      <c r="N66" s="2"/>
      <c r="O66" s="2">
        <f>Table13895845679910111213[[#This Row],[Change]]*Table13895845679910111213[[#This Row],[Last price]]</f>
        <v>0</v>
      </c>
      <c r="P66" s="42">
        <f t="shared" si="1"/>
        <v>0</v>
      </c>
    </row>
    <row r="67" spans="1:16" s="41" customFormat="1" ht="12.75" x14ac:dyDescent="0.2">
      <c r="A67" s="33"/>
      <c r="B67" s="33"/>
      <c r="C67" s="33"/>
      <c r="D67" s="34"/>
      <c r="E67" s="35"/>
      <c r="F67" s="35"/>
      <c r="G67" s="36"/>
      <c r="H67" s="33"/>
      <c r="I67" s="33"/>
      <c r="J67" s="40"/>
      <c r="K67" s="38"/>
      <c r="L67" s="39"/>
      <c r="M67" s="40"/>
      <c r="N67" s="2"/>
      <c r="O67" s="41">
        <f>Table13895845679910111213[[#This Row],[Change]]*Table13895845679910111213[[#This Row],[Last price]]</f>
        <v>0</v>
      </c>
    </row>
    <row r="68" spans="1:16" s="41" customFormat="1" ht="12.75" x14ac:dyDescent="0.2">
      <c r="A68" s="33"/>
      <c r="B68" s="33"/>
      <c r="C68" s="33"/>
      <c r="D68" s="34"/>
      <c r="E68" s="35"/>
      <c r="F68" s="35"/>
      <c r="G68" s="36"/>
      <c r="H68" s="33"/>
      <c r="I68" s="33"/>
      <c r="J68" s="40"/>
      <c r="K68" s="38"/>
      <c r="L68" s="39"/>
      <c r="M68" s="40"/>
      <c r="N68" s="2"/>
      <c r="O68" s="41">
        <f>Table13895845679910111213[[#This Row],[Change]]*Table13895845679910111213[[#This Row],[Last price]]</f>
        <v>0</v>
      </c>
    </row>
    <row r="69" spans="1:16" s="41" customFormat="1" ht="12.75" x14ac:dyDescent="0.2">
      <c r="A69" s="33"/>
      <c r="B69" s="33"/>
      <c r="C69" s="33"/>
      <c r="D69" s="34"/>
      <c r="E69" s="35"/>
      <c r="F69" s="35"/>
      <c r="G69" s="36"/>
      <c r="H69" s="33"/>
      <c r="I69" s="33"/>
      <c r="J69" s="40"/>
      <c r="K69" s="38"/>
      <c r="L69" s="39"/>
      <c r="M69" s="40"/>
      <c r="N69" s="2"/>
      <c r="O69" s="41">
        <f>Table13895845679910111213[[#This Row],[Change]]*Table13895845679910111213[[#This Row],[Last price]]</f>
        <v>0</v>
      </c>
    </row>
    <row r="70" spans="1:16" s="41" customFormat="1" ht="12.75" x14ac:dyDescent="0.2">
      <c r="A70" s="33"/>
      <c r="B70" s="33"/>
      <c r="C70" s="33"/>
      <c r="D70" s="34"/>
      <c r="E70" s="35"/>
      <c r="F70" s="35"/>
      <c r="G70" s="36"/>
      <c r="H70" s="33"/>
      <c r="I70" s="33"/>
      <c r="J70" s="40"/>
      <c r="K70" s="38"/>
      <c r="L70" s="39"/>
      <c r="M70" s="40"/>
      <c r="N70" s="2"/>
      <c r="O70" s="41">
        <f>Table13895845679910111213[[#This Row],[Change]]*Table13895845679910111213[[#This Row],[Last price]]</f>
        <v>0</v>
      </c>
    </row>
    <row r="71" spans="1:16" s="41" customFormat="1" ht="12.75" x14ac:dyDescent="0.2">
      <c r="A71" s="33"/>
      <c r="B71" s="33"/>
      <c r="C71" s="33"/>
      <c r="D71" s="34"/>
      <c r="E71" s="35"/>
      <c r="F71" s="35"/>
      <c r="G71" s="36"/>
      <c r="H71" s="33"/>
      <c r="I71" s="33"/>
      <c r="J71" s="40"/>
      <c r="K71" s="38"/>
      <c r="L71" s="39"/>
      <c r="M71" s="40"/>
      <c r="N71" s="2"/>
      <c r="O71" s="41">
        <f>Table13895845679910111213[[#This Row],[Change]]*Table13895845679910111213[[#This Row],[Last price]]</f>
        <v>0</v>
      </c>
    </row>
    <row r="72" spans="1:16" s="41" customFormat="1" ht="12.75" x14ac:dyDescent="0.2">
      <c r="A72" s="33"/>
      <c r="B72" s="33"/>
      <c r="C72" s="33"/>
      <c r="D72" s="34"/>
      <c r="E72" s="35"/>
      <c r="F72" s="35"/>
      <c r="G72" s="36"/>
      <c r="H72" s="33"/>
      <c r="I72" s="33"/>
      <c r="J72" s="40"/>
      <c r="K72" s="38"/>
      <c r="L72" s="39"/>
      <c r="M72" s="40"/>
      <c r="N72" s="2"/>
      <c r="O72" s="41">
        <f>Table13895845679910111213[[#This Row],[Change]]*Table13895845679910111213[[#This Row],[Last price]]</f>
        <v>0</v>
      </c>
    </row>
    <row r="73" spans="1:16" s="41" customFormat="1" ht="12.75" x14ac:dyDescent="0.2">
      <c r="A73" s="33"/>
      <c r="B73" s="33"/>
      <c r="C73" s="33"/>
      <c r="D73" s="34"/>
      <c r="E73" s="35"/>
      <c r="F73" s="35"/>
      <c r="G73" s="36"/>
      <c r="H73" s="33"/>
      <c r="I73" s="33"/>
      <c r="J73" s="40"/>
      <c r="K73" s="38"/>
      <c r="L73" s="39"/>
      <c r="M73" s="40"/>
      <c r="N73" s="2"/>
      <c r="O73" s="15">
        <f>Table13895845679910111213[[#This Row],[Change]]*Table13895845679910111213[[#This Row],[Last price]]</f>
        <v>0</v>
      </c>
      <c r="P73" s="15"/>
    </row>
    <row r="74" spans="1:16" s="15" customFormat="1" ht="12.75" x14ac:dyDescent="0.2">
      <c r="A74" s="47" t="s">
        <v>206</v>
      </c>
      <c r="B74" s="65"/>
      <c r="C74" s="65"/>
      <c r="D74" s="72">
        <f>SUM(D57:D73)</f>
        <v>1.4999999999999998E-2</v>
      </c>
      <c r="E74" s="49">
        <f>SUM(E56:E73)</f>
        <v>839909.72744249983</v>
      </c>
      <c r="F74" s="70"/>
      <c r="G74" s="70"/>
      <c r="H74" s="65"/>
      <c r="I74" s="65"/>
      <c r="J74" s="47"/>
      <c r="K74" s="49">
        <f>SUM(K56:K73)</f>
        <v>1039915.5</v>
      </c>
      <c r="L74" s="53">
        <f>'Aug 28'!$K74/$K$2</f>
        <v>1.8419131979445606E-2</v>
      </c>
      <c r="M74" s="50"/>
      <c r="O74" s="2">
        <f>Table13895845679910111213[[#This Row],[Change]]*Table13895845679910111213[[#This Row],[Last price]]</f>
        <v>0</v>
      </c>
      <c r="P74" s="2"/>
    </row>
    <row r="75" spans="1:16" x14ac:dyDescent="0.25">
      <c r="A75" s="33"/>
      <c r="B75" s="60"/>
      <c r="C75" s="60"/>
      <c r="D75" s="73"/>
      <c r="E75" s="35"/>
      <c r="F75" s="35"/>
      <c r="G75" s="36"/>
      <c r="H75" s="60"/>
      <c r="I75" s="60"/>
      <c r="J75" s="33"/>
      <c r="K75" s="33"/>
      <c r="L75" s="39"/>
      <c r="M75" s="62"/>
      <c r="O75" s="2">
        <f>Table13895845679910111213[[#This Row],[Change]]*Table13895845679910111213[[#This Row],[Last price]]</f>
        <v>0</v>
      </c>
    </row>
    <row r="76" spans="1:16" x14ac:dyDescent="0.25">
      <c r="A76" s="33"/>
      <c r="B76" s="60"/>
      <c r="C76" s="60"/>
      <c r="D76" s="74"/>
      <c r="E76" s="63"/>
      <c r="F76" s="35"/>
      <c r="G76" s="36"/>
      <c r="H76" s="60"/>
      <c r="I76" s="60"/>
      <c r="J76" s="33"/>
      <c r="K76" s="33"/>
      <c r="L76" s="39"/>
      <c r="M76" s="62"/>
      <c r="O76" s="15">
        <f>Table13895845679910111213[[#This Row],[Change]]*Table13895845679910111213[[#This Row],[Last price]]</f>
        <v>0</v>
      </c>
      <c r="P76" s="15"/>
    </row>
    <row r="77" spans="1:16" s="15" customFormat="1" ht="12.75" x14ac:dyDescent="0.2">
      <c r="A77" s="47" t="s">
        <v>207</v>
      </c>
      <c r="B77" s="65"/>
      <c r="C77" s="65"/>
      <c r="D77" s="65"/>
      <c r="E77" s="75"/>
      <c r="F77" s="75"/>
      <c r="G77" s="47"/>
      <c r="H77" s="65"/>
      <c r="I77" s="65"/>
      <c r="J77" s="65"/>
      <c r="K77" s="75">
        <f>SUM(K31,K33,K43,K54,K74)</f>
        <v>56458442.295786187</v>
      </c>
      <c r="L77" s="53">
        <f>'Aug 28'!$K77/$K$2</f>
        <v>0.99999999999999989</v>
      </c>
      <c r="M77" s="65"/>
      <c r="O77" s="2">
        <f>Table13895845679910111213[[#This Row],[Change]]*Table13895845679910111213[[#This Row],[Last price]]</f>
        <v>0</v>
      </c>
      <c r="P77" s="2"/>
    </row>
    <row r="78" spans="1:16" x14ac:dyDescent="0.25">
      <c r="A78" s="62"/>
      <c r="B78" s="62"/>
      <c r="C78" s="62"/>
      <c r="D78" s="76"/>
      <c r="E78" s="77"/>
      <c r="F78" s="35"/>
      <c r="G78" s="218"/>
      <c r="H78" s="62"/>
      <c r="I78" s="62"/>
      <c r="J78" s="62"/>
      <c r="K78" s="62"/>
      <c r="L78" s="39"/>
      <c r="M78" s="62"/>
      <c r="O78" s="2">
        <f>Table13895845679910111213[[#This Row],[Change]]*Table13895845679910111213[[#This Row],[Last price]]</f>
        <v>0</v>
      </c>
    </row>
    <row r="79" spans="1:16" x14ac:dyDescent="0.25">
      <c r="A79" s="62"/>
      <c r="B79" s="62"/>
      <c r="C79" s="62"/>
      <c r="D79" s="76"/>
      <c r="E79" s="77"/>
      <c r="F79" s="35"/>
      <c r="G79" s="218"/>
      <c r="H79" s="62"/>
      <c r="I79" s="62"/>
      <c r="J79" s="62"/>
      <c r="K79" s="62"/>
      <c r="L79" s="39"/>
      <c r="M79" s="62"/>
      <c r="O79" s="2">
        <f>Table13895845679910111213[[#This Row],[Change]]*Table13895845679910111213[[#This Row],[Last price]]</f>
        <v>0</v>
      </c>
    </row>
    <row r="80" spans="1:16" x14ac:dyDescent="0.25">
      <c r="A80" s="62"/>
      <c r="B80" s="62"/>
      <c r="C80" s="62"/>
      <c r="D80" s="76"/>
      <c r="E80" s="77"/>
      <c r="F80" s="35"/>
      <c r="G80" s="218"/>
      <c r="H80" s="62"/>
      <c r="I80" s="62"/>
      <c r="J80" s="62"/>
      <c r="K80" s="62"/>
      <c r="L80" s="39"/>
      <c r="M80" s="62"/>
      <c r="O80" s="2">
        <f>Table13895845679910111213[[#This Row],[Change]]*Table13895845679910111213[[#This Row],[Last price]]</f>
        <v>0</v>
      </c>
    </row>
    <row r="81" spans="1:15" x14ac:dyDescent="0.25">
      <c r="A81" s="62"/>
      <c r="B81" s="62"/>
      <c r="C81" s="62"/>
      <c r="D81" s="76"/>
      <c r="E81" s="77"/>
      <c r="F81" s="35"/>
      <c r="G81" s="218"/>
      <c r="H81" s="62"/>
      <c r="I81" s="62"/>
      <c r="J81" s="62"/>
      <c r="K81" s="62"/>
      <c r="L81" s="39"/>
      <c r="M81" s="62"/>
      <c r="O81" s="2">
        <f>Table13895845679910111213[[#This Row],[Change]]*Table13895845679910111213[[#This Row],[Last price]]</f>
        <v>0</v>
      </c>
    </row>
    <row r="82" spans="1:15" x14ac:dyDescent="0.25">
      <c r="A82" s="62"/>
      <c r="B82" s="62"/>
      <c r="C82" s="62"/>
      <c r="D82" s="76"/>
      <c r="E82" s="77"/>
      <c r="F82" s="35"/>
      <c r="G82" s="218"/>
      <c r="H82" s="62"/>
      <c r="I82" s="62"/>
      <c r="J82" s="62"/>
      <c r="K82" s="62"/>
      <c r="L82" s="39"/>
      <c r="M82" s="62"/>
      <c r="O82" s="2">
        <f>Table13895845679910111213[[#This Row],[Change]]*Table13895845679910111213[[#This Row],[Last price]]</f>
        <v>0</v>
      </c>
    </row>
    <row r="83" spans="1:15" x14ac:dyDescent="0.25">
      <c r="A83" s="62"/>
      <c r="B83" s="62"/>
      <c r="C83" s="62"/>
      <c r="D83" s="76"/>
      <c r="E83" s="77"/>
      <c r="F83" s="35"/>
      <c r="G83" s="218"/>
      <c r="H83" s="62"/>
      <c r="I83" s="62"/>
      <c r="J83" s="62"/>
      <c r="K83" s="62"/>
      <c r="L83" s="39"/>
      <c r="M83" s="62"/>
      <c r="O83" s="2">
        <f>Table13895845679910111213[[#This Row],[Change]]*Table13895845679910111213[[#This Row],[Last price]]</f>
        <v>0</v>
      </c>
    </row>
    <row r="84" spans="1:15" x14ac:dyDescent="0.25">
      <c r="A84" s="62"/>
      <c r="B84" s="62"/>
      <c r="C84" s="62"/>
      <c r="D84" s="76"/>
      <c r="E84" s="77"/>
      <c r="F84" s="35"/>
      <c r="G84" s="218"/>
      <c r="H84" s="62"/>
      <c r="I84" s="62"/>
      <c r="J84" s="62"/>
      <c r="K84" s="62"/>
      <c r="L84" s="39"/>
      <c r="M84" s="62"/>
      <c r="O84" s="2">
        <f>Table13895845679910111213[[#This Row],[Change]]*Table13895845679910111213[[#This Row],[Last price]]</f>
        <v>0</v>
      </c>
    </row>
    <row r="85" spans="1:15" x14ac:dyDescent="0.25">
      <c r="A85" s="62"/>
      <c r="B85" s="62"/>
      <c r="C85" s="62"/>
      <c r="D85" s="76"/>
      <c r="E85" s="77"/>
      <c r="F85" s="35"/>
      <c r="G85" s="218"/>
      <c r="H85" s="62"/>
      <c r="I85" s="62"/>
      <c r="J85" s="62"/>
      <c r="K85" s="62"/>
      <c r="L85" s="39"/>
      <c r="M85" s="62"/>
      <c r="O85" s="2">
        <f>Table13895845679910111213[[#This Row],[Change]]*Table13895845679910111213[[#This Row],[Last price]]</f>
        <v>0</v>
      </c>
    </row>
    <row r="86" spans="1:15" x14ac:dyDescent="0.25">
      <c r="A86" s="62"/>
      <c r="B86" s="62"/>
      <c r="C86" s="62"/>
      <c r="D86" s="76"/>
      <c r="E86" s="77"/>
      <c r="F86" s="35"/>
      <c r="G86" s="218"/>
      <c r="H86" s="62"/>
      <c r="I86" s="62"/>
      <c r="J86" s="62"/>
      <c r="K86" s="62"/>
      <c r="L86" s="39"/>
      <c r="M86" s="62"/>
      <c r="O86" s="2">
        <f>Table13895845679910111213[[#This Row],[Change]]*Table13895845679910111213[[#This Row],[Last price]]</f>
        <v>0</v>
      </c>
    </row>
    <row r="87" spans="1:15" s="2" customFormat="1" ht="12.75" x14ac:dyDescent="0.2"/>
    <row r="88" spans="1:15" s="2" customFormat="1" ht="12.75" x14ac:dyDescent="0.2"/>
    <row r="90" spans="1:15" s="2" customFormat="1" ht="12.75" x14ac:dyDescent="0.2">
      <c r="A90" s="79"/>
      <c r="B90" s="79"/>
      <c r="E90" s="79"/>
      <c r="F90" s="79"/>
      <c r="G90" s="79"/>
      <c r="H90" s="80"/>
      <c r="M90" s="79"/>
    </row>
    <row r="91" spans="1:15" s="2" customFormat="1" ht="12.75" x14ac:dyDescent="0.2">
      <c r="A91" s="79"/>
      <c r="B91" s="79"/>
      <c r="E91" s="79"/>
      <c r="F91" s="79"/>
      <c r="G91" s="79"/>
      <c r="H91" s="80"/>
      <c r="M91" s="79"/>
    </row>
    <row r="92" spans="1:15" s="2" customFormat="1" ht="12.75" x14ac:dyDescent="0.2">
      <c r="A92" s="81"/>
      <c r="B92" s="81"/>
    </row>
    <row r="93" spans="1:15" s="2" customFormat="1" ht="12.75" x14ac:dyDescent="0.2">
      <c r="A93" s="82"/>
      <c r="B93" s="82"/>
      <c r="E93" s="82"/>
      <c r="F93" s="81"/>
      <c r="G93" s="81"/>
      <c r="M93" s="83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1"/>
  <sheetViews>
    <sheetView zoomScaleNormal="100" workbookViewId="0">
      <pane xSplit="2" topLeftCell="D1" activePane="topRight" state="frozen"/>
      <selection pane="topRight" activeCell="P6" sqref="P6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4" width="10.5703125" style="2" customWidth="1"/>
    <col min="15" max="15" width="12.5703125" style="2" bestFit="1" customWidth="1"/>
    <col min="16" max="16" width="14.7109375" style="2" bestFit="1" customWidth="1"/>
    <col min="17" max="18" width="10.85546875" style="2" customWidth="1"/>
    <col min="19" max="19" width="11.28515625" style="2" customWidth="1"/>
    <col min="20" max="1024" width="9.140625" style="2"/>
  </cols>
  <sheetData>
    <row r="1" spans="1:19" s="2" customFormat="1" ht="25.5" x14ac:dyDescent="0.2">
      <c r="A1" s="3"/>
      <c r="B1" s="3" t="s">
        <v>137</v>
      </c>
      <c r="C1" s="4">
        <v>44074</v>
      </c>
      <c r="D1" s="5"/>
      <c r="E1" s="6" t="s">
        <v>138</v>
      </c>
      <c r="F1" s="7"/>
      <c r="G1" s="8"/>
      <c r="K1" s="9" t="s">
        <v>139</v>
      </c>
      <c r="L1" s="9" t="s">
        <v>140</v>
      </c>
      <c r="M1" s="10" t="s">
        <v>141</v>
      </c>
    </row>
    <row r="2" spans="1:19" x14ac:dyDescent="0.25">
      <c r="A2" s="3"/>
      <c r="B2" s="3" t="s">
        <v>142</v>
      </c>
      <c r="C2" s="11">
        <v>7.38</v>
      </c>
      <c r="D2" s="12"/>
      <c r="E2" s="13">
        <f>SUM(E27,E39,E52,E72,E29)</f>
        <v>57868481.371534064</v>
      </c>
      <c r="F2" s="14"/>
      <c r="G2" s="15"/>
      <c r="H2" s="12"/>
      <c r="I2" s="12"/>
      <c r="J2" s="12"/>
      <c r="K2" s="13">
        <f>SUM(K27,K39,K52,K72,K29)</f>
        <v>58711687.706386276</v>
      </c>
      <c r="L2" s="16">
        <f>SUM(L52,L72,L39,L27,L29)</f>
        <v>1.0000000000000002</v>
      </c>
      <c r="M2" s="17">
        <f>K2/$C$6</f>
        <v>7.4875869912158919</v>
      </c>
      <c r="P2" s="18"/>
    </row>
    <row r="3" spans="1:19" ht="26.25" x14ac:dyDescent="0.25">
      <c r="A3" s="3"/>
      <c r="B3" s="3" t="s">
        <v>143</v>
      </c>
      <c r="C3" s="19">
        <v>7841202.75</v>
      </c>
      <c r="D3" s="20"/>
      <c r="E3" s="6" t="s">
        <v>144</v>
      </c>
      <c r="F3" s="14"/>
      <c r="G3" s="15"/>
      <c r="H3" s="12"/>
      <c r="I3" s="12"/>
      <c r="J3" s="12"/>
      <c r="K3" s="9" t="s">
        <v>139</v>
      </c>
      <c r="L3" s="12"/>
      <c r="M3" s="10" t="s">
        <v>145</v>
      </c>
      <c r="P3" s="21"/>
    </row>
    <row r="4" spans="1:19" x14ac:dyDescent="0.25">
      <c r="A4" s="3"/>
      <c r="B4" s="3" t="s">
        <v>146</v>
      </c>
      <c r="C4" s="19">
        <v>0</v>
      </c>
      <c r="D4" s="20"/>
      <c r="E4" s="13">
        <f>SUM(E27,E72,E29)</f>
        <v>11573846.731305182</v>
      </c>
      <c r="F4" s="14"/>
      <c r="G4" s="15"/>
      <c r="H4" s="12"/>
      <c r="I4" s="12"/>
      <c r="J4" s="12"/>
      <c r="K4" s="13">
        <f>SUM(K27,K29,K72)</f>
        <v>11747106.654783901</v>
      </c>
      <c r="L4" s="12"/>
      <c r="M4" s="17">
        <f>K4/$C$6</f>
        <v>1.4981256102303822</v>
      </c>
      <c r="P4" s="21"/>
    </row>
    <row r="5" spans="1:19" x14ac:dyDescent="0.25">
      <c r="A5" s="3"/>
      <c r="B5" s="3" t="s">
        <v>147</v>
      </c>
      <c r="C5" s="19">
        <v>0</v>
      </c>
      <c r="D5" s="20"/>
      <c r="E5" s="14"/>
      <c r="F5" s="14"/>
      <c r="G5" s="213">
        <f>SUM(D27,D29,D39,D52,D72)</f>
        <v>1.0000069999999999</v>
      </c>
      <c r="H5" s="12"/>
      <c r="I5" s="12"/>
      <c r="J5" s="12"/>
      <c r="K5" s="12"/>
      <c r="L5" s="12"/>
      <c r="M5" s="12"/>
      <c r="P5" s="21"/>
    </row>
    <row r="6" spans="1:19" x14ac:dyDescent="0.25">
      <c r="A6" s="3"/>
      <c r="B6" s="3" t="s">
        <v>148</v>
      </c>
      <c r="C6" s="19">
        <f>C3+C4-C5</f>
        <v>7841202.75</v>
      </c>
      <c r="D6" s="20"/>
      <c r="E6" s="14"/>
      <c r="F6" s="14"/>
      <c r="G6" s="15"/>
      <c r="H6" s="12"/>
      <c r="I6" s="12"/>
      <c r="J6" s="12"/>
      <c r="K6" s="12"/>
      <c r="L6" s="12"/>
      <c r="M6" s="12"/>
      <c r="P6" s="21"/>
    </row>
    <row r="7" spans="1:19" x14ac:dyDescent="0.25">
      <c r="A7" s="22"/>
      <c r="B7" s="23"/>
      <c r="C7" s="23"/>
      <c r="D7" s="24"/>
      <c r="E7" s="25"/>
      <c r="F7" s="25"/>
      <c r="G7" s="25"/>
      <c r="H7" s="26"/>
      <c r="I7" s="26"/>
      <c r="J7" s="26"/>
      <c r="K7" s="12"/>
      <c r="L7" s="12"/>
      <c r="M7" s="12"/>
      <c r="P7" s="219">
        <f>SUM(P9:P65)/2</f>
        <v>14701971.178548448</v>
      </c>
    </row>
    <row r="8" spans="1:19" s="30" customFormat="1" ht="38.25" x14ac:dyDescent="0.2">
      <c r="A8" s="27" t="s">
        <v>149</v>
      </c>
      <c r="B8" s="27" t="s">
        <v>150</v>
      </c>
      <c r="C8" s="28" t="s">
        <v>1</v>
      </c>
      <c r="D8" s="28" t="s">
        <v>151</v>
      </c>
      <c r="E8" s="28" t="s">
        <v>152</v>
      </c>
      <c r="F8" s="28" t="s">
        <v>153</v>
      </c>
      <c r="G8" s="28" t="s">
        <v>154</v>
      </c>
      <c r="H8" s="28" t="s">
        <v>155</v>
      </c>
      <c r="I8" s="28" t="s">
        <v>156</v>
      </c>
      <c r="J8" s="28" t="s">
        <v>157</v>
      </c>
      <c r="K8" s="29" t="s">
        <v>158</v>
      </c>
      <c r="L8" s="29" t="s">
        <v>159</v>
      </c>
      <c r="M8" s="29" t="s">
        <v>160</v>
      </c>
      <c r="N8" s="30" t="s">
        <v>250</v>
      </c>
      <c r="O8" s="30" t="s">
        <v>251</v>
      </c>
      <c r="P8" s="31"/>
      <c r="S8" s="32"/>
    </row>
    <row r="9" spans="1:19" s="41" customFormat="1" ht="12.75" x14ac:dyDescent="0.2">
      <c r="A9" s="33" t="s">
        <v>161</v>
      </c>
      <c r="B9" s="33" t="s">
        <v>41</v>
      </c>
      <c r="C9" s="33" t="s">
        <v>42</v>
      </c>
      <c r="D9" s="34">
        <v>1.0666999999999999E-2</v>
      </c>
      <c r="E9" s="35">
        <f>'Aug 31'!$D9*$C$6*$C$2</f>
        <v>617278.76983876503</v>
      </c>
      <c r="F9" s="35">
        <f>INDEX('TWS data'!M:M,MATCH(Table1389584567991011121314[[#This Row],[IB Ticker]],'TWS data'!B:B,0))</f>
        <v>525.79983726606997</v>
      </c>
      <c r="G9" s="36">
        <f>'Aug 31'!$E9/'Aug 31'!$F9</f>
        <v>1173.9805265980028</v>
      </c>
      <c r="H9" s="33">
        <f>INDEX('TWS data'!F:F,MATCH(Table1389584567991011121314[[#This Row],[IB Ticker]],'TWS data'!B:B,0))</f>
        <v>1229</v>
      </c>
      <c r="I9" s="33">
        <v>1174</v>
      </c>
      <c r="J9" s="37">
        <f t="shared" ref="J9:J24" si="0">I9-H9</f>
        <v>-55</v>
      </c>
      <c r="K9" s="38">
        <f>'Aug 31'!$F9*'Aug 31'!$I9</f>
        <v>617289.00895036617</v>
      </c>
      <c r="L9" s="39">
        <f>'Aug 31'!$K9/$K$2</f>
        <v>1.0513903331094697E-2</v>
      </c>
      <c r="M9" s="40"/>
      <c r="O9" s="2">
        <f>Table1389584567991011121314[[#This Row],[Change]]*Table1389584567991011121314[[#This Row],[Last price]]</f>
        <v>-28918.991049633849</v>
      </c>
      <c r="P9" s="42">
        <f>ABS(O9)</f>
        <v>28918.991049633849</v>
      </c>
    </row>
    <row r="10" spans="1:19" s="41" customFormat="1" ht="25.5" customHeight="1" x14ac:dyDescent="0.2">
      <c r="A10" s="33" t="s">
        <v>161</v>
      </c>
      <c r="B10" s="33" t="s">
        <v>47</v>
      </c>
      <c r="C10" s="33" t="s">
        <v>48</v>
      </c>
      <c r="D10" s="34">
        <v>1.0666999999999999E-2</v>
      </c>
      <c r="E10" s="35">
        <f>'Aug 31'!$D10*$C$6*$C$2</f>
        <v>617278.76983876503</v>
      </c>
      <c r="F10" s="35">
        <f>INDEX('TWS data'!M:M,MATCH(Table1389584567991011121314[[#This Row],[IB Ticker]],'TWS data'!B:B,0))</f>
        <v>600</v>
      </c>
      <c r="G10" s="36">
        <f>'Aug 31'!$E10/'Aug 31'!$F10</f>
        <v>1028.7979497312751</v>
      </c>
      <c r="H10" s="33">
        <f>INDEX('TWS data'!F:F,MATCH(Table1389584567991011121314[[#This Row],[IB Ticker]],'TWS data'!B:B,0))</f>
        <v>1010</v>
      </c>
      <c r="I10" s="33">
        <v>1029</v>
      </c>
      <c r="J10" s="37">
        <f t="shared" si="0"/>
        <v>19</v>
      </c>
      <c r="K10" s="38">
        <f>'Aug 31'!$F10*'Aug 31'!$I10</f>
        <v>617400</v>
      </c>
      <c r="L10" s="39">
        <f>'Aug 31'!$K10/$K$2</f>
        <v>1.0515793773253145E-2</v>
      </c>
      <c r="M10" s="40"/>
      <c r="O10" s="2">
        <f>Table1389584567991011121314[[#This Row],[Change]]*Table1389584567991011121314[[#This Row],[Last price]]</f>
        <v>11400</v>
      </c>
      <c r="P10" s="42">
        <f t="shared" ref="P10:P66" si="1">ABS(O10)</f>
        <v>11400</v>
      </c>
    </row>
    <row r="11" spans="1:19" s="41" customFormat="1" ht="12.75" customHeight="1" x14ac:dyDescent="0.2">
      <c r="A11" s="33" t="s">
        <v>161</v>
      </c>
      <c r="B11" s="33" t="s">
        <v>50</v>
      </c>
      <c r="C11" s="33" t="s">
        <v>51</v>
      </c>
      <c r="D11" s="34">
        <v>1.0666999999999999E-2</v>
      </c>
      <c r="E11" s="35">
        <f>'Aug 31'!$D11*$C$6*$C$2</f>
        <v>617278.76983876503</v>
      </c>
      <c r="F11" s="35">
        <f>INDEX('TWS data'!M:M,MATCH(Table1389584567991011121314[[#This Row],[IB Ticker]],'TWS data'!B:B,0))</f>
        <v>442.67985347985348</v>
      </c>
      <c r="G11" s="36">
        <f>'Aug 31'!$E11/'Aug 31'!$F11</f>
        <v>1394.4135134825096</v>
      </c>
      <c r="H11" s="33">
        <f>INDEX('TWS data'!F:F,MATCH(Table1389584567991011121314[[#This Row],[IB Ticker]],'TWS data'!B:B,0))</f>
        <v>1365</v>
      </c>
      <c r="I11" s="33">
        <v>1394</v>
      </c>
      <c r="J11" s="37">
        <f t="shared" si="0"/>
        <v>29</v>
      </c>
      <c r="K11" s="38">
        <f>'Aug 31'!$F11*'Aug 31'!$I11</f>
        <v>617095.7157509157</v>
      </c>
      <c r="L11" s="39">
        <f>'Aug 31'!$K11/$K$2</f>
        <v>1.0510611087130988E-2</v>
      </c>
      <c r="M11" s="40"/>
      <c r="O11" s="2">
        <f>Table1389584567991011121314[[#This Row],[Change]]*Table1389584567991011121314[[#This Row],[Last price]]</f>
        <v>12837.715750915751</v>
      </c>
      <c r="P11" s="42">
        <f t="shared" si="1"/>
        <v>12837.715750915751</v>
      </c>
    </row>
    <row r="12" spans="1:19" s="41" customFormat="1" ht="12.75" customHeight="1" x14ac:dyDescent="0.2">
      <c r="A12" s="33" t="s">
        <v>161</v>
      </c>
      <c r="B12" s="33" t="s">
        <v>35</v>
      </c>
      <c r="C12" s="33" t="s">
        <v>36</v>
      </c>
      <c r="D12" s="34">
        <v>1.0666999999999999E-2</v>
      </c>
      <c r="E12" s="35">
        <f>'Aug 31'!$D12*$C$6*$C$2</f>
        <v>617278.76983876503</v>
      </c>
      <c r="F12" s="35">
        <f>INDEX('TWS data'!M:M,MATCH(Table1389584567991011121314[[#This Row],[IB Ticker]],'TWS data'!B:B,0))</f>
        <v>79.799948704796108</v>
      </c>
      <c r="G12" s="36">
        <f>'Aug 31'!$E12/'Aug 31'!$F12</f>
        <v>7735.3279025562279</v>
      </c>
      <c r="H12" s="33">
        <f>INDEX('TWS data'!F:F,MATCH(Table1389584567991011121314[[#This Row],[IB Ticker]],'TWS data'!B:B,0))</f>
        <v>7798</v>
      </c>
      <c r="I12" s="33">
        <v>7735</v>
      </c>
      <c r="J12" s="37">
        <f t="shared" si="0"/>
        <v>-63</v>
      </c>
      <c r="K12" s="38">
        <f>'Aug 31'!$F12*'Aug 31'!$I12</f>
        <v>617252.60323159792</v>
      </c>
      <c r="L12" s="39">
        <f>'Aug 31'!$K12/$K$2</f>
        <v>1.0513283254919228E-2</v>
      </c>
      <c r="M12" s="40"/>
      <c r="O12" s="2">
        <f>Table1389584567991011121314[[#This Row],[Change]]*Table1389584567991011121314[[#This Row],[Last price]]</f>
        <v>-5027.3967684021545</v>
      </c>
      <c r="P12" s="42">
        <f t="shared" si="1"/>
        <v>5027.3967684021545</v>
      </c>
    </row>
    <row r="13" spans="1:19" s="44" customFormat="1" ht="12.75" customHeight="1" x14ac:dyDescent="0.2">
      <c r="A13" s="33" t="s">
        <v>161</v>
      </c>
      <c r="B13" s="33" t="s">
        <v>26</v>
      </c>
      <c r="C13" s="33" t="s">
        <v>27</v>
      </c>
      <c r="D13" s="34">
        <v>1.0666999999999999E-2</v>
      </c>
      <c r="E13" s="35">
        <f>'Aug 31'!$D13*$C$6*$C$2</f>
        <v>617278.76983876503</v>
      </c>
      <c r="F13" s="35">
        <f>INDEX('TWS data'!M:M,MATCH(Table1389584567991011121314[[#This Row],[IB Ticker]],'TWS data'!B:B,0))</f>
        <v>217.1698717948718</v>
      </c>
      <c r="G13" s="36">
        <f>'Aug 31'!$E13/'Aug 31'!$F13</f>
        <v>2842.3775578861919</v>
      </c>
      <c r="H13" s="33">
        <f>INDEX('TWS data'!F:F,MATCH(Table1389584567991011121314[[#This Row],[IB Ticker]],'TWS data'!B:B,0))</f>
        <v>2808</v>
      </c>
      <c r="I13" s="33">
        <v>2842</v>
      </c>
      <c r="J13" s="37">
        <f t="shared" si="0"/>
        <v>34</v>
      </c>
      <c r="K13" s="38">
        <f>'Aug 31'!$F13*'Aug 31'!$I13</f>
        <v>617196.77564102563</v>
      </c>
      <c r="L13" s="39">
        <f>'Aug 31'!$K13/$K$2</f>
        <v>1.0512332377968604E-2</v>
      </c>
      <c r="M13" s="33"/>
      <c r="O13" s="2">
        <f>Table1389584567991011121314[[#This Row],[Change]]*Table1389584567991011121314[[#This Row],[Last price]]</f>
        <v>7383.7756410256407</v>
      </c>
      <c r="P13" s="42">
        <f t="shared" si="1"/>
        <v>7383.7756410256407</v>
      </c>
    </row>
    <row r="14" spans="1:19" s="44" customFormat="1" ht="12.75" customHeight="1" x14ac:dyDescent="0.2">
      <c r="A14" s="33" t="s">
        <v>161</v>
      </c>
      <c r="B14" s="33" t="s">
        <v>29</v>
      </c>
      <c r="C14" s="33" t="s">
        <v>30</v>
      </c>
      <c r="D14" s="34">
        <v>1.0666999999999999E-2</v>
      </c>
      <c r="E14" s="35">
        <f>'Aug 31'!$D14*$C$6*$C$2</f>
        <v>617278.76983876503</v>
      </c>
      <c r="F14" s="35">
        <f>INDEX('TWS data'!M:M,MATCH(Table1389584567991011121314[[#This Row],[IB Ticker]],'TWS data'!B:B,0))</f>
        <v>216</v>
      </c>
      <c r="G14" s="36">
        <f>'Aug 31'!$E14/'Aug 31'!$F14</f>
        <v>2857.7720825868751</v>
      </c>
      <c r="H14" s="33">
        <f>INDEX('TWS data'!F:F,MATCH(Table1389584567991011121314[[#This Row],[IB Ticker]],'TWS data'!B:B,0))</f>
        <v>2876</v>
      </c>
      <c r="I14" s="33">
        <v>2858</v>
      </c>
      <c r="J14" s="37">
        <f t="shared" si="0"/>
        <v>-18</v>
      </c>
      <c r="K14" s="38">
        <f>'Aug 31'!$F14*'Aug 31'!$I14</f>
        <v>617328</v>
      </c>
      <c r="L14" s="39">
        <f>'Aug 31'!$K14/$K$2</f>
        <v>1.051456744161778E-2</v>
      </c>
      <c r="M14" s="33"/>
      <c r="O14" s="2">
        <f>Table1389584567991011121314[[#This Row],[Change]]*Table1389584567991011121314[[#This Row],[Last price]]</f>
        <v>-3888</v>
      </c>
      <c r="P14" s="42">
        <f t="shared" si="1"/>
        <v>3888</v>
      </c>
    </row>
    <row r="15" spans="1:19" s="44" customFormat="1" ht="12.75" customHeight="1" x14ac:dyDescent="0.2">
      <c r="A15" s="33" t="s">
        <v>161</v>
      </c>
      <c r="B15" s="33" t="s">
        <v>38</v>
      </c>
      <c r="C15" s="33" t="s">
        <v>39</v>
      </c>
      <c r="D15" s="34">
        <v>5.3330000000000001E-3</v>
      </c>
      <c r="E15" s="35">
        <f>'Aug 31'!$D15*$C$6*$C$2</f>
        <v>308610.45088123501</v>
      </c>
      <c r="F15" s="35">
        <f>INDEX('TWS data'!M:M,MATCH(Table1389584567991011121314[[#This Row],[IB Ticker]],'TWS data'!B:B,0))</f>
        <v>67.400043482987286</v>
      </c>
      <c r="G15" s="36">
        <f>'Aug 31'!$E15/'Aug 31'!$F15</f>
        <v>4578.7871184257119</v>
      </c>
      <c r="H15" s="33">
        <f>INDEX('TWS data'!F:F,MATCH(Table1389584567991011121314[[#This Row],[IB Ticker]],'TWS data'!B:B,0))</f>
        <v>9199</v>
      </c>
      <c r="I15" s="33">
        <v>4579</v>
      </c>
      <c r="J15" s="37">
        <f t="shared" si="0"/>
        <v>-4620</v>
      </c>
      <c r="K15" s="38">
        <f>'Aug 31'!$F15*'Aug 31'!$I15</f>
        <v>308624.79910859879</v>
      </c>
      <c r="L15" s="39">
        <f>'Aug 31'!$K15/$K$2</f>
        <v>5.2566160361802814E-3</v>
      </c>
      <c r="M15" s="33"/>
      <c r="O15" s="2">
        <f>Table1389584567991011121314[[#This Row],[Change]]*Table1389584567991011121314[[#This Row],[Last price]]</f>
        <v>-311388.20089140127</v>
      </c>
      <c r="P15" s="42">
        <f t="shared" si="1"/>
        <v>311388.20089140127</v>
      </c>
    </row>
    <row r="16" spans="1:19" s="44" customFormat="1" ht="12.75" customHeight="1" x14ac:dyDescent="0.2">
      <c r="A16" s="33" t="s">
        <v>161</v>
      </c>
      <c r="B16" s="33" t="s">
        <v>56</v>
      </c>
      <c r="C16" s="33" t="s">
        <v>57</v>
      </c>
      <c r="D16" s="34">
        <v>1.0666999999999999E-2</v>
      </c>
      <c r="E16" s="35">
        <f>'Aug 31'!$D16*$C$6*$C$2</f>
        <v>617278.76983876503</v>
      </c>
      <c r="F16" s="35">
        <f>INDEX('TWS data'!M:M,MATCH(Table1389584567991011121314[[#This Row],[IB Ticker]],'TWS data'!B:B,0))</f>
        <v>300.40009560229447</v>
      </c>
      <c r="G16" s="36">
        <f>'Aug 31'!$E16/'Aug 31'!$F16</f>
        <v>2054.8554373830575</v>
      </c>
      <c r="H16" s="33">
        <f>INDEX('TWS data'!F:F,MATCH(Table1389584567991011121314[[#This Row],[IB Ticker]],'TWS data'!B:B,0))</f>
        <v>2092</v>
      </c>
      <c r="I16" s="33">
        <v>2055</v>
      </c>
      <c r="J16" s="37">
        <f t="shared" si="0"/>
        <v>-37</v>
      </c>
      <c r="K16" s="38">
        <f>'Aug 31'!$F16*'Aug 31'!$I16</f>
        <v>617322.19646271516</v>
      </c>
      <c r="L16" s="39">
        <f>'Aug 31'!$K16/$K$2</f>
        <v>1.0514468593543205E-2</v>
      </c>
      <c r="M16" s="33"/>
      <c r="O16" s="2">
        <f>Table1389584567991011121314[[#This Row],[Change]]*Table1389584567991011121314[[#This Row],[Last price]]</f>
        <v>-11114.803537284895</v>
      </c>
      <c r="P16" s="42">
        <f t="shared" si="1"/>
        <v>11114.803537284895</v>
      </c>
    </row>
    <row r="17" spans="1:17" s="44" customFormat="1" ht="12.75" customHeight="1" x14ac:dyDescent="0.2">
      <c r="A17" s="33" t="s">
        <v>161</v>
      </c>
      <c r="B17" s="33" t="s">
        <v>20</v>
      </c>
      <c r="C17" s="33" t="s">
        <v>21</v>
      </c>
      <c r="D17" s="34">
        <v>1.0666999999999999E-2</v>
      </c>
      <c r="E17" s="35">
        <f>'Aug 31'!$D17*$C$6*$C$2</f>
        <v>617278.76983876503</v>
      </c>
      <c r="F17" s="35">
        <f>INDEX('TWS data'!M:M,MATCH(Table1389584567991011121314[[#This Row],[IB Ticker]],'TWS data'!B:B,0))</f>
        <v>3403</v>
      </c>
      <c r="G17" s="36">
        <f>'Aug 31'!$E17/'Aug 31'!$F17</f>
        <v>181.39252713451808</v>
      </c>
      <c r="H17" s="33">
        <f>INDEX('TWS data'!F:F,MATCH(Table1389584567991011121314[[#This Row],[IB Ticker]],'TWS data'!B:B,0))</f>
        <v>182</v>
      </c>
      <c r="I17" s="33">
        <v>181</v>
      </c>
      <c r="J17" s="37">
        <f t="shared" si="0"/>
        <v>-1</v>
      </c>
      <c r="K17" s="38">
        <f>'Aug 31'!$F17*'Aug 31'!$I17</f>
        <v>615943</v>
      </c>
      <c r="L17" s="39">
        <f>'Aug 31'!$K17/$K$2</f>
        <v>1.0490977590020833E-2</v>
      </c>
      <c r="M17" s="33"/>
      <c r="O17" s="2">
        <f>Table1389584567991011121314[[#This Row],[Change]]*Table1389584567991011121314[[#This Row],[Last price]]</f>
        <v>-3403</v>
      </c>
      <c r="P17" s="42">
        <f t="shared" si="1"/>
        <v>3403</v>
      </c>
    </row>
    <row r="18" spans="1:17" s="44" customFormat="1" ht="12.75" customHeight="1" x14ac:dyDescent="0.2">
      <c r="A18" s="33" t="s">
        <v>161</v>
      </c>
      <c r="B18" s="33" t="s">
        <v>44</v>
      </c>
      <c r="C18" s="33" t="s">
        <v>45</v>
      </c>
      <c r="D18" s="34">
        <v>1.0666999999999999E-2</v>
      </c>
      <c r="E18" s="35">
        <f>'Aug 31'!$D18*$C$6*$C$2</f>
        <v>617278.76983876503</v>
      </c>
      <c r="F18" s="35">
        <f>INDEX('TWS data'!M:M,MATCH(Table1389584567991011121314[[#This Row],[IB Ticker]],'TWS data'!B:B,0))</f>
        <v>204.61008569545155</v>
      </c>
      <c r="G18" s="36">
        <f>'Aug 31'!$E18/'Aug 31'!$F18</f>
        <v>3016.8540702218525</v>
      </c>
      <c r="H18" s="33">
        <f>INDEX('TWS data'!F:F,MATCH(Table1389584567991011121314[[#This Row],[IB Ticker]],'TWS data'!B:B,0))</f>
        <v>3034</v>
      </c>
      <c r="I18" s="33">
        <v>3017</v>
      </c>
      <c r="J18" s="37">
        <f t="shared" si="0"/>
        <v>-17</v>
      </c>
      <c r="K18" s="38">
        <f>'Aug 31'!$F18*'Aug 31'!$I18</f>
        <v>617308.62854317727</v>
      </c>
      <c r="L18" s="39">
        <f>'Aug 31'!$K18/$K$2</f>
        <v>1.0514237499529936E-2</v>
      </c>
      <c r="M18" s="33"/>
      <c r="O18" s="2">
        <f>Table1389584567991011121314[[#This Row],[Change]]*Table1389584567991011121314[[#This Row],[Last price]]</f>
        <v>-3478.3714568226765</v>
      </c>
      <c r="P18" s="42">
        <f t="shared" si="1"/>
        <v>3478.3714568226765</v>
      </c>
    </row>
    <row r="19" spans="1:17" s="44" customFormat="1" ht="12.75" customHeight="1" x14ac:dyDescent="0.2">
      <c r="A19" s="33" t="s">
        <v>161</v>
      </c>
      <c r="B19" s="33" t="s">
        <v>53</v>
      </c>
      <c r="C19" s="33" t="s">
        <v>54</v>
      </c>
      <c r="D19" s="34">
        <v>1.0666999999999999E-2</v>
      </c>
      <c r="E19" s="35">
        <f>'Aug 31'!$D19*$C$6*$C$2</f>
        <v>617278.76983876503</v>
      </c>
      <c r="F19" s="35">
        <f>INDEX('TWS data'!M:M,MATCH(Table1389584567991011121314[[#This Row],[IB Ticker]],'TWS data'!B:B,0))</f>
        <v>271.4719399027839</v>
      </c>
      <c r="G19" s="36">
        <f>'Aug 31'!$E19/'Aug 31'!$F19</f>
        <v>2273.8216334985382</v>
      </c>
      <c r="H19" s="33">
        <f>INDEX('TWS data'!F:F,MATCH(Table1389584567991011121314[[#This Row],[IB Ticker]],'TWS data'!B:B,0))</f>
        <v>2263</v>
      </c>
      <c r="I19" s="33">
        <v>2274</v>
      </c>
      <c r="J19" s="37">
        <f t="shared" si="0"/>
        <v>11</v>
      </c>
      <c r="K19" s="38">
        <f>'Aug 31'!$F19*'Aug 31'!$I19</f>
        <v>617327.19133893063</v>
      </c>
      <c r="L19" s="39">
        <f>'Aug 31'!$K19/$K$2</f>
        <v>1.0514553668192062E-2</v>
      </c>
      <c r="M19" s="33"/>
      <c r="O19" s="2">
        <f>Table1389584567991011121314[[#This Row],[Change]]*Table1389584567991011121314[[#This Row],[Last price]]</f>
        <v>2986.1913389306228</v>
      </c>
      <c r="P19" s="42">
        <f t="shared" si="1"/>
        <v>2986.1913389306228</v>
      </c>
    </row>
    <row r="20" spans="1:17" s="44" customFormat="1" ht="12.75" customHeight="1" x14ac:dyDescent="0.2">
      <c r="A20" s="33" t="s">
        <v>161</v>
      </c>
      <c r="B20" s="33" t="s">
        <v>11</v>
      </c>
      <c r="C20" s="33" t="s">
        <v>12</v>
      </c>
      <c r="D20" s="34">
        <v>5.3330000000000001E-3</v>
      </c>
      <c r="E20" s="35">
        <f>'Aug 31'!$D20*$C$6*$C$2</f>
        <v>308610.45088123501</v>
      </c>
      <c r="F20" s="35">
        <f>INDEX('TWS data'!M:M,MATCH(Table1389584567991011121314[[#This Row],[IB Ticker]],'TWS data'!B:B,0))</f>
        <v>303.06021073758154</v>
      </c>
      <c r="G20" s="36">
        <f>'Aug 31'!$E20/'Aug 31'!$F20</f>
        <v>1018.3139849673614</v>
      </c>
      <c r="H20" s="33">
        <f>INDEX('TWS data'!F:F,MATCH(Table1389584567991011121314[[#This Row],[IB Ticker]],'TWS data'!B:B,0))</f>
        <v>1993</v>
      </c>
      <c r="I20" s="33">
        <v>1018</v>
      </c>
      <c r="J20" s="37">
        <f t="shared" si="0"/>
        <v>-975</v>
      </c>
      <c r="K20" s="38">
        <f>'Aug 31'!$F20*'Aug 31'!$I20</f>
        <v>308515.29453085799</v>
      </c>
      <c r="L20" s="39">
        <f>'Aug 31'!$K20/$K$2</f>
        <v>5.2547509121816591E-3</v>
      </c>
      <c r="M20" s="33"/>
      <c r="O20" s="2">
        <f>Table1389584567991011121314[[#This Row],[Change]]*Table1389584567991011121314[[#This Row],[Last price]]</f>
        <v>-295483.70546914201</v>
      </c>
      <c r="P20" s="42">
        <f t="shared" si="1"/>
        <v>295483.70546914201</v>
      </c>
    </row>
    <row r="21" spans="1:17" s="44" customFormat="1" ht="12.75" customHeight="1" x14ac:dyDescent="0.2">
      <c r="A21" s="33" t="s">
        <v>161</v>
      </c>
      <c r="B21" s="33" t="s">
        <v>23</v>
      </c>
      <c r="C21" s="33" t="s">
        <v>24</v>
      </c>
      <c r="D21" s="34">
        <v>1.0666999999999999E-2</v>
      </c>
      <c r="E21" s="35">
        <f>'Aug 31'!$D21*$C$6*$C$2</f>
        <v>617278.76983876503</v>
      </c>
      <c r="F21" s="35">
        <f>INDEX('TWS data'!M:M,MATCH(Table1389584567991011121314[[#This Row],[IB Ticker]],'TWS data'!B:B,0))</f>
        <v>218.55</v>
      </c>
      <c r="G21" s="36">
        <f>'Aug 31'!$E21/'Aug 31'!$F21</f>
        <v>2824.4281392759781</v>
      </c>
      <c r="H21" s="33">
        <f>INDEX('TWS data'!F:F,MATCH(Table1389584567991011121314[[#This Row],[IB Ticker]],'TWS data'!B:B,0))</f>
        <v>2840</v>
      </c>
      <c r="I21" s="33">
        <v>2824</v>
      </c>
      <c r="J21" s="37">
        <f t="shared" si="0"/>
        <v>-16</v>
      </c>
      <c r="K21" s="38">
        <f>'Aug 31'!$F21*'Aug 31'!$I21</f>
        <v>617185.20000000007</v>
      </c>
      <c r="L21" s="39">
        <f>'Aug 31'!$K21/$K$2</f>
        <v>1.0512135217207641E-2</v>
      </c>
      <c r="M21" s="33"/>
      <c r="O21" s="2">
        <f>Table1389584567991011121314[[#This Row],[Change]]*Table1389584567991011121314[[#This Row],[Last price]]</f>
        <v>-3496.8</v>
      </c>
      <c r="P21" s="42">
        <f t="shared" si="1"/>
        <v>3496.8</v>
      </c>
    </row>
    <row r="22" spans="1:17" s="44" customFormat="1" ht="12.75" customHeight="1" x14ac:dyDescent="0.2">
      <c r="A22" s="33" t="s">
        <v>161</v>
      </c>
      <c r="B22" s="33" t="s">
        <v>17</v>
      </c>
      <c r="C22" s="33" t="s">
        <v>18</v>
      </c>
      <c r="D22" s="34">
        <v>1.0666999999999999E-2</v>
      </c>
      <c r="E22" s="35">
        <f>'Aug 31'!$D22*$C$6*$C$2</f>
        <v>617278.76983876503</v>
      </c>
      <c r="F22" s="35">
        <f>INDEX('TWS data'!M:M,MATCH(Table1389584567991011121314[[#This Row],[IB Ticker]],'TWS data'!B:B,0))</f>
        <v>85.4</v>
      </c>
      <c r="G22" s="36">
        <f>'Aug 31'!$E22/'Aug 31'!$F22</f>
        <v>7228.0886397981849</v>
      </c>
      <c r="H22" s="33">
        <f>INDEX('TWS data'!F:F,MATCH(Table1389584567991011121314[[#This Row],[IB Ticker]],'TWS data'!B:B,0))</f>
        <v>7405</v>
      </c>
      <c r="I22" s="33">
        <v>7228</v>
      </c>
      <c r="J22" s="37">
        <f t="shared" si="0"/>
        <v>-177</v>
      </c>
      <c r="K22" s="38">
        <f>'Aug 31'!$F22*'Aug 31'!$I22</f>
        <v>617271.20000000007</v>
      </c>
      <c r="L22" s="39">
        <f>'Aug 31'!$K22/$K$2</f>
        <v>1.051360000221655E-2</v>
      </c>
      <c r="M22" s="33"/>
      <c r="O22" s="2">
        <f>Table1389584567991011121314[[#This Row],[Change]]*Table1389584567991011121314[[#This Row],[Last price]]</f>
        <v>-15115.800000000001</v>
      </c>
      <c r="P22" s="42">
        <f t="shared" si="1"/>
        <v>15115.800000000001</v>
      </c>
    </row>
    <row r="23" spans="1:17" s="44" customFormat="1" ht="12.75" customHeight="1" x14ac:dyDescent="0.2">
      <c r="A23" s="33" t="s">
        <v>161</v>
      </c>
      <c r="B23" s="33" t="s">
        <v>59</v>
      </c>
      <c r="C23" s="33" t="s">
        <v>60</v>
      </c>
      <c r="D23" s="34">
        <v>1.0666999999999999E-2</v>
      </c>
      <c r="E23" s="35">
        <f>'Aug 31'!$D23*$C$6*$C$2</f>
        <v>617278.76983876503</v>
      </c>
      <c r="F23" s="35">
        <f>INDEX('TWS data'!M:M,MATCH(Table1389584567991011121314[[#This Row],[IB Ticker]],'TWS data'!B:B,0))</f>
        <v>54.11</v>
      </c>
      <c r="G23" s="36">
        <f>'Aug 31'!$E23/'Aug 31'!$F23</f>
        <v>11407.850117145907</v>
      </c>
      <c r="H23" s="33">
        <f>INDEX('TWS data'!F:F,MATCH(Table1389584567991011121314[[#This Row],[IB Ticker]],'TWS data'!B:B,0))</f>
        <v>0</v>
      </c>
      <c r="I23" s="33">
        <v>11409</v>
      </c>
      <c r="J23" s="37">
        <f t="shared" si="0"/>
        <v>11409</v>
      </c>
      <c r="K23" s="38">
        <f>'Aug 31'!$F23*'Aug 31'!$I23</f>
        <v>617340.99</v>
      </c>
      <c r="L23" s="39">
        <f>'Aug 31'!$K23/$K$2</f>
        <v>1.051478869228366E-2</v>
      </c>
      <c r="M23" s="33"/>
      <c r="O23" s="2">
        <f>Table1389584567991011121314[[#This Row],[Change]]*Table1389584567991011121314[[#This Row],[Last price]]</f>
        <v>617340.99</v>
      </c>
      <c r="P23" s="42">
        <f t="shared" si="1"/>
        <v>617340.99</v>
      </c>
    </row>
    <row r="24" spans="1:17" s="44" customFormat="1" ht="12.75" customHeight="1" x14ac:dyDescent="0.2">
      <c r="A24" s="33" t="s">
        <v>161</v>
      </c>
      <c r="B24" s="33" t="s">
        <v>61</v>
      </c>
      <c r="C24" s="33" t="s">
        <v>62</v>
      </c>
      <c r="D24" s="34">
        <v>1.0666999999999999E-2</v>
      </c>
      <c r="E24" s="35">
        <f>'Aug 31'!$D24*$C$6*$C$2</f>
        <v>617278.76983876503</v>
      </c>
      <c r="F24" s="35">
        <f>INDEX('TWS data'!M:M,MATCH(Table1389584567991011121314[[#This Row],[IB Ticker]],'TWS data'!B:B,0))</f>
        <v>127</v>
      </c>
      <c r="G24" s="36">
        <f>'Aug 31'!$E24/'Aug 31'!$F24</f>
        <v>4860.4627546359452</v>
      </c>
      <c r="H24" s="33">
        <f>INDEX('TWS data'!F:F,MATCH(Table1389584567991011121314[[#This Row],[IB Ticker]],'TWS data'!B:B,0))</f>
        <v>0</v>
      </c>
      <c r="I24" s="33">
        <v>4860</v>
      </c>
      <c r="J24" s="37">
        <f t="shared" si="0"/>
        <v>4860</v>
      </c>
      <c r="K24" s="38">
        <f>'Aug 31'!$F24*'Aug 31'!$I24</f>
        <v>617220</v>
      </c>
      <c r="L24" s="39">
        <f>'Aug 31'!$K24/$K$2</f>
        <v>1.0512727944164732E-2</v>
      </c>
      <c r="M24" s="33"/>
      <c r="O24" s="2">
        <f>Table1389584567991011121314[[#This Row],[Change]]*Table1389584567991011121314[[#This Row],[Last price]]</f>
        <v>617220</v>
      </c>
      <c r="P24" s="42">
        <f t="shared" si="1"/>
        <v>617220</v>
      </c>
    </row>
    <row r="25" spans="1:17" s="44" customFormat="1" ht="12.75" customHeight="1" x14ac:dyDescent="0.2">
      <c r="A25" s="33"/>
      <c r="B25" s="33"/>
      <c r="C25" s="33"/>
      <c r="D25" s="34"/>
      <c r="E25" s="35"/>
      <c r="F25" s="35"/>
      <c r="G25" s="36"/>
      <c r="H25" s="33"/>
      <c r="I25" s="33"/>
      <c r="J25" s="37"/>
      <c r="K25" s="38"/>
      <c r="L25" s="39"/>
      <c r="M25" s="33"/>
      <c r="O25" s="2">
        <f>Table1389584567991011121314[[#This Row],[Change]]*Table1389584567991011121314[[#This Row],[Last price]]</f>
        <v>0</v>
      </c>
      <c r="P25" s="42">
        <f t="shared" si="1"/>
        <v>0</v>
      </c>
    </row>
    <row r="26" spans="1:17" s="44" customFormat="1" ht="12.75" customHeight="1" x14ac:dyDescent="0.2">
      <c r="A26" s="33"/>
      <c r="B26" s="33"/>
      <c r="C26" s="33"/>
      <c r="D26" s="34"/>
      <c r="E26" s="35"/>
      <c r="F26" s="35"/>
      <c r="G26" s="36"/>
      <c r="H26" s="33"/>
      <c r="I26" s="33"/>
      <c r="J26" s="45"/>
      <c r="K26" s="35"/>
      <c r="L26" s="46"/>
      <c r="M26" s="33"/>
      <c r="O26" s="2">
        <f>Table1389584567991011121314[[#This Row],[Change]]*Table1389584567991011121314[[#This Row],[Last price]]</f>
        <v>0</v>
      </c>
      <c r="P26" s="42">
        <f t="shared" si="1"/>
        <v>0</v>
      </c>
    </row>
    <row r="27" spans="1:17" s="54" customFormat="1" ht="12.75" customHeight="1" x14ac:dyDescent="0.2">
      <c r="A27" s="47" t="s">
        <v>177</v>
      </c>
      <c r="B27" s="47"/>
      <c r="C27" s="47"/>
      <c r="D27" s="48">
        <f>SUM(D9:D26)</f>
        <v>0.16000400000000001</v>
      </c>
      <c r="E27" s="49">
        <f>'Aug 31'!$D27*$C$6*$C$2</f>
        <v>9259123.6795051806</v>
      </c>
      <c r="F27" s="51"/>
      <c r="G27" s="51"/>
      <c r="H27" s="47"/>
      <c r="I27" s="47"/>
      <c r="J27" s="52"/>
      <c r="K27" s="49">
        <f>SUM(K9:K26)</f>
        <v>9257620.6035581864</v>
      </c>
      <c r="L27" s="53">
        <f>'Aug 31'!$K27/$K$2</f>
        <v>0.15767934742150502</v>
      </c>
      <c r="M27" s="47"/>
      <c r="O27" s="2">
        <f>Table1389584567991011121314[[#This Row],[Change]]*Table1389584567991011121314[[#This Row],[Last price]]</f>
        <v>0</v>
      </c>
      <c r="P27" s="42">
        <f t="shared" si="1"/>
        <v>0</v>
      </c>
    </row>
    <row r="28" spans="1:17" s="44" customFormat="1" ht="12.75" customHeight="1" x14ac:dyDescent="0.2">
      <c r="A28" s="33"/>
      <c r="B28" s="33"/>
      <c r="C28" s="33"/>
      <c r="D28" s="34"/>
      <c r="E28" s="35"/>
      <c r="F28" s="35"/>
      <c r="G28" s="36"/>
      <c r="H28" s="33"/>
      <c r="I28" s="33"/>
      <c r="J28" s="45"/>
      <c r="K28" s="35"/>
      <c r="L28" s="39"/>
      <c r="M28" s="33"/>
      <c r="O28" s="2">
        <f>Table1389584567991011121314[[#This Row],[Change]]*Table1389584567991011121314[[#This Row],[Last price]]</f>
        <v>0</v>
      </c>
      <c r="P28" s="42">
        <f t="shared" si="1"/>
        <v>0</v>
      </c>
    </row>
    <row r="29" spans="1:17" s="41" customFormat="1" ht="12.75" customHeight="1" x14ac:dyDescent="0.2">
      <c r="A29" s="55"/>
      <c r="B29" s="47" t="s">
        <v>32</v>
      </c>
      <c r="C29" s="55" t="s">
        <v>33</v>
      </c>
      <c r="D29" s="56">
        <v>2.5000000000000001E-2</v>
      </c>
      <c r="E29" s="57">
        <f>'Aug 31'!$D29*$C$6*$C$2</f>
        <v>1446701.907375</v>
      </c>
      <c r="F29" s="51">
        <f>INDEX('TWS data'!M:M,MATCH(Table1389584567991011121314[[#This Row],[IB Ticker]],'TWS data'!B:B,0))</f>
        <v>18.749903460765122</v>
      </c>
      <c r="G29" s="58">
        <f>'Aug 31'!$E29/'Aug 31'!$F29</f>
        <v>77157.832327098542</v>
      </c>
      <c r="H29" s="55">
        <f>INDEX('TWS data'!F:F,MATCH(Table1389584567991011121314[[#This Row],[IB Ticker]],'TWS data'!B:B,0))</f>
        <v>75099</v>
      </c>
      <c r="I29" s="55">
        <v>77158</v>
      </c>
      <c r="J29" s="59">
        <f>I29-H29</f>
        <v>2059</v>
      </c>
      <c r="K29" s="50">
        <f>'Aug 31'!$F29*'Aug 31'!$I29</f>
        <v>1446705.0512257153</v>
      </c>
      <c r="L29" s="53">
        <f>'Aug 31'!$K29/$K$2</f>
        <v>2.4640835713335356E-2</v>
      </c>
      <c r="M29" s="47"/>
      <c r="O29" s="2">
        <f>Table1389584567991011121314[[#This Row],[Change]]*Table1389584567991011121314[[#This Row],[Last price]]</f>
        <v>38606.051225715382</v>
      </c>
      <c r="P29" s="42">
        <f t="shared" si="1"/>
        <v>38606.051225715382</v>
      </c>
      <c r="Q29" s="42"/>
    </row>
    <row r="30" spans="1:17" s="41" customFormat="1" ht="12.75" customHeight="1" x14ac:dyDescent="0.2">
      <c r="A30" s="33"/>
      <c r="B30" s="33"/>
      <c r="C30" s="33"/>
      <c r="D30" s="34"/>
      <c r="E30" s="35"/>
      <c r="F30" s="35"/>
      <c r="G30" s="36"/>
      <c r="H30" s="33"/>
      <c r="I30" s="33"/>
      <c r="J30" s="45"/>
      <c r="K30" s="38"/>
      <c r="L30" s="39"/>
      <c r="M30" s="33"/>
      <c r="O30" s="2">
        <f>Table1389584567991011121314[[#This Row],[Change]]*Table1389584567991011121314[[#This Row],[Last price]]</f>
        <v>0</v>
      </c>
      <c r="P30" s="42">
        <f t="shared" si="1"/>
        <v>0</v>
      </c>
      <c r="Q30" s="42"/>
    </row>
    <row r="31" spans="1:17" ht="26.25" x14ac:dyDescent="0.25">
      <c r="A31" s="33" t="s">
        <v>178</v>
      </c>
      <c r="B31" s="214" t="s">
        <v>105</v>
      </c>
      <c r="C31" s="60" t="s">
        <v>106</v>
      </c>
      <c r="D31" s="34">
        <v>0.03</v>
      </c>
      <c r="E31" s="35">
        <f>'Aug 31'!$D31*$C$6*$C$2</f>
        <v>1736042.2888499999</v>
      </c>
      <c r="F31" s="35">
        <f>INDEX('TWS data'!M:M,MATCH(Table1389584567991011121314[[#This Row],[IB Ticker]],'TWS data'!B:B,0))</f>
        <v>158876.33333333334</v>
      </c>
      <c r="G31" s="36">
        <f>'Aug 31'!$E31/'Aug 31'!$F31</f>
        <v>10.927003742008983</v>
      </c>
      <c r="H31" s="33">
        <f>INDEX('TWS data'!F:F,MATCH(Table1389584567991011121314[[#This Row],[IB Ticker]],'TWS data'!B:B,0))</f>
        <v>12</v>
      </c>
      <c r="I31" s="33">
        <v>11</v>
      </c>
      <c r="J31" s="37">
        <f t="shared" ref="J31:J37" si="2">I31-H31</f>
        <v>-1</v>
      </c>
      <c r="K31" s="38">
        <f>'Aug 31'!$F31*'Aug 31'!$I31</f>
        <v>1747639.6666666667</v>
      </c>
      <c r="L31" s="39">
        <f>'Aug 31'!$K31/$K$2</f>
        <v>2.976646958960728E-2</v>
      </c>
      <c r="M31" s="62"/>
      <c r="O31" s="2">
        <f>Table1389584567991011121314[[#This Row],[Change]]*Table1389584567991011121314[[#This Row],[Last price]]</f>
        <v>-158876.33333333334</v>
      </c>
      <c r="P31" s="42">
        <f t="shared" si="1"/>
        <v>158876.33333333334</v>
      </c>
    </row>
    <row r="32" spans="1:17" ht="26.25" x14ac:dyDescent="0.25">
      <c r="A32" s="33" t="s">
        <v>178</v>
      </c>
      <c r="B32" s="214" t="s">
        <v>109</v>
      </c>
      <c r="C32" s="60" t="s">
        <v>110</v>
      </c>
      <c r="D32" s="34">
        <v>0.03</v>
      </c>
      <c r="E32" s="35">
        <f>'Aug 31'!$D32*$C$6*$C$2</f>
        <v>1736042.2888499999</v>
      </c>
      <c r="F32" s="35">
        <f>INDEX('TWS data'!M:M,MATCH(Table1389584567991011121314[[#This Row],[IB Ticker]],'TWS data'!B:B,0))</f>
        <v>218230.66666666666</v>
      </c>
      <c r="G32" s="36">
        <f>'Aug 31'!$E32/'Aug 31'!$F32</f>
        <v>7.9550794366664022</v>
      </c>
      <c r="H32" s="33">
        <f>INDEX('TWS data'!F:F,MATCH(Table1389584567991011121314[[#This Row],[IB Ticker]],'TWS data'!B:B,0))</f>
        <v>9</v>
      </c>
      <c r="I32" s="33">
        <v>8</v>
      </c>
      <c r="J32" s="37">
        <f t="shared" si="2"/>
        <v>-1</v>
      </c>
      <c r="K32" s="38">
        <f>'Aug 31'!$F32*'Aug 31'!$I32</f>
        <v>1745845.3333333333</v>
      </c>
      <c r="L32" s="39">
        <f>'Aug 31'!$K32/$K$2</f>
        <v>2.973590781556483E-2</v>
      </c>
      <c r="M32" s="62"/>
      <c r="O32" s="2">
        <f>Table1389584567991011121314[[#This Row],[Change]]*Table1389584567991011121314[[#This Row],[Last price]]</f>
        <v>-218230.66666666666</v>
      </c>
      <c r="P32" s="42">
        <f t="shared" si="1"/>
        <v>218230.66666666666</v>
      </c>
    </row>
    <row r="33" spans="1:17" ht="26.25" x14ac:dyDescent="0.25">
      <c r="A33" s="33" t="s">
        <v>178</v>
      </c>
      <c r="B33" s="214" t="s">
        <v>112</v>
      </c>
      <c r="C33" s="60" t="s">
        <v>113</v>
      </c>
      <c r="D33" s="34">
        <v>0.03</v>
      </c>
      <c r="E33" s="35">
        <f>'Aug 31'!$D33*$C$6*$C$2</f>
        <v>1736042.2888499999</v>
      </c>
      <c r="F33" s="35">
        <f>INDEX('TWS data'!M:M,MATCH(Table1389584567991011121314[[#This Row],[IB Ticker]],'TWS data'!B:B,0))</f>
        <v>174718.72727272726</v>
      </c>
      <c r="G33" s="36">
        <f>'Aug 31'!$E33/'Aug 31'!$F33</f>
        <v>9.9362118528949903</v>
      </c>
      <c r="H33" s="33">
        <f>INDEX('TWS data'!F:F,MATCH(Table1389584567991011121314[[#This Row],[IB Ticker]],'TWS data'!B:B,0))</f>
        <v>11</v>
      </c>
      <c r="I33" s="33">
        <v>10</v>
      </c>
      <c r="J33" s="37">
        <f t="shared" si="2"/>
        <v>-1</v>
      </c>
      <c r="K33" s="38">
        <f>'Aug 31'!$F33*'Aug 31'!$I33</f>
        <v>1747187.2727272727</v>
      </c>
      <c r="L33" s="39">
        <f>'Aug 31'!$K33/$K$2</f>
        <v>2.9758764242391638E-2</v>
      </c>
      <c r="M33" s="62"/>
      <c r="O33" s="2">
        <f>Table1389584567991011121314[[#This Row],[Change]]*Table1389584567991011121314[[#This Row],[Last price]]</f>
        <v>-174718.72727272726</v>
      </c>
      <c r="P33" s="42">
        <f t="shared" si="1"/>
        <v>174718.72727272726</v>
      </c>
    </row>
    <row r="34" spans="1:17" ht="26.25" x14ac:dyDescent="0.25">
      <c r="A34" s="33" t="s">
        <v>178</v>
      </c>
      <c r="B34" s="214" t="s">
        <v>115</v>
      </c>
      <c r="C34" s="60" t="s">
        <v>116</v>
      </c>
      <c r="D34" s="34">
        <v>0.03</v>
      </c>
      <c r="E34" s="35">
        <f>'Aug 31'!$D34*$C$6*$C$2</f>
        <v>1736042.2888499999</v>
      </c>
      <c r="F34" s="35">
        <f>INDEX('TWS data'!M:M,MATCH(Table1389584567991011121314[[#This Row],[IB Ticker]],'TWS data'!B:B,0))</f>
        <v>125954.66666666667</v>
      </c>
      <c r="G34" s="36">
        <f>'Aug 31'!$E34/'Aug 31'!$F34</f>
        <v>13.783072392580397</v>
      </c>
      <c r="H34" s="33">
        <f>INDEX('TWS data'!F:F,MATCH(Table1389584567991011121314[[#This Row],[IB Ticker]],'TWS data'!B:B,0))</f>
        <v>15</v>
      </c>
      <c r="I34" s="33">
        <v>14</v>
      </c>
      <c r="J34" s="37">
        <f t="shared" si="2"/>
        <v>-1</v>
      </c>
      <c r="K34" s="38">
        <f>'Aug 31'!$F34*'Aug 31'!$I34</f>
        <v>1763365.3333333335</v>
      </c>
      <c r="L34" s="39">
        <f>'Aug 31'!$K34/$K$2</f>
        <v>3.003431518017027E-2</v>
      </c>
      <c r="M34" s="62"/>
      <c r="O34" s="2">
        <f>Table1389584567991011121314[[#This Row],[Change]]*Table1389584567991011121314[[#This Row],[Last price]]</f>
        <v>-125954.66666666667</v>
      </c>
      <c r="P34" s="42">
        <f t="shared" si="1"/>
        <v>125954.66666666667</v>
      </c>
    </row>
    <row r="35" spans="1:17" ht="26.25" x14ac:dyDescent="0.25">
      <c r="A35" s="33" t="s">
        <v>178</v>
      </c>
      <c r="B35" s="214" t="s">
        <v>118</v>
      </c>
      <c r="C35" s="60" t="s">
        <v>119</v>
      </c>
      <c r="D35" s="34">
        <v>0.03</v>
      </c>
      <c r="E35" s="35">
        <f>'Aug 31'!$D35*$C$6*$C$2</f>
        <v>1736042.2888499999</v>
      </c>
      <c r="F35" s="35">
        <f>INDEX('TWS data'!M:M,MATCH(Table1389584567991011121314[[#This Row],[IB Ticker]],'TWS data'!B:B,0))</f>
        <v>139046.85714285713</v>
      </c>
      <c r="G35" s="36">
        <f>'Aug 31'!$E35/'Aug 31'!$F35</f>
        <v>12.485304051614667</v>
      </c>
      <c r="H35" s="33">
        <f>INDEX('TWS data'!F:F,MATCH(Table1389584567991011121314[[#This Row],[IB Ticker]],'TWS data'!B:B,0))</f>
        <v>14</v>
      </c>
      <c r="I35" s="33">
        <v>12</v>
      </c>
      <c r="J35" s="37">
        <f t="shared" si="2"/>
        <v>-2</v>
      </c>
      <c r="K35" s="38">
        <f>'Aug 31'!$F35*'Aug 31'!$I35</f>
        <v>1668562.2857142854</v>
      </c>
      <c r="L35" s="39">
        <f>'Aug 31'!$K35/$K$2</f>
        <v>2.841959328538924E-2</v>
      </c>
      <c r="M35" s="62"/>
      <c r="N35" s="217"/>
      <c r="O35" s="2">
        <f>Table1389584567991011121314[[#This Row],[Change]]*Table1389584567991011121314[[#This Row],[Last price]]</f>
        <v>-278093.71428571426</v>
      </c>
      <c r="P35" s="42">
        <f t="shared" si="1"/>
        <v>278093.71428571426</v>
      </c>
    </row>
    <row r="36" spans="1:17" ht="26.25" x14ac:dyDescent="0.25">
      <c r="A36" s="33" t="s">
        <v>178</v>
      </c>
      <c r="B36" s="60" t="s">
        <v>121</v>
      </c>
      <c r="C36" s="60" t="s">
        <v>122</v>
      </c>
      <c r="D36" s="34">
        <v>7.1429000000000006E-2</v>
      </c>
      <c r="E36" s="35">
        <f>'Aug 31'!$D36*$C$6*$C$2</f>
        <v>4133458.8216755548</v>
      </c>
      <c r="F36" s="35">
        <f>INDEX('TWS data'!M:M,MATCH(Table1389584567991011121314[[#This Row],[IB Ticker]],'TWS data'!B:B,0))</f>
        <v>416367.0588235294</v>
      </c>
      <c r="G36" s="36">
        <f>'Aug 31'!$E36/'Aug 31'!$F36</f>
        <v>9.927439585050017</v>
      </c>
      <c r="H36" s="33">
        <f>INDEX('TWS data'!F:F,MATCH(Table1389584567991011121314[[#This Row],[IB Ticker]],'TWS data'!B:B,0))</f>
        <v>17</v>
      </c>
      <c r="I36" s="33">
        <v>10</v>
      </c>
      <c r="J36" s="37">
        <f t="shared" si="2"/>
        <v>-7</v>
      </c>
      <c r="K36" s="38">
        <f>'Aug 31'!$F36*'Aug 31'!$I36</f>
        <v>4163670.588235294</v>
      </c>
      <c r="L36" s="39">
        <f>'Aug 31'!$K36/$K$2</f>
        <v>7.091723557765138E-2</v>
      </c>
      <c r="M36" s="62"/>
      <c r="O36" s="2">
        <f>Table1389584567991011121314[[#This Row],[Change]]*Table1389584567991011121314[[#This Row],[Last price]]</f>
        <v>-2914569.4117647056</v>
      </c>
      <c r="P36" s="42">
        <f t="shared" si="1"/>
        <v>2914569.4117647056</v>
      </c>
    </row>
    <row r="37" spans="1:17" ht="26.25" x14ac:dyDescent="0.25">
      <c r="A37" s="33" t="s">
        <v>178</v>
      </c>
      <c r="B37" s="214" t="s">
        <v>126</v>
      </c>
      <c r="C37" s="60" t="s">
        <v>127</v>
      </c>
      <c r="D37" s="34">
        <v>0.03</v>
      </c>
      <c r="E37" s="35">
        <f>'Aug 31'!$D37*$C$6*$C$2</f>
        <v>1736042.2888499999</v>
      </c>
      <c r="F37" s="35">
        <f>INDEX('TWS data'!M:M,MATCH(Table1389584567991011121314[[#This Row],[IB Ticker]],'TWS data'!B:B,0))</f>
        <v>220926.22222222222</v>
      </c>
      <c r="G37" s="36">
        <f>'Aug 31'!$E37/'Aug 31'!$F37</f>
        <v>7.8580182623309138</v>
      </c>
      <c r="H37" s="33">
        <f>INDEX('TWS data'!F:F,MATCH(Table1389584567991011121314[[#This Row],[IB Ticker]],'TWS data'!B:B,0))</f>
        <v>9</v>
      </c>
      <c r="I37" s="33">
        <v>8</v>
      </c>
      <c r="J37" s="37">
        <f t="shared" si="2"/>
        <v>-1</v>
      </c>
      <c r="K37" s="38">
        <f>'Aug 31'!$F37*'Aug 31'!$I37</f>
        <v>1767409.7777777778</v>
      </c>
      <c r="L37" s="39">
        <f>'Aug 31'!$K37/$K$2</f>
        <v>3.0103201710304957E-2</v>
      </c>
      <c r="M37" s="62"/>
      <c r="O37" s="2">
        <f>Table1389584567991011121314[[#This Row],[Change]]*Table1389584567991011121314[[#This Row],[Last price]]</f>
        <v>-220926.22222222222</v>
      </c>
      <c r="P37" s="42">
        <f t="shared" si="1"/>
        <v>220926.22222222222</v>
      </c>
    </row>
    <row r="38" spans="1:17" s="64" customFormat="1" ht="12.75" x14ac:dyDescent="0.2">
      <c r="A38" s="33"/>
      <c r="B38" s="60"/>
      <c r="C38" s="60"/>
      <c r="D38" s="34"/>
      <c r="E38" s="63"/>
      <c r="F38" s="35"/>
      <c r="G38" s="36"/>
      <c r="H38" s="33"/>
      <c r="I38" s="33"/>
      <c r="J38" s="45"/>
      <c r="K38" s="35"/>
      <c r="L38" s="46"/>
      <c r="M38" s="62"/>
      <c r="O38" s="2">
        <f>Table1389584567991011121314[[#This Row],[Change]]*Table1389584567991011121314[[#This Row],[Last price]]</f>
        <v>0</v>
      </c>
      <c r="P38" s="42">
        <f t="shared" si="1"/>
        <v>0</v>
      </c>
    </row>
    <row r="39" spans="1:17" s="15" customFormat="1" ht="12.75" x14ac:dyDescent="0.2">
      <c r="A39" s="47" t="s">
        <v>186</v>
      </c>
      <c r="B39" s="65"/>
      <c r="C39" s="65"/>
      <c r="D39" s="56">
        <f>SUBTOTAL(9,D31:D38)</f>
        <v>0.25142900000000001</v>
      </c>
      <c r="E39" s="66">
        <f>'Aug 31'!$D39*$C$6*$C$2</f>
        <v>14549712.554775557</v>
      </c>
      <c r="F39" s="67"/>
      <c r="G39" s="70"/>
      <c r="H39" s="55"/>
      <c r="I39" s="55"/>
      <c r="J39" s="59"/>
      <c r="K39" s="66">
        <f>SUM(K31:K38)</f>
        <v>14603680.257787963</v>
      </c>
      <c r="L39" s="68">
        <f>'Aug 31'!$K39/$K$2</f>
        <v>0.24873548740107959</v>
      </c>
      <c r="M39" s="69"/>
      <c r="O39" s="2">
        <f>Table1389584567991011121314[[#This Row],[Change]]*Table1389584567991011121314[[#This Row],[Last price]]</f>
        <v>0</v>
      </c>
      <c r="P39" s="42">
        <f t="shared" si="1"/>
        <v>0</v>
      </c>
    </row>
    <row r="40" spans="1:17" s="64" customFormat="1" ht="12.75" x14ac:dyDescent="0.2">
      <c r="A40" s="33"/>
      <c r="B40" s="60"/>
      <c r="C40" s="60"/>
      <c r="D40" s="34"/>
      <c r="E40" s="63"/>
      <c r="F40" s="35"/>
      <c r="G40" s="36"/>
      <c r="H40" s="33"/>
      <c r="I40" s="33"/>
      <c r="J40" s="45"/>
      <c r="K40" s="35"/>
      <c r="L40" s="39"/>
      <c r="M40" s="62"/>
      <c r="O40" s="2">
        <f>Table1389584567991011121314[[#This Row],[Change]]*Table1389584567991011121314[[#This Row],[Last price]]</f>
        <v>0</v>
      </c>
      <c r="P40" s="42">
        <f t="shared" si="1"/>
        <v>0</v>
      </c>
    </row>
    <row r="41" spans="1:17" s="41" customFormat="1" ht="25.5" customHeight="1" x14ac:dyDescent="0.2">
      <c r="A41" s="33" t="s">
        <v>187</v>
      </c>
      <c r="B41" s="33" t="s">
        <v>63</v>
      </c>
      <c r="C41" s="33" t="s">
        <v>64</v>
      </c>
      <c r="D41" s="34">
        <v>0.03</v>
      </c>
      <c r="E41" s="35">
        <f>'Aug 31'!$D41*$C$6*$C$2</f>
        <v>1736042.2888499999</v>
      </c>
      <c r="F41" s="35">
        <f>INDEX('TWS data'!M:M,MATCH(Table1389584567991011121314[[#This Row],[IB Ticker]],'TWS data'!B:B,0))</f>
        <v>94149.2</v>
      </c>
      <c r="G41" s="36">
        <f>'Aug 31'!$E41/'Aug 31'!$F41</f>
        <v>18.439267554583576</v>
      </c>
      <c r="H41" s="33">
        <f>INDEX('TWS data'!F:F,MATCH(Table1389584567991011121314[[#This Row],[IB Ticker]],'TWS data'!B:B,0))</f>
        <v>20</v>
      </c>
      <c r="I41" s="33">
        <v>18</v>
      </c>
      <c r="J41" s="37">
        <f t="shared" ref="J41:J50" si="3">I41-H41</f>
        <v>-2</v>
      </c>
      <c r="K41" s="38">
        <f>'Aug 31'!$F41*'Aug 31'!$I41</f>
        <v>1694685.5999999999</v>
      </c>
      <c r="L41" s="39">
        <f>'Aug 31'!$K41/$K$2</f>
        <v>2.8864535601071863E-2</v>
      </c>
      <c r="M41" s="40"/>
      <c r="N41" s="2"/>
      <c r="O41" s="2">
        <f>Table1389584567991011121314[[#This Row],[Change]]*Table1389584567991011121314[[#This Row],[Last price]]</f>
        <v>-188298.4</v>
      </c>
      <c r="P41" s="42">
        <f t="shared" si="1"/>
        <v>188298.4</v>
      </c>
      <c r="Q41" s="42"/>
    </row>
    <row r="42" spans="1:17" s="41" customFormat="1" ht="25.5" customHeight="1" x14ac:dyDescent="0.2">
      <c r="A42" s="33" t="s">
        <v>187</v>
      </c>
      <c r="B42" s="33" t="s">
        <v>72</v>
      </c>
      <c r="C42" s="33" t="s">
        <v>73</v>
      </c>
      <c r="D42" s="34">
        <v>0.03</v>
      </c>
      <c r="E42" s="35">
        <f>'Aug 31'!$D42*$C$6*$C$2</f>
        <v>1736042.2888499999</v>
      </c>
      <c r="F42" s="35">
        <f>INDEX('TWS data'!M:M,MATCH(Table1389584567991011121314[[#This Row],[IB Ticker]],'TWS data'!B:B,0))</f>
        <v>115412.9375</v>
      </c>
      <c r="G42" s="36">
        <f>'Aug 31'!$E42/'Aug 31'!$F42</f>
        <v>15.042007650572103</v>
      </c>
      <c r="H42" s="33">
        <f>INDEX('TWS data'!F:F,MATCH(Table1389584567991011121314[[#This Row],[IB Ticker]],'TWS data'!B:B,0))</f>
        <v>16</v>
      </c>
      <c r="I42" s="33">
        <v>15</v>
      </c>
      <c r="J42" s="37">
        <f t="shared" si="3"/>
        <v>-1</v>
      </c>
      <c r="K42" s="38">
        <f>'Aug 31'!$F42*'Aug 31'!$I42</f>
        <v>1731194.0625</v>
      </c>
      <c r="L42" s="39">
        <f>'Aug 31'!$K42/$K$2</f>
        <v>2.9486361747214633E-2</v>
      </c>
      <c r="M42" s="40"/>
      <c r="N42" s="2"/>
      <c r="O42" s="2">
        <f>Table1389584567991011121314[[#This Row],[Change]]*Table1389584567991011121314[[#This Row],[Last price]]</f>
        <v>-115412.9375</v>
      </c>
      <c r="P42" s="42">
        <f t="shared" si="1"/>
        <v>115412.9375</v>
      </c>
    </row>
    <row r="43" spans="1:17" s="41" customFormat="1" ht="25.5" customHeight="1" x14ac:dyDescent="0.2">
      <c r="A43" s="33" t="s">
        <v>187</v>
      </c>
      <c r="B43" s="33" t="s">
        <v>76</v>
      </c>
      <c r="C43" s="33" t="s">
        <v>77</v>
      </c>
      <c r="D43" s="34">
        <v>0.03</v>
      </c>
      <c r="E43" s="35">
        <f>'Aug 31'!$D43*$C$6*$C$2</f>
        <v>1736042.2888499999</v>
      </c>
      <c r="F43" s="35">
        <f>INDEX('TWS data'!M:M,MATCH(Table1389584567991011121314[[#This Row],[IB Ticker]],'TWS data'!B:B,0))</f>
        <v>111393.23529411765</v>
      </c>
      <c r="G43" s="36">
        <f>'Aug 31'!$E43/'Aug 31'!$F43</f>
        <v>15.584808936253916</v>
      </c>
      <c r="H43" s="33">
        <f>INDEX('TWS data'!F:F,MATCH(Table1389584567991011121314[[#This Row],[IB Ticker]],'TWS data'!B:B,0))</f>
        <v>17</v>
      </c>
      <c r="I43" s="33">
        <v>16</v>
      </c>
      <c r="J43" s="37">
        <f t="shared" si="3"/>
        <v>-1</v>
      </c>
      <c r="K43" s="38">
        <f>'Aug 31'!$F43*'Aug 31'!$I43</f>
        <v>1782291.7647058824</v>
      </c>
      <c r="L43" s="39">
        <f>'Aug 31'!$K43/$K$2</f>
        <v>3.0356677423735792E-2</v>
      </c>
      <c r="M43" s="40"/>
      <c r="N43" s="2"/>
      <c r="O43" s="2">
        <f>Table1389584567991011121314[[#This Row],[Change]]*Table1389584567991011121314[[#This Row],[Last price]]</f>
        <v>-111393.23529411765</v>
      </c>
      <c r="P43" s="42">
        <f t="shared" si="1"/>
        <v>111393.23529411765</v>
      </c>
    </row>
    <row r="44" spans="1:17" s="41" customFormat="1" ht="25.5" x14ac:dyDescent="0.2">
      <c r="A44" s="33" t="s">
        <v>187</v>
      </c>
      <c r="B44" s="33" t="s">
        <v>78</v>
      </c>
      <c r="C44" s="33" t="s">
        <v>79</v>
      </c>
      <c r="D44" s="34">
        <v>7.1429000000000006E-2</v>
      </c>
      <c r="E44" s="35">
        <f>'Aug 31'!$D44*$C$6*$C$2</f>
        <v>4133458.8216755548</v>
      </c>
      <c r="F44" s="35">
        <f>INDEX('TWS data'!M:M,MATCH(Table1389584567991011121314[[#This Row],[IB Ticker]],'TWS data'!B:B,0))</f>
        <v>249418.75</v>
      </c>
      <c r="G44" s="36">
        <f>'Aug 31'!$E44/'Aug 31'!$F44</f>
        <v>16.572366037739965</v>
      </c>
      <c r="H44" s="33">
        <f>INDEX('TWS data'!F:F,MATCH(Table1389584567991011121314[[#This Row],[IB Ticker]],'TWS data'!B:B,0))</f>
        <v>28</v>
      </c>
      <c r="I44" s="33">
        <v>17</v>
      </c>
      <c r="J44" s="37">
        <f t="shared" si="3"/>
        <v>-11</v>
      </c>
      <c r="K44" s="38">
        <f>'Aug 31'!$F44*'Aug 31'!$I44</f>
        <v>4240118.75</v>
      </c>
      <c r="L44" s="39">
        <f>'Aug 31'!$K44/$K$2</f>
        <v>7.2219330011506169E-2</v>
      </c>
      <c r="M44" s="40"/>
      <c r="N44" s="2"/>
      <c r="O44" s="2">
        <f>Table1389584567991011121314[[#This Row],[Change]]*Table1389584567991011121314[[#This Row],[Last price]]</f>
        <v>-2743606.25</v>
      </c>
      <c r="P44" s="42">
        <f t="shared" si="1"/>
        <v>2743606.25</v>
      </c>
    </row>
    <row r="45" spans="1:17" s="41" customFormat="1" ht="25.5" x14ac:dyDescent="0.2">
      <c r="A45" s="33" t="s">
        <v>187</v>
      </c>
      <c r="B45" s="33" t="s">
        <v>99</v>
      </c>
      <c r="C45" s="33" t="s">
        <v>100</v>
      </c>
      <c r="D45" s="34">
        <v>7.1429000000000006E-2</v>
      </c>
      <c r="E45" s="35">
        <f>'Aug 31'!$D45*$C$6*$C$2</f>
        <v>4133458.8216755548</v>
      </c>
      <c r="F45" s="35">
        <f>INDEX('TWS data'!M:M,MATCH(Table1389584567991011121314[[#This Row],[IB Ticker]],'TWS data'!B:B,0))</f>
        <v>416395.70588235295</v>
      </c>
      <c r="G45" s="36">
        <f>'Aug 31'!$E45/'Aug 31'!$F45</f>
        <v>9.9267566002311476</v>
      </c>
      <c r="H45" s="33">
        <f>INDEX('TWS data'!F:F,MATCH(Table1389584567991011121314[[#This Row],[IB Ticker]],'TWS data'!B:B,0))</f>
        <v>17</v>
      </c>
      <c r="I45" s="33">
        <v>10</v>
      </c>
      <c r="J45" s="37">
        <f t="shared" si="3"/>
        <v>-7</v>
      </c>
      <c r="K45" s="38">
        <f>'Aug 31'!$F45*'Aug 31'!$I45</f>
        <v>4163957.0588235296</v>
      </c>
      <c r="L45" s="39">
        <f>'Aug 31'!$K45/$K$2</f>
        <v>7.0922114854664639E-2</v>
      </c>
      <c r="M45" s="40"/>
      <c r="N45" s="2"/>
      <c r="O45" s="2">
        <f>Table1389584567991011121314[[#This Row],[Change]]*Table1389584567991011121314[[#This Row],[Last price]]</f>
        <v>-2914769.9411764708</v>
      </c>
      <c r="P45" s="42">
        <f t="shared" si="1"/>
        <v>2914769.9411764708</v>
      </c>
    </row>
    <row r="46" spans="1:17" s="41" customFormat="1" ht="25.5" x14ac:dyDescent="0.2">
      <c r="A46" s="33" t="s">
        <v>187</v>
      </c>
      <c r="B46" s="33" t="s">
        <v>102</v>
      </c>
      <c r="C46" s="33" t="s">
        <v>103</v>
      </c>
      <c r="D46" s="34">
        <v>7.1429000000000006E-2</v>
      </c>
      <c r="E46" s="35">
        <f>'Aug 31'!$D46*$C$6*$C$2</f>
        <v>4133458.8216755548</v>
      </c>
      <c r="F46" s="35">
        <f>INDEX('TWS data'!M:M,MATCH(Table1389584567991011121314[[#This Row],[IB Ticker]],'TWS data'!B:B,0))</f>
        <v>249775.25</v>
      </c>
      <c r="G46" s="36">
        <f>'Aug 31'!$E46/'Aug 31'!$F46</f>
        <v>16.548712579311019</v>
      </c>
      <c r="H46" s="33">
        <f>INDEX('TWS data'!F:F,MATCH(Table1389584567991011121314[[#This Row],[IB Ticker]],'TWS data'!B:B,0))</f>
        <v>28</v>
      </c>
      <c r="I46" s="33">
        <v>17</v>
      </c>
      <c r="J46" s="37">
        <f t="shared" si="3"/>
        <v>-11</v>
      </c>
      <c r="K46" s="38">
        <f>'Aug 31'!$F46*'Aug 31'!$I46</f>
        <v>4246179.25</v>
      </c>
      <c r="L46" s="39">
        <f>'Aug 31'!$K46/$K$2</f>
        <v>7.2322554773674622E-2</v>
      </c>
      <c r="M46" s="40"/>
      <c r="N46" s="2"/>
      <c r="O46" s="2">
        <f>Table1389584567991011121314[[#This Row],[Change]]*Table1389584567991011121314[[#This Row],[Last price]]</f>
        <v>-2747527.75</v>
      </c>
      <c r="P46" s="42">
        <f t="shared" si="1"/>
        <v>2747527.75</v>
      </c>
    </row>
    <row r="47" spans="1:17" s="41" customFormat="1" ht="25.5" x14ac:dyDescent="0.2">
      <c r="A47" s="33" t="s">
        <v>187</v>
      </c>
      <c r="B47" s="33" t="s">
        <v>129</v>
      </c>
      <c r="C47" s="33" t="s">
        <v>130</v>
      </c>
      <c r="D47" s="34">
        <v>0.03</v>
      </c>
      <c r="E47" s="35">
        <f>'Aug 31'!$D47*$C$6*$C$2</f>
        <v>1736042.2888499999</v>
      </c>
      <c r="F47" s="35">
        <f>INDEX('TWS data'!M:M,MATCH(Table1389584567991011121314[[#This Row],[IB Ticker]],'TWS data'!B:B,0))</f>
        <v>134337.258</v>
      </c>
      <c r="G47" s="36">
        <f>'Aug 31'!$E47/'Aug 31'!$F47</f>
        <v>12.923014171169102</v>
      </c>
      <c r="H47" s="33">
        <f>INDEX('TWS data'!F:F,MATCH(Table1389584567991011121314[[#This Row],[IB Ticker]],'TWS data'!B:B,0))</f>
        <v>0</v>
      </c>
      <c r="I47" s="33">
        <v>13</v>
      </c>
      <c r="J47" s="37">
        <f t="shared" si="3"/>
        <v>13</v>
      </c>
      <c r="K47" s="38">
        <f>'Aug 31'!$F47*'Aug 31'!$I47</f>
        <v>1746384.3540000001</v>
      </c>
      <c r="L47" s="39">
        <f>'Aug 31'!$K47/$K$2</f>
        <v>2.9745088622448845E-2</v>
      </c>
      <c r="M47" s="40"/>
      <c r="N47" s="2"/>
      <c r="O47" s="2">
        <f>Table1389584567991011121314[[#This Row],[Change]]*Table1389584567991011121314[[#This Row],[Last price]]</f>
        <v>1746384.3540000001</v>
      </c>
      <c r="P47" s="42">
        <f t="shared" si="1"/>
        <v>1746384.3540000001</v>
      </c>
    </row>
    <row r="48" spans="1:17" s="41" customFormat="1" ht="25.5" x14ac:dyDescent="0.2">
      <c r="A48" s="33" t="s">
        <v>187</v>
      </c>
      <c r="B48" s="33" t="s">
        <v>131</v>
      </c>
      <c r="C48" s="33" t="s">
        <v>132</v>
      </c>
      <c r="D48" s="34">
        <v>7.1429000000000006E-2</v>
      </c>
      <c r="E48" s="35">
        <f>'Aug 31'!$D48*$C$6*$C$2</f>
        <v>4133458.8216755548</v>
      </c>
      <c r="F48" s="35">
        <f>INDEX('TWS data'!M:M,MATCH(Table1389584567991011121314[[#This Row],[IB Ticker]],'TWS data'!B:B,0))</f>
        <v>166787.31562499999</v>
      </c>
      <c r="G48" s="36">
        <f>'Aug 31'!$E48/'Aug 31'!$F48</f>
        <v>24.7828128067551</v>
      </c>
      <c r="H48" s="33">
        <f>INDEX('TWS data'!F:F,MATCH(Table1389584567991011121314[[#This Row],[IB Ticker]],'TWS data'!B:B,0))</f>
        <v>0</v>
      </c>
      <c r="I48" s="33">
        <v>25</v>
      </c>
      <c r="J48" s="37">
        <f t="shared" si="3"/>
        <v>25</v>
      </c>
      <c r="K48" s="38">
        <f>'Aug 31'!$F48*'Aug 31'!$I48</f>
        <v>4169682.8906249995</v>
      </c>
      <c r="L48" s="39">
        <f>'Aug 31'!$K48/$K$2</f>
        <v>7.1019639419621874E-2</v>
      </c>
      <c r="M48" s="40"/>
      <c r="N48" s="2"/>
      <c r="O48" s="2">
        <f>Table1389584567991011121314[[#This Row],[Change]]*Table1389584567991011121314[[#This Row],[Last price]]</f>
        <v>4169682.8906249995</v>
      </c>
      <c r="P48" s="42">
        <f t="shared" si="1"/>
        <v>4169682.8906249995</v>
      </c>
    </row>
    <row r="49" spans="1:18" s="41" customFormat="1" ht="25.5" x14ac:dyDescent="0.2">
      <c r="A49" s="33" t="s">
        <v>187</v>
      </c>
      <c r="B49" s="33" t="s">
        <v>133</v>
      </c>
      <c r="C49" s="33" t="s">
        <v>134</v>
      </c>
      <c r="D49" s="34">
        <v>7.1429000000000006E-2</v>
      </c>
      <c r="E49" s="35">
        <f>'Aug 31'!$D49*$C$6*$C$2</f>
        <v>4133458.8216755548</v>
      </c>
      <c r="F49" s="35">
        <f>INDEX('TWS data'!M:M,MATCH(Table1389584567991011121314[[#This Row],[IB Ticker]],'TWS data'!B:B,0))</f>
        <v>181402.95491999999</v>
      </c>
      <c r="G49" s="36">
        <f>'Aug 31'!$E49/'Aug 31'!$F49</f>
        <v>22.78606113940338</v>
      </c>
      <c r="H49" s="33">
        <f>INDEX('TWS data'!F:F,MATCH(Table1389584567991011121314[[#This Row],[IB Ticker]],'TWS data'!B:B,0))</f>
        <v>0</v>
      </c>
      <c r="I49" s="33">
        <v>23</v>
      </c>
      <c r="J49" s="37">
        <f t="shared" si="3"/>
        <v>23</v>
      </c>
      <c r="K49" s="38">
        <f>'Aug 31'!$F49*'Aug 31'!$I49</f>
        <v>4172267.9631599998</v>
      </c>
      <c r="L49" s="39">
        <f>'Aug 31'!$K49/$K$2</f>
        <v>7.1063669367252197E-2</v>
      </c>
      <c r="M49" s="40"/>
      <c r="N49" s="2"/>
      <c r="O49" s="2">
        <f>Table1389584567991011121314[[#This Row],[Change]]*Table1389584567991011121314[[#This Row],[Last price]]</f>
        <v>4172267.9631599998</v>
      </c>
      <c r="P49" s="42">
        <f t="shared" si="1"/>
        <v>4172267.9631599998</v>
      </c>
    </row>
    <row r="50" spans="1:18" s="41" customFormat="1" ht="25.5" x14ac:dyDescent="0.2">
      <c r="A50" s="33" t="s">
        <v>187</v>
      </c>
      <c r="B50" s="33" t="s">
        <v>135</v>
      </c>
      <c r="C50" s="33" t="s">
        <v>136</v>
      </c>
      <c r="D50" s="34">
        <v>7.1429000000000006E-2</v>
      </c>
      <c r="E50" s="35">
        <f>'Aug 31'!$D50*$C$6*$C$2</f>
        <v>4133458.8216755548</v>
      </c>
      <c r="F50" s="35">
        <f>INDEX('TWS data'!M:M,MATCH(Table1389584567991011121314[[#This Row],[IB Ticker]],'TWS data'!B:B,0))</f>
        <v>735689.85</v>
      </c>
      <c r="G50" s="36">
        <f>'Aug 31'!$E50/'Aug 31'!$F50</f>
        <v>5.6184801539338283</v>
      </c>
      <c r="H50" s="33">
        <f>INDEX('TWS data'!F:F,MATCH(Table1389584567991011121314[[#This Row],[IB Ticker]],'TWS data'!B:B,0))</f>
        <v>0</v>
      </c>
      <c r="I50" s="33">
        <v>6</v>
      </c>
      <c r="J50" s="37">
        <f t="shared" si="3"/>
        <v>6</v>
      </c>
      <c r="K50" s="38">
        <f>'Aug 31'!$F50*'Aug 31'!$I50</f>
        <v>4414139.0999999996</v>
      </c>
      <c r="L50" s="39">
        <f>'Aug 31'!$K50/$K$2</f>
        <v>7.5183311405981917E-2</v>
      </c>
      <c r="M50" s="40"/>
      <c r="N50" s="2"/>
      <c r="O50" s="2">
        <f>Table1389584567991011121314[[#This Row],[Change]]*Table1389584567991011121314[[#This Row],[Last price]]</f>
        <v>4414139.0999999996</v>
      </c>
      <c r="P50" s="42">
        <f t="shared" si="1"/>
        <v>4414139.0999999996</v>
      </c>
    </row>
    <row r="51" spans="1:18" s="44" customFormat="1" ht="12.75" x14ac:dyDescent="0.2">
      <c r="A51" s="33"/>
      <c r="B51" s="33"/>
      <c r="C51" s="33"/>
      <c r="D51" s="34"/>
      <c r="E51" s="35"/>
      <c r="F51" s="35"/>
      <c r="G51" s="36"/>
      <c r="H51" s="33"/>
      <c r="I51" s="33"/>
      <c r="J51" s="45"/>
      <c r="K51" s="35"/>
      <c r="L51" s="39"/>
      <c r="M51" s="33"/>
      <c r="N51" s="64"/>
      <c r="O51" s="2">
        <f>Table1389584567991011121314[[#This Row],[Change]]*Table1389584567991011121314[[#This Row],[Last price]]</f>
        <v>0</v>
      </c>
      <c r="P51" s="42">
        <f t="shared" si="1"/>
        <v>0</v>
      </c>
    </row>
    <row r="52" spans="1:18" s="54" customFormat="1" ht="12.75" x14ac:dyDescent="0.2">
      <c r="A52" s="47" t="s">
        <v>194</v>
      </c>
      <c r="B52" s="47"/>
      <c r="C52" s="47"/>
      <c r="D52" s="56">
        <f>SUBTOTAL(9,D41:D51)</f>
        <v>0.54857400000000001</v>
      </c>
      <c r="E52" s="49">
        <f>'Aug 31'!$D52*$C$6*$C$2</f>
        <v>31744922.085453331</v>
      </c>
      <c r="F52" s="70"/>
      <c r="G52" s="70"/>
      <c r="H52" s="55"/>
      <c r="I52" s="55"/>
      <c r="J52" s="59"/>
      <c r="K52" s="49">
        <f>SUM(K41:K51)</f>
        <v>32360900.793814413</v>
      </c>
      <c r="L52" s="68">
        <f>'Aug 31'!$K52/$K$2</f>
        <v>0.55118328322717258</v>
      </c>
      <c r="M52" s="47"/>
      <c r="N52" s="15"/>
      <c r="O52" s="2">
        <f>Table1389584567991011121314[[#This Row],[Change]]*Table1389584567991011121314[[#This Row],[Last price]]</f>
        <v>0</v>
      </c>
      <c r="P52" s="42">
        <f t="shared" si="1"/>
        <v>0</v>
      </c>
    </row>
    <row r="53" spans="1:18" s="44" customFormat="1" ht="12.75" x14ac:dyDescent="0.2">
      <c r="A53" s="33"/>
      <c r="B53" s="33"/>
      <c r="C53" s="33"/>
      <c r="D53" s="34"/>
      <c r="E53" s="35"/>
      <c r="F53" s="35"/>
      <c r="G53" s="36"/>
      <c r="H53" s="33"/>
      <c r="I53" s="33"/>
      <c r="J53" s="45"/>
      <c r="K53" s="35"/>
      <c r="L53" s="39"/>
      <c r="M53" s="33"/>
      <c r="N53" s="64"/>
      <c r="O53" s="2">
        <f>Table1389584567991011121314[[#This Row],[Change]]*Table1389584567991011121314[[#This Row],[Last price]]</f>
        <v>0</v>
      </c>
      <c r="P53" s="42">
        <f t="shared" si="1"/>
        <v>0</v>
      </c>
    </row>
    <row r="54" spans="1:18" s="41" customFormat="1" ht="12.75" x14ac:dyDescent="0.2">
      <c r="A54" s="33"/>
      <c r="B54" s="33"/>
      <c r="C54" s="33"/>
      <c r="D54" s="34"/>
      <c r="E54" s="35"/>
      <c r="F54" s="35"/>
      <c r="G54" s="71"/>
      <c r="H54" s="33"/>
      <c r="I54" s="33"/>
      <c r="J54" s="37"/>
      <c r="K54" s="38"/>
      <c r="L54" s="39"/>
      <c r="M54" s="40"/>
      <c r="N54" s="2"/>
      <c r="O54" s="2">
        <f>Table1389584567991011121314[[#This Row],[Change]]*Table1389584567991011121314[[#This Row],[Last price]]</f>
        <v>0</v>
      </c>
      <c r="P54" s="42">
        <f t="shared" si="1"/>
        <v>0</v>
      </c>
    </row>
    <row r="55" spans="1:18" s="41" customFormat="1" ht="25.5" x14ac:dyDescent="0.2">
      <c r="A55" s="33" t="s">
        <v>195</v>
      </c>
      <c r="B55" s="33" t="s">
        <v>67</v>
      </c>
      <c r="C55" s="33" t="s">
        <v>68</v>
      </c>
      <c r="D55" s="34">
        <v>1.5E-3</v>
      </c>
      <c r="E55" s="35">
        <f>'Aug 31'!$D55*$C$6*$C$2</f>
        <v>86802.114442500009</v>
      </c>
      <c r="F55" s="35">
        <f>INDEX('TWS data'!M:M,MATCH(Table1389584567991011121314[[#This Row],[IB Ticker]],'TWS data'!B:B,0))</f>
        <v>44317</v>
      </c>
      <c r="G55" s="71">
        <f>'Aug 31'!$E55/'Aug 31'!$F55</f>
        <v>1.9586640441027148</v>
      </c>
      <c r="H55" s="33">
        <f>INDEX('TWS data'!F:F,MATCH(Table1389584567991011121314[[#This Row],[IB Ticker]],'TWS data'!B:B,0))</f>
        <v>2</v>
      </c>
      <c r="I55" s="33">
        <v>2</v>
      </c>
      <c r="J55" s="37">
        <f t="shared" ref="J55:J64" si="4">I55-H55</f>
        <v>0</v>
      </c>
      <c r="K55" s="38">
        <f>'Aug 31'!$F55*'Aug 31'!$I55</f>
        <v>88634</v>
      </c>
      <c r="L55" s="39">
        <f>'Aug 31'!$K55/$K$2</f>
        <v>1.5096483079017156E-3</v>
      </c>
      <c r="M55" s="40"/>
      <c r="N55" s="2"/>
      <c r="O55" s="2">
        <f>Table1389584567991011121314[[#This Row],[Change]]*Table1389584567991011121314[[#This Row],[Last price]]</f>
        <v>0</v>
      </c>
      <c r="P55" s="42">
        <f t="shared" si="1"/>
        <v>0</v>
      </c>
    </row>
    <row r="56" spans="1:18" s="41" customFormat="1" ht="25.5" x14ac:dyDescent="0.2">
      <c r="A56" s="33" t="s">
        <v>195</v>
      </c>
      <c r="B56" s="33" t="s">
        <v>70</v>
      </c>
      <c r="C56" s="33" t="s">
        <v>71</v>
      </c>
      <c r="D56" s="34">
        <v>1.5E-3</v>
      </c>
      <c r="E56" s="35">
        <f>'Aug 31'!$D56*$C$6*$C$2</f>
        <v>86802.114442500009</v>
      </c>
      <c r="F56" s="35">
        <f>INDEX('TWS data'!M:M,MATCH(Table1389584567991011121314[[#This Row],[IB Ticker]],'TWS data'!B:B,0))</f>
        <v>167240</v>
      </c>
      <c r="G56" s="71">
        <f>'Aug 31'!$E56/'Aug 31'!$F56</f>
        <v>0.51902723297357101</v>
      </c>
      <c r="H56" s="33">
        <f>INDEX('TWS data'!F:F,MATCH(Table1389584567991011121314[[#This Row],[IB Ticker]],'TWS data'!B:B,0))</f>
        <v>1</v>
      </c>
      <c r="I56" s="33">
        <v>1</v>
      </c>
      <c r="J56" s="37">
        <f t="shared" si="4"/>
        <v>0</v>
      </c>
      <c r="K56" s="38">
        <f>'Aug 31'!$F56*'Aug 31'!$I56</f>
        <v>167240</v>
      </c>
      <c r="L56" s="39">
        <f>'Aug 31'!$K56/$K$2</f>
        <v>2.8484958708112343E-3</v>
      </c>
      <c r="M56" s="40"/>
      <c r="N56" s="2"/>
      <c r="O56" s="2">
        <f>Table1389584567991011121314[[#This Row],[Change]]*Table1389584567991011121314[[#This Row],[Last price]]</f>
        <v>0</v>
      </c>
      <c r="P56" s="42">
        <f t="shared" si="1"/>
        <v>0</v>
      </c>
      <c r="R56" s="41" t="s">
        <v>198</v>
      </c>
    </row>
    <row r="57" spans="1:18" s="41" customFormat="1" ht="25.5" x14ac:dyDescent="0.2">
      <c r="A57" s="33" t="s">
        <v>195</v>
      </c>
      <c r="B57" s="33" t="s">
        <v>81</v>
      </c>
      <c r="C57" s="33" t="s">
        <v>82</v>
      </c>
      <c r="D57" s="34">
        <v>1.5E-3</v>
      </c>
      <c r="E57" s="35">
        <f>'Aug 31'!$D57*$C$6*$C$2</f>
        <v>86802.114442500009</v>
      </c>
      <c r="F57" s="35">
        <f>INDEX('TWS data'!M:M,MATCH(Table1389584567991011121314[[#This Row],[IB Ticker]],'TWS data'!B:B,0))</f>
        <v>91798</v>
      </c>
      <c r="G57" s="71">
        <f>'Aug 31'!$E57/'Aug 31'!$F57</f>
        <v>0.9455774030207631</v>
      </c>
      <c r="H57" s="33">
        <f>INDEX('TWS data'!F:F,MATCH(Table1389584567991011121314[[#This Row],[IB Ticker]],'TWS data'!B:B,0))</f>
        <v>1</v>
      </c>
      <c r="I57" s="33">
        <v>1</v>
      </c>
      <c r="J57" s="37">
        <f t="shared" si="4"/>
        <v>0</v>
      </c>
      <c r="K57" s="38">
        <f>'Aug 31'!$F57*'Aug 31'!$I57</f>
        <v>91798</v>
      </c>
      <c r="L57" s="39">
        <f>'Aug 31'!$K57/$K$2</f>
        <v>1.5635387703224687E-3</v>
      </c>
      <c r="M57" s="40"/>
      <c r="N57" s="2"/>
      <c r="O57" s="2">
        <f>Table1389584567991011121314[[#This Row],[Change]]*Table1389584567991011121314[[#This Row],[Last price]]</f>
        <v>0</v>
      </c>
      <c r="P57" s="42">
        <f t="shared" si="1"/>
        <v>0</v>
      </c>
    </row>
    <row r="58" spans="1:18" s="41" customFormat="1" ht="25.5" x14ac:dyDescent="0.2">
      <c r="A58" s="33" t="s">
        <v>195</v>
      </c>
      <c r="B58" s="33" t="s">
        <v>83</v>
      </c>
      <c r="C58" s="33" t="s">
        <v>84</v>
      </c>
      <c r="D58" s="34">
        <v>1.5E-3</v>
      </c>
      <c r="E58" s="35">
        <f>'Aug 31'!$D58*$C$6*$C$2</f>
        <v>86802.114442500009</v>
      </c>
      <c r="F58" s="35">
        <f>INDEX('TWS data'!M:M,MATCH(Table1389584567991011121314[[#This Row],[IB Ticker]],'TWS data'!B:B,0))</f>
        <v>222925</v>
      </c>
      <c r="G58" s="71">
        <f>'Aug 31'!$E58/'Aug 31'!$F58</f>
        <v>0.38937810672872047</v>
      </c>
      <c r="H58" s="33">
        <f>INDEX('TWS data'!F:F,MATCH(Table1389584567991011121314[[#This Row],[IB Ticker]],'TWS data'!B:B,0))</f>
        <v>1</v>
      </c>
      <c r="I58" s="33">
        <v>1</v>
      </c>
      <c r="J58" s="37">
        <f t="shared" si="4"/>
        <v>0</v>
      </c>
      <c r="K58" s="38">
        <f>'Aug 31'!$F58*'Aug 31'!$I58</f>
        <v>222925</v>
      </c>
      <c r="L58" s="39">
        <f>'Aug 31'!$K58/$K$2</f>
        <v>3.796944164079134E-3</v>
      </c>
      <c r="M58" s="40"/>
      <c r="N58" s="2"/>
      <c r="O58" s="2">
        <f>Table1389584567991011121314[[#This Row],[Change]]*Table1389584567991011121314[[#This Row],[Last price]]</f>
        <v>0</v>
      </c>
      <c r="P58" s="42">
        <f t="shared" si="1"/>
        <v>0</v>
      </c>
    </row>
    <row r="59" spans="1:18" s="41" customFormat="1" ht="25.5" x14ac:dyDescent="0.2">
      <c r="A59" s="33" t="s">
        <v>195</v>
      </c>
      <c r="B59" s="33" t="s">
        <v>86</v>
      </c>
      <c r="C59" s="33" t="s">
        <v>87</v>
      </c>
      <c r="D59" s="34">
        <v>1.5E-3</v>
      </c>
      <c r="E59" s="35">
        <f>'Aug 31'!$D59*$C$6*$C$2</f>
        <v>86802.114442500009</v>
      </c>
      <c r="F59" s="35">
        <f>INDEX('TWS data'!M:M,MATCH(Table1389584567991011121314[[#This Row],[IB Ticker]],'TWS data'!B:B,0))</f>
        <v>48895</v>
      </c>
      <c r="G59" s="71">
        <f>'Aug 31'!$E59/'Aug 31'!$F59</f>
        <v>1.7752758859290318</v>
      </c>
      <c r="H59" s="33">
        <f>INDEX('TWS data'!F:F,MATCH(Table1389584567991011121314[[#This Row],[IB Ticker]],'TWS data'!B:B,0))</f>
        <v>1</v>
      </c>
      <c r="I59" s="33">
        <v>1</v>
      </c>
      <c r="J59" s="37">
        <f t="shared" si="4"/>
        <v>0</v>
      </c>
      <c r="K59" s="38">
        <f>'Aug 31'!$F59*'Aug 31'!$I59</f>
        <v>48895</v>
      </c>
      <c r="L59" s="39">
        <f>'Aug 31'!$K59/$K$2</f>
        <v>8.3279840709946952E-4</v>
      </c>
      <c r="M59" s="40"/>
      <c r="N59" s="2"/>
      <c r="O59" s="2">
        <f>Table1389584567991011121314[[#This Row],[Change]]*Table1389584567991011121314[[#This Row],[Last price]]</f>
        <v>0</v>
      </c>
      <c r="P59" s="42">
        <f t="shared" si="1"/>
        <v>0</v>
      </c>
    </row>
    <row r="60" spans="1:18" s="41" customFormat="1" ht="25.5" x14ac:dyDescent="0.2">
      <c r="A60" s="33" t="s">
        <v>195</v>
      </c>
      <c r="B60" s="33" t="s">
        <v>89</v>
      </c>
      <c r="C60" s="33" t="s">
        <v>90</v>
      </c>
      <c r="D60" s="34">
        <v>1.5E-3</v>
      </c>
      <c r="E60" s="35">
        <f>'Aug 31'!$D60*$C$6*$C$2</f>
        <v>86802.114442500009</v>
      </c>
      <c r="F60" s="35">
        <f>INDEX('TWS data'!M:M,MATCH(Table1389584567991011121314[[#This Row],[IB Ticker]],'TWS data'!B:B,0))</f>
        <v>47047</v>
      </c>
      <c r="G60" s="71">
        <f>'Aug 31'!$E60/'Aug 31'!$F60</f>
        <v>1.8450084902863095</v>
      </c>
      <c r="H60" s="33">
        <f>INDEX('TWS data'!F:F,MATCH(Table1389584567991011121314[[#This Row],[IB Ticker]],'TWS data'!B:B,0))</f>
        <v>1</v>
      </c>
      <c r="I60" s="33">
        <v>1</v>
      </c>
      <c r="J60" s="37">
        <f t="shared" si="4"/>
        <v>0</v>
      </c>
      <c r="K60" s="38">
        <f>'Aug 31'!$F60*'Aug 31'!$I60</f>
        <v>47047</v>
      </c>
      <c r="L60" s="39">
        <f>'Aug 31'!$K60/$K$2</f>
        <v>8.0132256179177308E-4</v>
      </c>
      <c r="M60" s="40"/>
      <c r="N60" s="2"/>
      <c r="O60" s="2">
        <f>Table1389584567991011121314[[#This Row],[Change]]*Table1389584567991011121314[[#This Row],[Last price]]</f>
        <v>0</v>
      </c>
      <c r="P60" s="42">
        <f t="shared" si="1"/>
        <v>0</v>
      </c>
    </row>
    <row r="61" spans="1:18" s="41" customFormat="1" ht="25.5" x14ac:dyDescent="0.2">
      <c r="A61" s="33" t="s">
        <v>195</v>
      </c>
      <c r="B61" s="33" t="s">
        <v>91</v>
      </c>
      <c r="C61" s="33" t="s">
        <v>92</v>
      </c>
      <c r="D61" s="34">
        <v>1.5E-3</v>
      </c>
      <c r="E61" s="35">
        <f>'Aug 31'!$D61*$C$6*$C$2</f>
        <v>86802.114442500009</v>
      </c>
      <c r="F61" s="35">
        <f>INDEX('TWS data'!M:M,MATCH(Table1389584567991011121314[[#This Row],[IB Ticker]],'TWS data'!B:B,0))</f>
        <v>12163.714285714286</v>
      </c>
      <c r="G61" s="71">
        <f>'Aug 31'!$E61/'Aug 31'!$F61</f>
        <v>7.1361520341237412</v>
      </c>
      <c r="H61" s="33">
        <f>INDEX('TWS data'!F:F,MATCH(Table1389584567991011121314[[#This Row],[IB Ticker]],'TWS data'!B:B,0))</f>
        <v>7</v>
      </c>
      <c r="I61" s="33">
        <v>7</v>
      </c>
      <c r="J61" s="37">
        <f t="shared" si="4"/>
        <v>0</v>
      </c>
      <c r="K61" s="38">
        <f>'Aug 31'!$F61*'Aug 31'!$I61</f>
        <v>85146</v>
      </c>
      <c r="L61" s="39">
        <f>'Aug 31'!$K61/$K$2</f>
        <v>1.4502393531218209E-3</v>
      </c>
      <c r="M61" s="40"/>
      <c r="N61" s="2"/>
      <c r="O61" s="2">
        <f>Table1389584567991011121314[[#This Row],[Change]]*Table1389584567991011121314[[#This Row],[Last price]]</f>
        <v>0</v>
      </c>
      <c r="P61" s="42">
        <f t="shared" si="1"/>
        <v>0</v>
      </c>
    </row>
    <row r="62" spans="1:18" s="41" customFormat="1" ht="25.5" x14ac:dyDescent="0.2">
      <c r="A62" s="33" t="s">
        <v>195</v>
      </c>
      <c r="B62" s="33" t="s">
        <v>96</v>
      </c>
      <c r="C62" s="33" t="s">
        <v>97</v>
      </c>
      <c r="D62" s="34">
        <v>1.5E-3</v>
      </c>
      <c r="E62" s="35">
        <f>'Aug 31'!$D62*$C$6*$C$2</f>
        <v>86802.114442500009</v>
      </c>
      <c r="F62" s="35">
        <f>INDEX('TWS data'!M:M,MATCH(Table1389584567991011121314[[#This Row],[IB Ticker]],'TWS data'!B:B,0))</f>
        <v>89200</v>
      </c>
      <c r="G62" s="71">
        <f>'Aug 31'!$E62/'Aug 31'!$F62</f>
        <v>0.97311787491591939</v>
      </c>
      <c r="H62" s="33">
        <f>INDEX('TWS data'!F:F,MATCH(Table1389584567991011121314[[#This Row],[IB Ticker]],'TWS data'!B:B,0))</f>
        <v>1</v>
      </c>
      <c r="I62" s="33">
        <v>1</v>
      </c>
      <c r="J62" s="37">
        <f t="shared" si="4"/>
        <v>0</v>
      </c>
      <c r="K62" s="38">
        <f>'Aug 31'!$F62*'Aug 31'!$I62</f>
        <v>89200</v>
      </c>
      <c r="L62" s="39">
        <f>'Aug 31'!$K62/$K$2</f>
        <v>1.519288637146389E-3</v>
      </c>
      <c r="M62" s="40"/>
      <c r="N62" s="2"/>
      <c r="O62" s="2">
        <f>Table1389584567991011121314[[#This Row],[Change]]*Table1389584567991011121314[[#This Row],[Last price]]</f>
        <v>0</v>
      </c>
      <c r="P62" s="42">
        <f t="shared" si="1"/>
        <v>0</v>
      </c>
    </row>
    <row r="63" spans="1:18" ht="26.25" x14ac:dyDescent="0.25">
      <c r="A63" s="33" t="s">
        <v>195</v>
      </c>
      <c r="B63" s="60" t="s">
        <v>123</v>
      </c>
      <c r="C63" s="60" t="s">
        <v>124</v>
      </c>
      <c r="D63" s="34">
        <v>1.5E-3</v>
      </c>
      <c r="E63" s="35">
        <f>'Aug 31'!$D63*$C$6*$C$2</f>
        <v>86802.114442500009</v>
      </c>
      <c r="F63" s="35">
        <f>INDEX('TWS data'!M:M,MATCH(Table1389584567991011121314[[#This Row],[IB Ticker]],'TWS data'!B:B,0))</f>
        <v>62442</v>
      </c>
      <c r="G63" s="71">
        <f>'Aug 31'!$E63/'Aug 31'!$F63</f>
        <v>1.3901238660276738</v>
      </c>
      <c r="H63" s="33">
        <f>INDEX('TWS data'!F:F,MATCH(Table1389584567991011121314[[#This Row],[IB Ticker]],'TWS data'!B:B,0))</f>
        <v>1</v>
      </c>
      <c r="I63" s="33">
        <v>1</v>
      </c>
      <c r="J63" s="37">
        <f t="shared" si="4"/>
        <v>0</v>
      </c>
      <c r="K63" s="38">
        <f>'Aug 31'!$F63*'Aug 31'!$I63</f>
        <v>62442</v>
      </c>
      <c r="L63" s="39">
        <f>'Aug 31'!$K63/$K$2</f>
        <v>1.0635361107701213E-3</v>
      </c>
      <c r="M63" s="62"/>
      <c r="O63" s="2">
        <f>Table1389584567991011121314[[#This Row],[Change]]*Table1389584567991011121314[[#This Row],[Last price]]</f>
        <v>0</v>
      </c>
      <c r="P63" s="42">
        <f t="shared" si="1"/>
        <v>0</v>
      </c>
    </row>
    <row r="64" spans="1:18" s="41" customFormat="1" ht="25.5" x14ac:dyDescent="0.2">
      <c r="A64" s="33" t="s">
        <v>195</v>
      </c>
      <c r="B64" s="33" t="s">
        <v>94</v>
      </c>
      <c r="C64" s="33" t="s">
        <v>95</v>
      </c>
      <c r="D64" s="34">
        <v>1.5E-3</v>
      </c>
      <c r="E64" s="35">
        <f>'Aug 31'!$D64*$C$6*$C$2</f>
        <v>86802.114442500009</v>
      </c>
      <c r="F64" s="35">
        <f>INDEX('TWS data'!M:M,MATCH(Table1389584567991011121314[[#This Row],[IB Ticker]],'TWS data'!B:B,0))</f>
        <v>139454</v>
      </c>
      <c r="G64" s="71">
        <f>'Aug 31'!$E64/'Aug 31'!$F64</f>
        <v>0.6224426294154346</v>
      </c>
      <c r="H64" s="33">
        <f>INDEX('TWS data'!F:F,MATCH(Table1389584567991011121314[[#This Row],[IB Ticker]],'TWS data'!B:B,0))</f>
        <v>1</v>
      </c>
      <c r="I64" s="33">
        <v>1</v>
      </c>
      <c r="J64" s="37">
        <f t="shared" si="4"/>
        <v>0</v>
      </c>
      <c r="K64" s="38">
        <f>'Aug 31'!$F64*'Aug 31'!$I64</f>
        <v>139454</v>
      </c>
      <c r="L64" s="39">
        <f>'Aug 31'!$K64/$K$2</f>
        <v>2.375234053863369E-3</v>
      </c>
      <c r="M64" s="40"/>
      <c r="N64" s="2"/>
      <c r="O64" s="2">
        <f>Table1389584567991011121314[[#This Row],[Change]]*Table1389584567991011121314[[#This Row],[Last price]]</f>
        <v>0</v>
      </c>
      <c r="P64" s="42">
        <f t="shared" si="1"/>
        <v>0</v>
      </c>
    </row>
    <row r="65" spans="1:16" s="41" customFormat="1" ht="12.75" x14ac:dyDescent="0.2">
      <c r="A65" s="33"/>
      <c r="B65" s="33"/>
      <c r="C65" s="33"/>
      <c r="D65" s="34"/>
      <c r="E65" s="35"/>
      <c r="F65" s="35"/>
      <c r="G65" s="36"/>
      <c r="H65" s="33"/>
      <c r="I65" s="33"/>
      <c r="J65" s="40"/>
      <c r="K65" s="38"/>
      <c r="L65" s="39"/>
      <c r="M65" s="40"/>
      <c r="N65" s="2"/>
      <c r="O65" s="2">
        <f>Table1389584567991011121314[[#This Row],[Change]]*Table1389584567991011121314[[#This Row],[Last price]]</f>
        <v>0</v>
      </c>
      <c r="P65" s="42">
        <f t="shared" si="1"/>
        <v>0</v>
      </c>
    </row>
    <row r="66" spans="1:16" s="41" customFormat="1" ht="12.75" x14ac:dyDescent="0.2">
      <c r="A66" s="33"/>
      <c r="B66" s="33"/>
      <c r="C66" s="33"/>
      <c r="D66" s="34"/>
      <c r="E66" s="35"/>
      <c r="F66" s="35"/>
      <c r="G66" s="36"/>
      <c r="H66" s="33"/>
      <c r="I66" s="33"/>
      <c r="J66" s="40"/>
      <c r="K66" s="38"/>
      <c r="L66" s="39"/>
      <c r="M66" s="40"/>
      <c r="N66" s="2"/>
      <c r="O66" s="2">
        <f>Table1389584567991011121314[[#This Row],[Change]]*Table1389584567991011121314[[#This Row],[Last price]]</f>
        <v>0</v>
      </c>
      <c r="P66" s="42">
        <f t="shared" si="1"/>
        <v>0</v>
      </c>
    </row>
    <row r="67" spans="1:16" s="41" customFormat="1" ht="12.75" x14ac:dyDescent="0.2">
      <c r="A67" s="33"/>
      <c r="B67" s="33"/>
      <c r="C67" s="33"/>
      <c r="D67" s="34"/>
      <c r="E67" s="35"/>
      <c r="F67" s="35"/>
      <c r="G67" s="36"/>
      <c r="H67" s="33"/>
      <c r="I67" s="33"/>
      <c r="J67" s="40"/>
      <c r="K67" s="38"/>
      <c r="L67" s="39"/>
      <c r="M67" s="40"/>
      <c r="N67" s="2"/>
      <c r="O67" s="2">
        <f>Table1389584567991011121314[[#This Row],[Change]]*Table1389584567991011121314[[#This Row],[Last price]]</f>
        <v>0</v>
      </c>
    </row>
    <row r="68" spans="1:16" s="41" customFormat="1" ht="12.75" x14ac:dyDescent="0.2">
      <c r="A68" s="33"/>
      <c r="B68" s="33"/>
      <c r="C68" s="33"/>
      <c r="D68" s="34"/>
      <c r="E68" s="35"/>
      <c r="F68" s="35"/>
      <c r="G68" s="36"/>
      <c r="H68" s="33"/>
      <c r="I68" s="33"/>
      <c r="J68" s="40"/>
      <c r="K68" s="38"/>
      <c r="L68" s="39"/>
      <c r="M68" s="40"/>
      <c r="N68" s="2"/>
      <c r="O68" s="2">
        <f>Table1389584567991011121314[[#This Row],[Change]]*Table1389584567991011121314[[#This Row],[Last price]]</f>
        <v>0</v>
      </c>
    </row>
    <row r="69" spans="1:16" s="41" customFormat="1" ht="12.75" x14ac:dyDescent="0.2">
      <c r="A69" s="33"/>
      <c r="B69" s="33"/>
      <c r="C69" s="33"/>
      <c r="D69" s="34"/>
      <c r="E69" s="35"/>
      <c r="F69" s="35"/>
      <c r="G69" s="36"/>
      <c r="H69" s="33"/>
      <c r="I69" s="33"/>
      <c r="J69" s="40"/>
      <c r="K69" s="38"/>
      <c r="L69" s="39"/>
      <c r="M69" s="40"/>
      <c r="N69" s="2"/>
      <c r="O69" s="2">
        <f>Table1389584567991011121314[[#This Row],[Change]]*Table1389584567991011121314[[#This Row],[Last price]]</f>
        <v>0</v>
      </c>
    </row>
    <row r="70" spans="1:16" s="41" customFormat="1" ht="12.75" x14ac:dyDescent="0.2">
      <c r="A70" s="33"/>
      <c r="B70" s="33"/>
      <c r="C70" s="33"/>
      <c r="D70" s="34"/>
      <c r="E70" s="35"/>
      <c r="F70" s="35"/>
      <c r="G70" s="36"/>
      <c r="H70" s="33"/>
      <c r="I70" s="33"/>
      <c r="J70" s="40"/>
      <c r="K70" s="38"/>
      <c r="L70" s="39"/>
      <c r="M70" s="40"/>
      <c r="N70" s="2"/>
      <c r="O70" s="2">
        <f>Table1389584567991011121314[[#This Row],[Change]]*Table1389584567991011121314[[#This Row],[Last price]]</f>
        <v>0</v>
      </c>
    </row>
    <row r="71" spans="1:16" s="41" customFormat="1" ht="12.75" x14ac:dyDescent="0.2">
      <c r="A71" s="33"/>
      <c r="B71" s="33"/>
      <c r="C71" s="33"/>
      <c r="D71" s="34"/>
      <c r="E71" s="35"/>
      <c r="F71" s="35"/>
      <c r="G71" s="36"/>
      <c r="H71" s="33"/>
      <c r="I71" s="33"/>
      <c r="J71" s="40"/>
      <c r="K71" s="38"/>
      <c r="L71" s="39"/>
      <c r="M71" s="40"/>
      <c r="N71" s="2"/>
      <c r="O71" s="2">
        <f>Table1389584567991011121314[[#This Row],[Change]]*Table1389584567991011121314[[#This Row],[Last price]]</f>
        <v>0</v>
      </c>
    </row>
    <row r="72" spans="1:16" s="15" customFormat="1" ht="12.75" x14ac:dyDescent="0.2">
      <c r="A72" s="47" t="s">
        <v>206</v>
      </c>
      <c r="B72" s="65"/>
      <c r="C72" s="65"/>
      <c r="D72" s="72">
        <f>SUM(D55:D71)</f>
        <v>1.4999999999999998E-2</v>
      </c>
      <c r="E72" s="49">
        <f>SUM(E54:E71)</f>
        <v>868021.14442500018</v>
      </c>
      <c r="F72" s="70"/>
      <c r="G72" s="70"/>
      <c r="H72" s="65"/>
      <c r="I72" s="65"/>
      <c r="J72" s="47"/>
      <c r="K72" s="49">
        <f>SUM(K54:K71)</f>
        <v>1042781</v>
      </c>
      <c r="L72" s="53">
        <f>'Aug 31'!$K72/$K$2</f>
        <v>1.7761046236907496E-2</v>
      </c>
      <c r="M72" s="50"/>
      <c r="O72" s="2">
        <f>Table1389584567991011121314[[#This Row],[Change]]*Table1389584567991011121314[[#This Row],[Last price]]</f>
        <v>0</v>
      </c>
      <c r="P72" s="41"/>
    </row>
    <row r="73" spans="1:16" x14ac:dyDescent="0.25">
      <c r="A73" s="33"/>
      <c r="B73" s="60"/>
      <c r="C73" s="60"/>
      <c r="D73" s="73"/>
      <c r="E73" s="35"/>
      <c r="F73" s="35"/>
      <c r="G73" s="36"/>
      <c r="H73" s="60"/>
      <c r="I73" s="60"/>
      <c r="J73" s="33"/>
      <c r="K73" s="33"/>
      <c r="L73" s="39"/>
      <c r="M73" s="62"/>
      <c r="O73" s="2">
        <f>Table1389584567991011121314[[#This Row],[Change]]*Table1389584567991011121314[[#This Row],[Last price]]</f>
        <v>0</v>
      </c>
      <c r="P73" s="15"/>
    </row>
    <row r="74" spans="1:16" x14ac:dyDescent="0.25">
      <c r="A74" s="33"/>
      <c r="B74" s="60"/>
      <c r="C74" s="60"/>
      <c r="D74" s="74"/>
      <c r="E74" s="63"/>
      <c r="F74" s="35"/>
      <c r="G74" s="36"/>
      <c r="H74" s="60"/>
      <c r="I74" s="60"/>
      <c r="J74" s="33"/>
      <c r="K74" s="33"/>
      <c r="L74" s="39"/>
      <c r="M74" s="62"/>
      <c r="O74" s="2">
        <f>Table1389584567991011121314[[#This Row],[Change]]*Table1389584567991011121314[[#This Row],[Last price]]</f>
        <v>0</v>
      </c>
    </row>
    <row r="75" spans="1:16" s="15" customFormat="1" ht="12.75" x14ac:dyDescent="0.2">
      <c r="A75" s="47" t="s">
        <v>207</v>
      </c>
      <c r="B75" s="65"/>
      <c r="C75" s="65"/>
      <c r="D75" s="65"/>
      <c r="E75" s="75"/>
      <c r="F75" s="75"/>
      <c r="G75" s="47"/>
      <c r="H75" s="65"/>
      <c r="I75" s="65"/>
      <c r="J75" s="65"/>
      <c r="K75" s="75">
        <f>SUM(K27,K29,K39,K52,K72)</f>
        <v>58711687.706386276</v>
      </c>
      <c r="L75" s="53">
        <f>'Aug 31'!$K75/$K$2</f>
        <v>1</v>
      </c>
      <c r="M75" s="65"/>
      <c r="O75" s="2">
        <f>Table1389584567991011121314[[#This Row],[Change]]*Table1389584567991011121314[[#This Row],[Last price]]</f>
        <v>0</v>
      </c>
      <c r="P75" s="2"/>
    </row>
    <row r="76" spans="1:16" x14ac:dyDescent="0.25">
      <c r="A76" s="62"/>
      <c r="B76" s="62"/>
      <c r="C76" s="62"/>
      <c r="D76" s="76"/>
      <c r="E76" s="77"/>
      <c r="F76" s="35"/>
      <c r="G76" s="218"/>
      <c r="H76" s="62"/>
      <c r="I76" s="62"/>
      <c r="J76" s="62"/>
      <c r="K76" s="62"/>
      <c r="L76" s="39"/>
      <c r="M76" s="62"/>
      <c r="O76" s="2">
        <f>Table1389584567991011121314[[#This Row],[Change]]*Table1389584567991011121314[[#This Row],[Last price]]</f>
        <v>0</v>
      </c>
      <c r="P76" s="15"/>
    </row>
    <row r="77" spans="1:16" x14ac:dyDescent="0.25">
      <c r="A77" s="62"/>
      <c r="B77" s="62"/>
      <c r="C77" s="62"/>
      <c r="D77" s="76"/>
      <c r="E77" s="77"/>
      <c r="F77" s="35"/>
      <c r="G77" s="218"/>
      <c r="H77" s="62"/>
      <c r="I77" s="62"/>
      <c r="J77" s="62"/>
      <c r="K77" s="62"/>
      <c r="L77" s="39"/>
      <c r="M77" s="62"/>
      <c r="O77" s="2">
        <f>Table1389584567991011121314[[#This Row],[Change]]*Table1389584567991011121314[[#This Row],[Last price]]</f>
        <v>0</v>
      </c>
    </row>
    <row r="78" spans="1:16" x14ac:dyDescent="0.25">
      <c r="A78" s="62"/>
      <c r="B78" s="62"/>
      <c r="C78" s="62"/>
      <c r="D78" s="76"/>
      <c r="E78" s="77"/>
      <c r="F78" s="35"/>
      <c r="G78" s="218"/>
      <c r="H78" s="62"/>
      <c r="I78" s="62"/>
      <c r="J78" s="62"/>
      <c r="K78" s="62"/>
      <c r="L78" s="39"/>
      <c r="M78" s="62"/>
      <c r="O78" s="2">
        <f>Table1389584567991011121314[[#This Row],[Change]]*Table1389584567991011121314[[#This Row],[Last price]]</f>
        <v>0</v>
      </c>
    </row>
    <row r="79" spans="1:16" x14ac:dyDescent="0.25">
      <c r="A79" s="62"/>
      <c r="B79" s="62"/>
      <c r="C79" s="62"/>
      <c r="D79" s="76"/>
      <c r="E79" s="77"/>
      <c r="F79" s="35"/>
      <c r="G79" s="218"/>
      <c r="H79" s="62"/>
      <c r="I79" s="62"/>
      <c r="J79" s="62"/>
      <c r="K79" s="62"/>
      <c r="L79" s="39"/>
      <c r="M79" s="62"/>
      <c r="O79" s="2">
        <f>Table1389584567991011121314[[#This Row],[Change]]*Table1389584567991011121314[[#This Row],[Last price]]</f>
        <v>0</v>
      </c>
    </row>
    <row r="80" spans="1:16" x14ac:dyDescent="0.25">
      <c r="A80" s="62"/>
      <c r="B80" s="62"/>
      <c r="C80" s="62"/>
      <c r="D80" s="76"/>
      <c r="E80" s="77"/>
      <c r="F80" s="35"/>
      <c r="G80" s="218"/>
      <c r="H80" s="62"/>
      <c r="I80" s="62"/>
      <c r="J80" s="62"/>
      <c r="K80" s="62"/>
      <c r="L80" s="39"/>
      <c r="M80" s="62"/>
      <c r="O80" s="2">
        <f>Table1389584567991011121314[[#This Row],[Change]]*Table1389584567991011121314[[#This Row],[Last price]]</f>
        <v>0</v>
      </c>
    </row>
    <row r="81" spans="1:15" x14ac:dyDescent="0.25">
      <c r="A81" s="62"/>
      <c r="B81" s="62"/>
      <c r="C81" s="62"/>
      <c r="D81" s="76"/>
      <c r="E81" s="77"/>
      <c r="F81" s="35"/>
      <c r="G81" s="218"/>
      <c r="H81" s="62"/>
      <c r="I81" s="62"/>
      <c r="J81" s="62"/>
      <c r="K81" s="62"/>
      <c r="L81" s="39"/>
      <c r="M81" s="62"/>
      <c r="O81" s="2">
        <f>Table1389584567991011121314[[#This Row],[Change]]*Table1389584567991011121314[[#This Row],[Last price]]</f>
        <v>0</v>
      </c>
    </row>
    <row r="82" spans="1:15" x14ac:dyDescent="0.25">
      <c r="A82" s="62"/>
      <c r="B82" s="62"/>
      <c r="C82" s="62"/>
      <c r="D82" s="76"/>
      <c r="E82" s="77"/>
      <c r="F82" s="35"/>
      <c r="G82" s="218"/>
      <c r="H82" s="62"/>
      <c r="I82" s="62"/>
      <c r="J82" s="62"/>
      <c r="K82" s="62"/>
      <c r="L82" s="39"/>
      <c r="M82" s="62"/>
      <c r="O82" s="2">
        <f>Table1389584567991011121314[[#This Row],[Change]]*Table1389584567991011121314[[#This Row],[Last price]]</f>
        <v>0</v>
      </c>
    </row>
    <row r="83" spans="1:15" x14ac:dyDescent="0.25">
      <c r="A83" s="62"/>
      <c r="B83" s="62"/>
      <c r="C83" s="62"/>
      <c r="D83" s="76"/>
      <c r="E83" s="77"/>
      <c r="F83" s="35"/>
      <c r="G83" s="218"/>
      <c r="H83" s="62"/>
      <c r="I83" s="62"/>
      <c r="J83" s="62"/>
      <c r="K83" s="62"/>
      <c r="L83" s="39"/>
      <c r="M83" s="62"/>
      <c r="O83" s="2">
        <f>Table1389584567991011121314[[#This Row],[Change]]*Table1389584567991011121314[[#This Row],[Last price]]</f>
        <v>0</v>
      </c>
    </row>
    <row r="84" spans="1:15" x14ac:dyDescent="0.25">
      <c r="A84" s="62"/>
      <c r="B84" s="62"/>
      <c r="C84" s="62"/>
      <c r="D84" s="76"/>
      <c r="E84" s="77"/>
      <c r="F84" s="35"/>
      <c r="G84" s="218"/>
      <c r="H84" s="62"/>
      <c r="I84" s="62"/>
      <c r="J84" s="62"/>
      <c r="K84" s="62"/>
      <c r="L84" s="39"/>
      <c r="M84" s="62"/>
      <c r="O84" s="2">
        <f>Table1389584567991011121314[[#This Row],[Change]]*Table1389584567991011121314[[#This Row],[Last price]]</f>
        <v>0</v>
      </c>
    </row>
    <row r="85" spans="1:15" s="2" customFormat="1" ht="12.75" x14ac:dyDescent="0.2">
      <c r="O85" s="2" t="e">
        <f>Table1389584567991011121314[[#This Row],[Change]]*Table1389584567991011121314[[#This Row],[Last price]]</f>
        <v>#VALUE!</v>
      </c>
    </row>
    <row r="86" spans="1:15" s="2" customFormat="1" ht="12.75" x14ac:dyDescent="0.2">
      <c r="O86" s="2" t="e">
        <f>Table1389584567991011121314[[#This Row],[Change]]*Table1389584567991011121314[[#This Row],[Last price]]</f>
        <v>#VALUE!</v>
      </c>
    </row>
    <row r="88" spans="1:15" s="2" customFormat="1" ht="12.75" x14ac:dyDescent="0.2">
      <c r="A88" s="79"/>
      <c r="B88" s="79"/>
      <c r="E88" s="79"/>
      <c r="F88" s="79"/>
      <c r="G88" s="79"/>
      <c r="H88" s="80"/>
      <c r="M88" s="79"/>
    </row>
    <row r="89" spans="1:15" s="2" customFormat="1" ht="12.75" x14ac:dyDescent="0.2">
      <c r="A89" s="79"/>
      <c r="B89" s="79"/>
      <c r="E89" s="79"/>
      <c r="F89" s="79"/>
      <c r="G89" s="79"/>
      <c r="H89" s="80"/>
      <c r="M89" s="79"/>
    </row>
    <row r="90" spans="1:15" s="2" customFormat="1" ht="12.75" x14ac:dyDescent="0.2">
      <c r="A90" s="81"/>
      <c r="B90" s="81"/>
    </row>
    <row r="91" spans="1:15" s="2" customFormat="1" ht="12.75" x14ac:dyDescent="0.2">
      <c r="A91" s="82"/>
      <c r="B91" s="82"/>
      <c r="E91" s="82"/>
      <c r="F91" s="81"/>
      <c r="G91" s="81"/>
      <c r="M91" s="83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2"/>
  <sheetViews>
    <sheetView tabSelected="1" topLeftCell="C1" zoomScaleNormal="100" workbookViewId="0">
      <selection activeCell="R13" sqref="R13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19.710937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16.42578125" customWidth="1"/>
    <col min="12" max="12" width="13.42578125" customWidth="1"/>
    <col min="13" max="13" width="16.42578125" style="2" customWidth="1"/>
    <col min="14" max="14" width="10.5703125" style="2" customWidth="1"/>
    <col min="15" max="15" width="13" style="2" customWidth="1"/>
    <col min="16" max="16" width="14.7109375" style="2" bestFit="1" customWidth="1"/>
    <col min="17" max="17" width="10.85546875" style="2" customWidth="1"/>
    <col min="18" max="18" width="15.7109375" style="2" bestFit="1" customWidth="1"/>
    <col min="19" max="19" width="11.28515625" style="2" customWidth="1"/>
    <col min="20" max="1024" width="9.140625" style="2"/>
  </cols>
  <sheetData>
    <row r="1" spans="1:19" s="2" customFormat="1" ht="26.25" x14ac:dyDescent="0.25">
      <c r="A1" s="3"/>
      <c r="B1" s="3" t="s">
        <v>137</v>
      </c>
      <c r="C1" s="4">
        <v>44046</v>
      </c>
      <c r="D1" s="5"/>
      <c r="E1" s="6" t="s">
        <v>138</v>
      </c>
      <c r="F1" s="7"/>
      <c r="G1" s="8"/>
      <c r="I1" s="219">
        <f>8.89*14290291.7*4</f>
        <v>508162772.852</v>
      </c>
      <c r="K1" s="9" t="s">
        <v>139</v>
      </c>
      <c r="L1" s="9" t="s">
        <v>140</v>
      </c>
      <c r="M1" s="10" t="s">
        <v>141</v>
      </c>
    </row>
    <row r="2" spans="1:19" x14ac:dyDescent="0.25">
      <c r="A2" s="3"/>
      <c r="B2" s="3" t="s">
        <v>142</v>
      </c>
      <c r="C2" s="11">
        <v>8.9</v>
      </c>
      <c r="D2" s="12"/>
      <c r="E2" s="13">
        <f>SUM(E26,E38,E53,E73,E28)</f>
        <v>71335873.011460677</v>
      </c>
      <c r="F2" s="14"/>
      <c r="G2" s="15"/>
      <c r="H2" s="12"/>
      <c r="I2" s="12"/>
      <c r="J2" s="12"/>
      <c r="K2" s="13">
        <f>SUM(K26,K38,K53,K73,K28)</f>
        <v>71359212.053837508</v>
      </c>
      <c r="L2" s="16">
        <f>SUM(L53,L73,L38,L26,L28)</f>
        <v>0.99999999999999989</v>
      </c>
      <c r="M2" s="17">
        <f>K2/C6</f>
        <v>8.902929629403916</v>
      </c>
      <c r="P2" s="18"/>
    </row>
    <row r="3" spans="1:19" ht="39" x14ac:dyDescent="0.25">
      <c r="A3" s="3"/>
      <c r="B3" s="3" t="s">
        <v>143</v>
      </c>
      <c r="C3" s="19">
        <v>8015250.5999999996</v>
      </c>
      <c r="D3" s="20"/>
      <c r="E3" s="6" t="s">
        <v>144</v>
      </c>
      <c r="F3" s="14"/>
      <c r="I3" s="12"/>
      <c r="J3" s="12"/>
      <c r="K3" s="9" t="s">
        <v>139</v>
      </c>
      <c r="L3" s="12"/>
      <c r="M3" s="10" t="s">
        <v>145</v>
      </c>
      <c r="P3" s="219">
        <f>P7+'Aug 5'!P7+'Aug 7'!P7+'Aug 10'!P7+'Aug 12'!P7+'Aug 14'!P7+'Aug 18'!P7+'Aug 21'!P7+'Aug 24'!P7+'Aug 26'!P7+'Aug 28'!P7+'Aug 31'!P7</f>
        <v>85723807.24203068</v>
      </c>
      <c r="R3" s="15" t="s">
        <v>252</v>
      </c>
      <c r="S3" s="220">
        <v>8.89</v>
      </c>
    </row>
    <row r="4" spans="1:19" x14ac:dyDescent="0.25">
      <c r="A4" s="3"/>
      <c r="B4" s="3" t="s">
        <v>146</v>
      </c>
      <c r="C4" s="19">
        <v>0</v>
      </c>
      <c r="D4" s="20"/>
      <c r="E4" s="13">
        <f>SUM(E26,E73,E28)</f>
        <v>10700430.886730339</v>
      </c>
      <c r="F4" s="14"/>
      <c r="I4" s="12"/>
      <c r="J4" s="12"/>
      <c r="K4" s="13">
        <f>SUM(K26,K73,K28)</f>
        <v>10892816.542343259</v>
      </c>
      <c r="L4" s="12"/>
      <c r="M4" s="17">
        <f>K4/$C$6</f>
        <v>1.3590113504802033</v>
      </c>
      <c r="P4" s="21"/>
      <c r="R4" s="15" t="s">
        <v>253</v>
      </c>
      <c r="S4" s="221">
        <v>14000000</v>
      </c>
    </row>
    <row r="5" spans="1:19" x14ac:dyDescent="0.25">
      <c r="A5" s="3"/>
      <c r="B5" s="3" t="s">
        <v>147</v>
      </c>
      <c r="C5" s="19">
        <v>0</v>
      </c>
      <c r="D5" s="20"/>
      <c r="E5" s="14"/>
      <c r="F5" s="14"/>
      <c r="I5" s="12"/>
      <c r="J5" s="12"/>
      <c r="K5" s="12"/>
      <c r="L5" s="12"/>
      <c r="M5" s="12"/>
      <c r="P5" s="21"/>
      <c r="R5" s="15"/>
      <c r="S5" s="222">
        <f>S4*S3</f>
        <v>124460000.00000001</v>
      </c>
    </row>
    <row r="6" spans="1:19" x14ac:dyDescent="0.25">
      <c r="A6" s="3"/>
      <c r="B6" s="3" t="s">
        <v>148</v>
      </c>
      <c r="C6" s="19">
        <f>C3+C4-C5</f>
        <v>8015250.5999999996</v>
      </c>
      <c r="D6" s="20"/>
      <c r="E6" s="14"/>
      <c r="F6" s="14"/>
      <c r="G6" s="15"/>
      <c r="H6" s="12"/>
      <c r="I6" s="12"/>
      <c r="J6" s="12"/>
      <c r="K6" s="12"/>
      <c r="L6" s="12"/>
      <c r="M6" s="12"/>
      <c r="P6" s="21"/>
    </row>
    <row r="7" spans="1:19" x14ac:dyDescent="0.25">
      <c r="A7" s="22"/>
      <c r="B7" s="23"/>
      <c r="C7" s="23"/>
      <c r="D7" s="24"/>
      <c r="E7" s="25"/>
      <c r="F7" s="25"/>
      <c r="G7" s="25"/>
      <c r="H7" s="26"/>
      <c r="I7" s="26"/>
      <c r="J7" s="26"/>
      <c r="K7" s="12"/>
      <c r="L7" s="12"/>
      <c r="M7" s="12"/>
      <c r="P7" s="219">
        <f>SUM(P9:P65)/2</f>
        <v>9455673.9403548706</v>
      </c>
    </row>
    <row r="8" spans="1:19" s="30" customFormat="1" ht="38.25" x14ac:dyDescent="0.2">
      <c r="A8" s="27" t="s">
        <v>149</v>
      </c>
      <c r="B8" s="27" t="s">
        <v>150</v>
      </c>
      <c r="C8" s="28" t="s">
        <v>1</v>
      </c>
      <c r="D8" s="28" t="s">
        <v>151</v>
      </c>
      <c r="E8" s="28" t="s">
        <v>152</v>
      </c>
      <c r="F8" s="28" t="s">
        <v>153</v>
      </c>
      <c r="G8" s="28" t="s">
        <v>154</v>
      </c>
      <c r="H8" s="28" t="s">
        <v>155</v>
      </c>
      <c r="I8" s="28" t="s">
        <v>156</v>
      </c>
      <c r="J8" s="28" t="s">
        <v>157</v>
      </c>
      <c r="K8" s="29" t="s">
        <v>158</v>
      </c>
      <c r="L8" s="29" t="s">
        <v>159</v>
      </c>
      <c r="M8" s="29" t="s">
        <v>160</v>
      </c>
      <c r="P8" s="31"/>
      <c r="S8" s="32"/>
    </row>
    <row r="9" spans="1:19" s="41" customFormat="1" ht="12.75" x14ac:dyDescent="0.2">
      <c r="A9" s="33" t="s">
        <v>161</v>
      </c>
      <c r="B9" s="33" t="s">
        <v>41</v>
      </c>
      <c r="C9" s="33" t="s">
        <v>42</v>
      </c>
      <c r="D9" s="34">
        <v>8.0770000000000008E-3</v>
      </c>
      <c r="E9" s="35">
        <f>'Aug 3'!$D9*$C$6*$C$2</f>
        <v>576178.69395618001</v>
      </c>
      <c r="F9" s="35">
        <v>440.41016200294598</v>
      </c>
      <c r="G9" s="36">
        <f>'Aug 3'!$E9/'Aug 3'!$F9</f>
        <v>1308.2774732893786</v>
      </c>
      <c r="H9" s="33">
        <v>1358</v>
      </c>
      <c r="I9" s="33">
        <v>1358</v>
      </c>
      <c r="J9" s="37">
        <f t="shared" ref="J9:J24" si="0">I9-H9</f>
        <v>0</v>
      </c>
      <c r="K9" s="38">
        <f>'Aug 3'!$F9*'Aug 3'!$I9</f>
        <v>598077.0000000007</v>
      </c>
      <c r="L9" s="39">
        <f>'Aug 3'!$K9/$K$2</f>
        <v>8.3812164230285622E-3</v>
      </c>
      <c r="M9" s="40"/>
      <c r="O9" s="2">
        <f>Table138958[[#This Row],[Change]]*Table138958[[#This Row],[Last price]]</f>
        <v>0</v>
      </c>
      <c r="P9" s="42">
        <f>ABS(O9)</f>
        <v>0</v>
      </c>
    </row>
    <row r="10" spans="1:19" s="41" customFormat="1" ht="25.5" customHeight="1" x14ac:dyDescent="0.2">
      <c r="A10" s="33" t="s">
        <v>161</v>
      </c>
      <c r="B10" s="33" t="s">
        <v>47</v>
      </c>
      <c r="C10" s="33" t="s">
        <v>48</v>
      </c>
      <c r="D10" s="34">
        <v>8.0770000000000008E-3</v>
      </c>
      <c r="E10" s="35">
        <f>'Aug 3'!$D10*$C$6*$C$2</f>
        <v>576178.69395618001</v>
      </c>
      <c r="F10" s="35">
        <v>649.50054764512595</v>
      </c>
      <c r="G10" s="36">
        <f>'Aug 3'!$E10/'Aug 3'!$F10</f>
        <v>887.11040513393448</v>
      </c>
      <c r="H10" s="33">
        <v>913</v>
      </c>
      <c r="I10" s="33">
        <v>913</v>
      </c>
      <c r="J10" s="37">
        <f t="shared" si="0"/>
        <v>0</v>
      </c>
      <c r="K10" s="38">
        <f>'Aug 3'!$F10*'Aug 3'!$I10</f>
        <v>592994</v>
      </c>
      <c r="L10" s="39">
        <f>'Aug 3'!$K10/$K$2</f>
        <v>8.3099852553390179E-3</v>
      </c>
      <c r="M10" s="40"/>
      <c r="O10" s="2">
        <f>Table138958[[#This Row],[Change]]*Table138958[[#This Row],[Last price]]</f>
        <v>0</v>
      </c>
      <c r="P10" s="42">
        <f t="shared" ref="P10:P65" si="1">ABS(O10)</f>
        <v>0</v>
      </c>
    </row>
    <row r="11" spans="1:19" s="41" customFormat="1" ht="12.75" customHeight="1" x14ac:dyDescent="0.2">
      <c r="A11" s="33" t="s">
        <v>161</v>
      </c>
      <c r="B11" s="33" t="s">
        <v>162</v>
      </c>
      <c r="C11" s="33" t="s">
        <v>163</v>
      </c>
      <c r="D11" s="34">
        <v>0</v>
      </c>
      <c r="E11" s="35">
        <f>'Aug 3'!$D11*$C$6*$C$2</f>
        <v>0</v>
      </c>
      <c r="F11" s="35"/>
      <c r="G11" s="36"/>
      <c r="H11" s="33"/>
      <c r="I11" s="33">
        <v>0</v>
      </c>
      <c r="J11" s="37">
        <f t="shared" si="0"/>
        <v>0</v>
      </c>
      <c r="K11" s="38">
        <f>'Aug 3'!$F11*'Aug 3'!$I11</f>
        <v>0</v>
      </c>
      <c r="L11" s="39">
        <f>'Aug 3'!$K11/$K$2</f>
        <v>0</v>
      </c>
      <c r="M11" s="40"/>
      <c r="O11" s="2">
        <f>Table138958[[#This Row],[Change]]*Table138958[[#This Row],[Last price]]</f>
        <v>0</v>
      </c>
      <c r="P11" s="42">
        <f t="shared" si="1"/>
        <v>0</v>
      </c>
    </row>
    <row r="12" spans="1:19" s="41" customFormat="1" ht="12.75" customHeight="1" x14ac:dyDescent="0.2">
      <c r="A12" s="33" t="s">
        <v>161</v>
      </c>
      <c r="B12" s="33" t="s">
        <v>50</v>
      </c>
      <c r="C12" s="33" t="s">
        <v>51</v>
      </c>
      <c r="D12" s="34">
        <v>8.0770000000000008E-3</v>
      </c>
      <c r="E12" s="35">
        <f>'Aug 3'!$D12*$C$6*$C$2</f>
        <v>576178.69395618001</v>
      </c>
      <c r="F12" s="35">
        <v>1485</v>
      </c>
      <c r="G12" s="36">
        <f>'Aug 3'!$E12/'Aug 3'!$F12</f>
        <v>387.9991205092121</v>
      </c>
      <c r="H12" s="33">
        <v>404</v>
      </c>
      <c r="I12" s="33">
        <v>404</v>
      </c>
      <c r="J12" s="37">
        <f t="shared" si="0"/>
        <v>0</v>
      </c>
      <c r="K12" s="38">
        <f>'Aug 3'!$F12*'Aug 3'!$I12</f>
        <v>599940</v>
      </c>
      <c r="L12" s="39">
        <f>'Aug 3'!$K12/$K$2</f>
        <v>8.4073237740821833E-3</v>
      </c>
      <c r="M12" s="40"/>
      <c r="O12" s="2">
        <f>Table138958[[#This Row],[Change]]*Table138958[[#This Row],[Last price]]</f>
        <v>0</v>
      </c>
      <c r="P12" s="42">
        <f t="shared" si="1"/>
        <v>0</v>
      </c>
    </row>
    <row r="13" spans="1:19" s="41" customFormat="1" ht="12.75" customHeight="1" x14ac:dyDescent="0.2">
      <c r="A13" s="33" t="s">
        <v>161</v>
      </c>
      <c r="B13" s="33" t="s">
        <v>61</v>
      </c>
      <c r="C13" s="33" t="s">
        <v>62</v>
      </c>
      <c r="D13" s="34">
        <v>8.0770000000000008E-3</v>
      </c>
      <c r="E13" s="35">
        <f>'Aug 3'!$D13*$C$6*$C$2</f>
        <v>576178.69395618001</v>
      </c>
      <c r="F13" s="35">
        <v>435.60014836795301</v>
      </c>
      <c r="G13" s="36">
        <f>'Aug 3'!$E13/'Aug 3'!$F13</f>
        <v>1322.723823935615</v>
      </c>
      <c r="H13" s="33">
        <v>1348</v>
      </c>
      <c r="I13" s="33">
        <v>1348</v>
      </c>
      <c r="J13" s="37">
        <f t="shared" si="0"/>
        <v>0</v>
      </c>
      <c r="K13" s="38">
        <f>'Aug 3'!$F13*'Aug 3'!$I13</f>
        <v>587189.0000000007</v>
      </c>
      <c r="L13" s="39">
        <f>'Aug 3'!$K13/$K$2</f>
        <v>8.2286362629255417E-3</v>
      </c>
      <c r="M13" s="40"/>
      <c r="O13" s="2">
        <f>Table138958[[#This Row],[Change]]*Table138958[[#This Row],[Last price]]</f>
        <v>0</v>
      </c>
      <c r="P13" s="42">
        <f t="shared" si="1"/>
        <v>0</v>
      </c>
    </row>
    <row r="14" spans="1:19" s="41" customFormat="1" ht="12.75" customHeight="1" x14ac:dyDescent="0.2">
      <c r="A14" s="33" t="s">
        <v>161</v>
      </c>
      <c r="B14" s="33" t="s">
        <v>164</v>
      </c>
      <c r="C14" s="33" t="s">
        <v>165</v>
      </c>
      <c r="D14" s="34">
        <v>8.0770000000000008E-3</v>
      </c>
      <c r="E14" s="35">
        <f>'Aug 3'!$D14*$C$6*$C$2</f>
        <v>576178.69395618001</v>
      </c>
      <c r="F14" s="35">
        <v>444</v>
      </c>
      <c r="G14" s="36">
        <f>'Aug 3'!$E14/'Aug 3'!$F14</f>
        <v>1297.6997611625675</v>
      </c>
      <c r="H14" s="33">
        <v>1322</v>
      </c>
      <c r="I14" s="33">
        <v>1322</v>
      </c>
      <c r="J14" s="37">
        <f t="shared" si="0"/>
        <v>0</v>
      </c>
      <c r="K14" s="38">
        <f>'Aug 3'!$F14*'Aug 3'!$I14</f>
        <v>586968</v>
      </c>
      <c r="L14" s="39">
        <f>'Aug 3'!$K14/$K$2</f>
        <v>8.2255392556346823E-3</v>
      </c>
      <c r="M14" s="40"/>
      <c r="O14" s="2">
        <f>Table138958[[#This Row],[Change]]*Table138958[[#This Row],[Last price]]</f>
        <v>0</v>
      </c>
      <c r="P14" s="42">
        <f t="shared" si="1"/>
        <v>0</v>
      </c>
    </row>
    <row r="15" spans="1:19" s="41" customFormat="1" ht="12.75" customHeight="1" x14ac:dyDescent="0.2">
      <c r="A15" s="33" t="s">
        <v>161</v>
      </c>
      <c r="B15" s="33" t="s">
        <v>53</v>
      </c>
      <c r="C15" s="33" t="s">
        <v>54</v>
      </c>
      <c r="D15" s="34">
        <v>8.0770000000000008E-3</v>
      </c>
      <c r="E15" s="35">
        <f>'Aug 3'!$D15*$C$6*$C$2</f>
        <v>576178.69395618001</v>
      </c>
      <c r="F15" s="35">
        <v>278.64009546539398</v>
      </c>
      <c r="G15" s="36">
        <f>'Aug 3'!$E15/'Aug 3'!$F15</f>
        <v>2067.824061694449</v>
      </c>
      <c r="H15" s="33">
        <v>2095</v>
      </c>
      <c r="I15" s="33">
        <v>2095</v>
      </c>
      <c r="J15" s="37">
        <f t="shared" si="0"/>
        <v>0</v>
      </c>
      <c r="K15" s="38">
        <f>'Aug 3'!$F15*'Aug 3'!$I15</f>
        <v>583751.00000000035</v>
      </c>
      <c r="L15" s="39">
        <f>'Aug 3'!$K15/$K$2</f>
        <v>8.1804574798217348E-3</v>
      </c>
      <c r="M15" s="40"/>
      <c r="O15" s="2">
        <f>Table138958[[#This Row],[Change]]*Table138958[[#This Row],[Last price]]</f>
        <v>0</v>
      </c>
      <c r="P15" s="42">
        <f t="shared" si="1"/>
        <v>0</v>
      </c>
    </row>
    <row r="16" spans="1:19" s="41" customFormat="1" ht="12.75" customHeight="1" x14ac:dyDescent="0.2">
      <c r="A16" s="33" t="s">
        <v>161</v>
      </c>
      <c r="B16" s="33" t="s">
        <v>35</v>
      </c>
      <c r="C16" s="33" t="s">
        <v>36</v>
      </c>
      <c r="D16" s="34">
        <v>8.0770000000000008E-3</v>
      </c>
      <c r="E16" s="35">
        <f>'Aug 3'!$D16*$C$6*$C$2</f>
        <v>576178.69395618001</v>
      </c>
      <c r="F16" s="35">
        <v>64.529952386225204</v>
      </c>
      <c r="G16" s="36">
        <f>'Aug 3'!$E16/'Aug 3'!$F16</f>
        <v>8928.8566417596357</v>
      </c>
      <c r="H16" s="33">
        <v>9031</v>
      </c>
      <c r="I16" s="33">
        <v>9031</v>
      </c>
      <c r="J16" s="37">
        <f t="shared" si="0"/>
        <v>0</v>
      </c>
      <c r="K16" s="38">
        <f>'Aug 3'!$F16*'Aug 3'!$I16</f>
        <v>582769.99999999977</v>
      </c>
      <c r="L16" s="39">
        <f>'Aug 3'!$K16/$K$2</f>
        <v>8.166710130716192E-3</v>
      </c>
      <c r="M16" s="40"/>
      <c r="O16" s="2">
        <f>Table138958[[#This Row],[Change]]*Table138958[[#This Row],[Last price]]</f>
        <v>0</v>
      </c>
      <c r="P16" s="42">
        <f t="shared" si="1"/>
        <v>0</v>
      </c>
    </row>
    <row r="17" spans="1:17" s="41" customFormat="1" ht="12.75" customHeight="1" x14ac:dyDescent="0.2">
      <c r="A17" s="33" t="s">
        <v>161</v>
      </c>
      <c r="B17" s="33" t="s">
        <v>166</v>
      </c>
      <c r="C17" s="33" t="s">
        <v>167</v>
      </c>
      <c r="D17" s="34">
        <v>0</v>
      </c>
      <c r="E17" s="35">
        <f>'Aug 3'!$D17*$C$6*$C$2</f>
        <v>0</v>
      </c>
      <c r="F17" s="35"/>
      <c r="G17" s="36"/>
      <c r="H17" s="33"/>
      <c r="I17" s="33">
        <v>0</v>
      </c>
      <c r="J17" s="37">
        <f t="shared" si="0"/>
        <v>0</v>
      </c>
      <c r="K17" s="38">
        <f>'Aug 3'!$F17*'Aug 3'!$I17</f>
        <v>0</v>
      </c>
      <c r="L17" s="39">
        <f>'Aug 3'!$K17/$K$2</f>
        <v>0</v>
      </c>
      <c r="M17" s="33"/>
      <c r="O17" s="2">
        <f>Table138958[[#This Row],[Change]]*Table138958[[#This Row],[Last price]]</f>
        <v>0</v>
      </c>
      <c r="P17" s="42">
        <f t="shared" si="1"/>
        <v>0</v>
      </c>
    </row>
    <row r="18" spans="1:17" s="41" customFormat="1" ht="12.75" customHeight="1" x14ac:dyDescent="0.2">
      <c r="A18" s="33" t="s">
        <v>161</v>
      </c>
      <c r="B18" s="43" t="s">
        <v>168</v>
      </c>
      <c r="C18" s="33" t="s">
        <v>169</v>
      </c>
      <c r="D18" s="34">
        <v>0</v>
      </c>
      <c r="E18" s="35">
        <f>'Aug 3'!$D18*$C$6*$C$2</f>
        <v>0</v>
      </c>
      <c r="F18" s="35"/>
      <c r="G18" s="36"/>
      <c r="H18" s="33">
        <v>4849</v>
      </c>
      <c r="I18" s="33">
        <v>0</v>
      </c>
      <c r="J18" s="37">
        <f t="shared" si="0"/>
        <v>-4849</v>
      </c>
      <c r="K18" s="38">
        <f>'Aug 3'!$F18*'Aug 3'!$I18</f>
        <v>0</v>
      </c>
      <c r="L18" s="39">
        <f>'Aug 3'!$K18/$K$2</f>
        <v>0</v>
      </c>
      <c r="M18" s="33"/>
      <c r="O18" s="2">
        <f>Table138958[[#This Row],[Change]]*Table138958[[#This Row],[Last price]]</f>
        <v>0</v>
      </c>
      <c r="P18" s="42">
        <f t="shared" si="1"/>
        <v>0</v>
      </c>
    </row>
    <row r="19" spans="1:17" s="44" customFormat="1" ht="12.75" customHeight="1" x14ac:dyDescent="0.2">
      <c r="A19" s="33" t="s">
        <v>161</v>
      </c>
      <c r="B19" s="43" t="s">
        <v>17</v>
      </c>
      <c r="C19" s="33" t="s">
        <v>170</v>
      </c>
      <c r="D19" s="34">
        <v>8.0770000000000008E-3</v>
      </c>
      <c r="E19" s="35">
        <f>'Aug 3'!$D19*$C$6*$C$2</f>
        <v>576178.69395618001</v>
      </c>
      <c r="F19" s="35">
        <v>77.619971091303299</v>
      </c>
      <c r="G19" s="36">
        <f>'Aug 3'!$E19/'Aug 3'!$F19</f>
        <v>7423.0727718054541</v>
      </c>
      <c r="H19" s="33">
        <v>4664</v>
      </c>
      <c r="I19" s="33">
        <v>7423</v>
      </c>
      <c r="J19" s="37">
        <f t="shared" si="0"/>
        <v>2759</v>
      </c>
      <c r="K19" s="38">
        <f>'Aug 3'!$F19*'Aug 3'!$I19</f>
        <v>576173.04541074438</v>
      </c>
      <c r="L19" s="39">
        <f>'Aug 3'!$K19/$K$2</f>
        <v>8.0742629974115496E-3</v>
      </c>
      <c r="M19" s="33" t="s">
        <v>171</v>
      </c>
      <c r="O19" s="2">
        <f>Table138958[[#This Row],[Change]]*Table138958[[#This Row],[Last price]]</f>
        <v>214153.50024090579</v>
      </c>
      <c r="P19" s="42">
        <f t="shared" si="1"/>
        <v>214153.50024090579</v>
      </c>
    </row>
    <row r="20" spans="1:17" s="44" customFormat="1" ht="12.75" customHeight="1" x14ac:dyDescent="0.2">
      <c r="A20" s="33" t="s">
        <v>161</v>
      </c>
      <c r="B20" s="43" t="s">
        <v>172</v>
      </c>
      <c r="C20" s="33" t="s">
        <v>173</v>
      </c>
      <c r="D20" s="34">
        <v>8.0770000000000008E-3</v>
      </c>
      <c r="E20" s="35">
        <f>'Aug 3'!$D20*$C$6*$C$2</f>
        <v>576178.69395618001</v>
      </c>
      <c r="F20" s="35">
        <v>21.468190184049099</v>
      </c>
      <c r="G20" s="36">
        <f>'Aug 3'!$E20/'Aug 3'!$F20</f>
        <v>26838.717610405824</v>
      </c>
      <c r="H20" s="33">
        <v>18400</v>
      </c>
      <c r="I20" s="33">
        <v>26800</v>
      </c>
      <c r="J20" s="37">
        <f t="shared" si="0"/>
        <v>8400</v>
      </c>
      <c r="K20" s="38">
        <f>'Aug 3'!$F20*'Aug 3'!$I20</f>
        <v>575347.49693251587</v>
      </c>
      <c r="L20" s="39">
        <f>'Aug 3'!$K20/$K$2</f>
        <v>8.0626940849408552E-3</v>
      </c>
      <c r="M20" s="33" t="s">
        <v>171</v>
      </c>
      <c r="O20" s="2">
        <f>Table138958[[#This Row],[Change]]*Table138958[[#This Row],[Last price]]</f>
        <v>180332.79754601244</v>
      </c>
      <c r="P20" s="42">
        <f t="shared" si="1"/>
        <v>180332.79754601244</v>
      </c>
    </row>
    <row r="21" spans="1:17" s="44" customFormat="1" ht="12.75" customHeight="1" x14ac:dyDescent="0.2">
      <c r="A21" s="33" t="s">
        <v>161</v>
      </c>
      <c r="B21" s="43" t="s">
        <v>44</v>
      </c>
      <c r="C21" s="33" t="s">
        <v>45</v>
      </c>
      <c r="D21" s="34">
        <v>8.0770000000000008E-3</v>
      </c>
      <c r="E21" s="35">
        <f>'Aug 3'!$D21*$C$6*$C$2</f>
        <v>576178.69395618001</v>
      </c>
      <c r="F21" s="35">
        <v>197</v>
      </c>
      <c r="G21" s="36">
        <f>'Aug 3'!$E21/'Aug 3'!$F21</f>
        <v>2924.7649439400002</v>
      </c>
      <c r="H21" s="33">
        <v>0</v>
      </c>
      <c r="I21" s="33">
        <v>2933</v>
      </c>
      <c r="J21" s="37">
        <f t="shared" si="0"/>
        <v>2933</v>
      </c>
      <c r="K21" s="38">
        <f>'Aug 3'!$F21*'Aug 3'!$I21</f>
        <v>577801</v>
      </c>
      <c r="L21" s="39">
        <f>'Aug 3'!$K21/$K$2</f>
        <v>8.0970765142988621E-3</v>
      </c>
      <c r="M21" s="33"/>
      <c r="O21" s="2">
        <f>Table138958[[#This Row],[Change]]*Table138958[[#This Row],[Last price]]</f>
        <v>577801</v>
      </c>
      <c r="P21" s="42">
        <f t="shared" si="1"/>
        <v>577801</v>
      </c>
    </row>
    <row r="22" spans="1:17" s="44" customFormat="1" ht="12.75" customHeight="1" x14ac:dyDescent="0.2">
      <c r="A22" s="33" t="s">
        <v>161</v>
      </c>
      <c r="B22" s="43" t="s">
        <v>56</v>
      </c>
      <c r="C22" s="33" t="s">
        <v>174</v>
      </c>
      <c r="D22" s="34">
        <v>8.0770000000000008E-3</v>
      </c>
      <c r="E22" s="35">
        <f>'Aug 3'!$D22*$C$6*$C$2</f>
        <v>576178.69395618001</v>
      </c>
      <c r="F22" s="35">
        <v>268.50022036139302</v>
      </c>
      <c r="G22" s="36">
        <f>'Aug 3'!$E22/'Aug 3'!$F22</f>
        <v>2145.9151623066127</v>
      </c>
      <c r="H22" s="33">
        <v>0</v>
      </c>
      <c r="I22" s="33">
        <v>2269</v>
      </c>
      <c r="J22" s="37">
        <f t="shared" si="0"/>
        <v>2269</v>
      </c>
      <c r="K22" s="38">
        <f>'Aug 3'!$F22*'Aug 3'!$I22</f>
        <v>609227.00000000081</v>
      </c>
      <c r="L22" s="39">
        <f>'Aug 3'!$K22/$K$2</f>
        <v>8.5374681483361223E-3</v>
      </c>
      <c r="M22" s="33"/>
      <c r="O22" s="2">
        <f>Table138958[[#This Row],[Change]]*Table138958[[#This Row],[Last price]]</f>
        <v>609227.00000000081</v>
      </c>
      <c r="P22" s="42">
        <f t="shared" si="1"/>
        <v>609227.00000000081</v>
      </c>
    </row>
    <row r="23" spans="1:17" s="44" customFormat="1" ht="12.75" customHeight="1" x14ac:dyDescent="0.2">
      <c r="A23" s="33" t="s">
        <v>161</v>
      </c>
      <c r="B23" s="43" t="s">
        <v>175</v>
      </c>
      <c r="C23" s="33" t="s">
        <v>176</v>
      </c>
      <c r="D23" s="34">
        <v>8.0770000000000008E-3</v>
      </c>
      <c r="E23" s="35">
        <f>'Aug 3'!$D23*$C$6*$C$2</f>
        <v>576178.69395618001</v>
      </c>
      <c r="F23" s="35">
        <v>1172.619140625</v>
      </c>
      <c r="G23" s="36">
        <f>'Aug 3'!$E23/'Aug 3'!$F23</f>
        <v>491.36047160980138</v>
      </c>
      <c r="H23" s="33">
        <v>0</v>
      </c>
      <c r="I23" s="33">
        <v>512</v>
      </c>
      <c r="J23" s="37">
        <f t="shared" si="0"/>
        <v>512</v>
      </c>
      <c r="K23" s="38">
        <f>'Aug 3'!$F23*'Aug 3'!$I23</f>
        <v>600381</v>
      </c>
      <c r="L23" s="39">
        <f>'Aug 3'!$K23/$K$2</f>
        <v>8.413503775056232E-3</v>
      </c>
      <c r="M23" s="33"/>
      <c r="O23" s="2">
        <f>Table138958[[#This Row],[Change]]*Table138958[[#This Row],[Last price]]</f>
        <v>600381</v>
      </c>
      <c r="P23" s="42">
        <f t="shared" si="1"/>
        <v>600381</v>
      </c>
    </row>
    <row r="24" spans="1:17" s="44" customFormat="1" ht="12.75" customHeight="1" x14ac:dyDescent="0.2">
      <c r="A24" s="33" t="s">
        <v>161</v>
      </c>
      <c r="B24" s="43" t="s">
        <v>20</v>
      </c>
      <c r="C24" s="33" t="s">
        <v>21</v>
      </c>
      <c r="D24" s="34">
        <v>8.0770000000000008E-3</v>
      </c>
      <c r="E24" s="35">
        <f>'Aug 3'!$D24*$C$6*$C$2</f>
        <v>576178.69395618001</v>
      </c>
      <c r="F24" s="35">
        <v>3110.50276243094</v>
      </c>
      <c r="G24" s="36">
        <f>'Aug 3'!$E24/'Aug 3'!$F24</f>
        <v>185.23651575409022</v>
      </c>
      <c r="H24" s="33">
        <v>0</v>
      </c>
      <c r="I24" s="33">
        <v>181</v>
      </c>
      <c r="J24" s="37">
        <f t="shared" si="0"/>
        <v>181</v>
      </c>
      <c r="K24" s="38">
        <f>'Aug 3'!$F24*'Aug 3'!$I24</f>
        <v>563001.00000000012</v>
      </c>
      <c r="L24" s="39">
        <f>'Aug 3'!$K24/$K$2</f>
        <v>7.889675121065514E-3</v>
      </c>
      <c r="M24" s="33"/>
      <c r="O24" s="2">
        <f>Table138958[[#This Row],[Change]]*Table138958[[#This Row],[Last price]]</f>
        <v>563001.00000000012</v>
      </c>
      <c r="P24" s="42">
        <f t="shared" si="1"/>
        <v>563001.00000000012</v>
      </c>
    </row>
    <row r="25" spans="1:17" s="44" customFormat="1" ht="12.75" customHeight="1" x14ac:dyDescent="0.2">
      <c r="A25" s="33"/>
      <c r="B25" s="33"/>
      <c r="C25" s="33"/>
      <c r="D25" s="34"/>
      <c r="E25" s="35"/>
      <c r="F25" s="35"/>
      <c r="G25" s="36"/>
      <c r="H25" s="33"/>
      <c r="I25" s="33"/>
      <c r="J25" s="45"/>
      <c r="K25" s="35"/>
      <c r="L25" s="46"/>
      <c r="M25" s="33"/>
      <c r="O25" s="2">
        <f>Table138958[[#This Row],[Change]]*Table138958[[#This Row],[Last price]]</f>
        <v>0</v>
      </c>
      <c r="P25" s="42">
        <f t="shared" si="1"/>
        <v>0</v>
      </c>
    </row>
    <row r="26" spans="1:17" s="54" customFormat="1" ht="12.75" customHeight="1" x14ac:dyDescent="0.2">
      <c r="A26" s="47" t="s">
        <v>177</v>
      </c>
      <c r="B26" s="47"/>
      <c r="C26" s="47"/>
      <c r="D26" s="48">
        <f>SUBTOTAL(9,D9:D25)</f>
        <v>0.10500100000000001</v>
      </c>
      <c r="E26" s="49">
        <f>'Aug 3'!$D26*$C$6*$C$2</f>
        <v>7490323.0214303406</v>
      </c>
      <c r="F26" s="50"/>
      <c r="G26" s="51"/>
      <c r="H26" s="47"/>
      <c r="I26" s="47"/>
      <c r="J26" s="52"/>
      <c r="K26" s="49">
        <f>SUM(K9:K24)</f>
        <v>7633619.5423432635</v>
      </c>
      <c r="L26" s="53">
        <f>'Aug 3'!$K26/$K$2</f>
        <v>0.10697454922265706</v>
      </c>
      <c r="M26" s="47"/>
      <c r="O26" s="2">
        <f>Table138958[[#This Row],[Change]]*Table138958[[#This Row],[Last price]]</f>
        <v>0</v>
      </c>
      <c r="P26" s="42">
        <f t="shared" si="1"/>
        <v>0</v>
      </c>
    </row>
    <row r="27" spans="1:17" s="44" customFormat="1" ht="12.75" customHeight="1" x14ac:dyDescent="0.2">
      <c r="A27" s="33"/>
      <c r="B27" s="33"/>
      <c r="C27" s="33"/>
      <c r="D27" s="34"/>
      <c r="E27" s="35"/>
      <c r="F27" s="35"/>
      <c r="G27" s="36"/>
      <c r="H27" s="33"/>
      <c r="I27" s="33"/>
      <c r="J27" s="45"/>
      <c r="K27" s="35"/>
      <c r="L27" s="39"/>
      <c r="M27" s="33"/>
      <c r="O27" s="2">
        <f>Table138958[[#This Row],[Change]]*Table138958[[#This Row],[Last price]]</f>
        <v>0</v>
      </c>
      <c r="P27" s="42">
        <f t="shared" si="1"/>
        <v>0</v>
      </c>
    </row>
    <row r="28" spans="1:17" s="41" customFormat="1" ht="12.75" customHeight="1" x14ac:dyDescent="0.2">
      <c r="A28" s="55"/>
      <c r="B28" s="47" t="s">
        <v>32</v>
      </c>
      <c r="C28" s="55" t="s">
        <v>33</v>
      </c>
      <c r="D28" s="56">
        <v>0.03</v>
      </c>
      <c r="E28" s="57">
        <f>'Aug 3'!$D28*$C$6*$C$2</f>
        <v>2140071.9101999998</v>
      </c>
      <c r="F28" s="57">
        <v>18.849998239312601</v>
      </c>
      <c r="G28" s="58">
        <f>'Aug 3'!$E28/'Aug 3'!$F28</f>
        <v>113531.67692805266</v>
      </c>
      <c r="H28" s="55">
        <v>113592</v>
      </c>
      <c r="I28" s="55">
        <v>113592</v>
      </c>
      <c r="J28" s="59">
        <f>I28-H28</f>
        <v>0</v>
      </c>
      <c r="K28" s="50">
        <f>'Aug 3'!$F28*'Aug 3'!$I28</f>
        <v>2141208.9999999972</v>
      </c>
      <c r="L28" s="53">
        <f>'Aug 3'!$K28/$K$2</f>
        <v>3.0006062824580317E-2</v>
      </c>
      <c r="M28" s="47"/>
      <c r="O28" s="2">
        <f>Table138958[[#This Row],[Change]]*Table138958[[#This Row],[Last price]]</f>
        <v>0</v>
      </c>
      <c r="P28" s="42">
        <f t="shared" si="1"/>
        <v>0</v>
      </c>
      <c r="Q28" s="42"/>
    </row>
    <row r="29" spans="1:17" s="41" customFormat="1" ht="12.75" customHeight="1" x14ac:dyDescent="0.2">
      <c r="A29" s="33"/>
      <c r="B29" s="33"/>
      <c r="C29" s="33"/>
      <c r="D29" s="34"/>
      <c r="E29" s="35"/>
      <c r="F29" s="35"/>
      <c r="G29" s="36"/>
      <c r="H29" s="33"/>
      <c r="I29" s="33"/>
      <c r="J29" s="45"/>
      <c r="K29" s="38"/>
      <c r="L29" s="39"/>
      <c r="M29" s="33"/>
      <c r="O29" s="2">
        <f>Table138958[[#This Row],[Change]]*Table138958[[#This Row],[Last price]]</f>
        <v>0</v>
      </c>
      <c r="P29" s="42">
        <f t="shared" si="1"/>
        <v>0</v>
      </c>
      <c r="Q29" s="42"/>
    </row>
    <row r="30" spans="1:17" ht="26.25" x14ac:dyDescent="0.25">
      <c r="A30" s="33" t="s">
        <v>178</v>
      </c>
      <c r="B30" s="60" t="s">
        <v>179</v>
      </c>
      <c r="C30" s="60" t="s">
        <v>106</v>
      </c>
      <c r="D30" s="34">
        <v>3.8889E-2</v>
      </c>
      <c r="E30" s="35">
        <f>'Aug 3'!$D30*$C$6*$C$2</f>
        <v>2774175.2171922601</v>
      </c>
      <c r="F30" s="35">
        <v>158978.35294117601</v>
      </c>
      <c r="G30" s="61">
        <f>'Aug 3'!$E30/'Aug 3'!$F30</f>
        <v>17.450018608626166</v>
      </c>
      <c r="H30" s="33">
        <v>17</v>
      </c>
      <c r="I30" s="33">
        <v>17</v>
      </c>
      <c r="J30" s="37">
        <f t="shared" ref="J30:J36" si="2">I30-H30</f>
        <v>0</v>
      </c>
      <c r="K30" s="38">
        <f>'Aug 3'!$F30*'Aug 3'!$I30</f>
        <v>2702631.9999999921</v>
      </c>
      <c r="L30" s="39">
        <f>'Aug 3'!$K30/$K$2</f>
        <v>3.7873624472772635E-2</v>
      </c>
      <c r="M30" s="62"/>
      <c r="O30" s="2">
        <f>Table138958[[#This Row],[Change]]*Table138958[[#This Row],[Last price]]</f>
        <v>0</v>
      </c>
      <c r="P30" s="42">
        <f t="shared" si="1"/>
        <v>0</v>
      </c>
    </row>
    <row r="31" spans="1:17" ht="26.25" x14ac:dyDescent="0.25">
      <c r="A31" s="33" t="s">
        <v>178</v>
      </c>
      <c r="B31" s="60" t="s">
        <v>180</v>
      </c>
      <c r="C31" s="60" t="s">
        <v>110</v>
      </c>
      <c r="D31" s="34">
        <v>3.8889E-2</v>
      </c>
      <c r="E31" s="35">
        <f>'Aug 3'!$D31*$C$6*$C$2</f>
        <v>2774175.2171922601</v>
      </c>
      <c r="F31" s="35">
        <v>226199.66666666701</v>
      </c>
      <c r="G31" s="61">
        <f>'Aug 3'!$E31/'Aug 3'!$F31</f>
        <v>12.264276327517088</v>
      </c>
      <c r="H31" s="33">
        <v>12</v>
      </c>
      <c r="I31" s="33">
        <v>12</v>
      </c>
      <c r="J31" s="37">
        <f t="shared" si="2"/>
        <v>0</v>
      </c>
      <c r="K31" s="38">
        <f>'Aug 3'!$F31*'Aug 3'!$I31</f>
        <v>2714396.0000000042</v>
      </c>
      <c r="L31" s="39">
        <f>'Aug 3'!$K31/$K$2</f>
        <v>3.8038480553178017E-2</v>
      </c>
      <c r="M31" s="62"/>
      <c r="O31" s="2">
        <f>Table138958[[#This Row],[Change]]*Table138958[[#This Row],[Last price]]</f>
        <v>0</v>
      </c>
      <c r="P31" s="42">
        <f t="shared" si="1"/>
        <v>0</v>
      </c>
    </row>
    <row r="32" spans="1:17" ht="26.25" x14ac:dyDescent="0.25">
      <c r="A32" s="33" t="s">
        <v>178</v>
      </c>
      <c r="B32" s="60" t="s">
        <v>181</v>
      </c>
      <c r="C32" s="60" t="s">
        <v>113</v>
      </c>
      <c r="D32" s="34">
        <v>3.8889E-2</v>
      </c>
      <c r="E32" s="35">
        <f>'Aug 3'!$D32*$C$6*$C$2</f>
        <v>2774175.2171922601</v>
      </c>
      <c r="F32" s="35">
        <v>181750</v>
      </c>
      <c r="G32" s="61">
        <f>'Aug 3'!$E32/'Aug 3'!$F32</f>
        <v>15.263687577398954</v>
      </c>
      <c r="H32" s="33">
        <v>15</v>
      </c>
      <c r="I32" s="33">
        <v>15</v>
      </c>
      <c r="J32" s="37">
        <f t="shared" si="2"/>
        <v>0</v>
      </c>
      <c r="K32" s="38">
        <f>'Aug 3'!$F32*'Aug 3'!$I32</f>
        <v>2726250</v>
      </c>
      <c r="L32" s="39">
        <f>'Aug 3'!$K32/$K$2</f>
        <v>3.8204597858271745E-2</v>
      </c>
      <c r="M32" s="62"/>
      <c r="O32" s="2">
        <f>Table138958[[#This Row],[Change]]*Table138958[[#This Row],[Last price]]</f>
        <v>0</v>
      </c>
      <c r="P32" s="42">
        <f t="shared" si="1"/>
        <v>0</v>
      </c>
    </row>
    <row r="33" spans="1:17" ht="26.25" x14ac:dyDescent="0.25">
      <c r="A33" s="33" t="s">
        <v>178</v>
      </c>
      <c r="B33" s="60" t="s">
        <v>182</v>
      </c>
      <c r="C33" s="60" t="s">
        <v>116</v>
      </c>
      <c r="D33" s="34">
        <v>3.8889E-2</v>
      </c>
      <c r="E33" s="35">
        <f>'Aug 3'!$D33*$C$6*$C$2</f>
        <v>2774175.2171922601</v>
      </c>
      <c r="F33" s="35">
        <v>126099.5</v>
      </c>
      <c r="G33" s="61">
        <f>'Aug 3'!$E33/'Aug 3'!$F33</f>
        <v>21.999890698950114</v>
      </c>
      <c r="H33" s="33">
        <v>22</v>
      </c>
      <c r="I33" s="33">
        <v>22</v>
      </c>
      <c r="J33" s="37">
        <f t="shared" si="2"/>
        <v>0</v>
      </c>
      <c r="K33" s="38">
        <f>'Aug 3'!$F33*'Aug 3'!$I33</f>
        <v>2774189</v>
      </c>
      <c r="L33" s="39">
        <f>'Aug 3'!$K33/$K$2</f>
        <v>3.8876396195448346E-2</v>
      </c>
      <c r="M33" s="62"/>
      <c r="O33" s="2">
        <f>Table138958[[#This Row],[Change]]*Table138958[[#This Row],[Last price]]</f>
        <v>0</v>
      </c>
      <c r="P33" s="42">
        <f t="shared" si="1"/>
        <v>0</v>
      </c>
    </row>
    <row r="34" spans="1:17" ht="26.25" x14ac:dyDescent="0.25">
      <c r="A34" s="33" t="s">
        <v>178</v>
      </c>
      <c r="B34" s="60" t="s">
        <v>183</v>
      </c>
      <c r="C34" s="60" t="s">
        <v>119</v>
      </c>
      <c r="D34" s="34">
        <v>3.8889E-2</v>
      </c>
      <c r="E34" s="35">
        <f>'Aug 3'!$D34*$C$6*$C$2</f>
        <v>2774175.2171922601</v>
      </c>
      <c r="F34" s="35">
        <v>140015.65</v>
      </c>
      <c r="G34" s="61">
        <f>'Aug 3'!$E34/'Aug 3'!$F34</f>
        <v>19.81332241925999</v>
      </c>
      <c r="H34" s="33">
        <v>20</v>
      </c>
      <c r="I34" s="33">
        <v>20</v>
      </c>
      <c r="J34" s="37">
        <f t="shared" si="2"/>
        <v>0</v>
      </c>
      <c r="K34" s="38">
        <f>'Aug 3'!$F34*'Aug 3'!$I34</f>
        <v>2800313</v>
      </c>
      <c r="L34" s="39">
        <f>'Aug 3'!$K34/$K$2</f>
        <v>3.9242487681720506E-2</v>
      </c>
      <c r="M34" s="62"/>
      <c r="O34" s="2">
        <f>Table138958[[#This Row],[Change]]*Table138958[[#This Row],[Last price]]</f>
        <v>0</v>
      </c>
      <c r="P34" s="42">
        <f t="shared" si="1"/>
        <v>0</v>
      </c>
    </row>
    <row r="35" spans="1:17" ht="26.25" x14ac:dyDescent="0.25">
      <c r="A35" s="33" t="s">
        <v>178</v>
      </c>
      <c r="B35" s="60" t="s">
        <v>184</v>
      </c>
      <c r="C35" s="60" t="s">
        <v>122</v>
      </c>
      <c r="D35" s="34">
        <v>0.125</v>
      </c>
      <c r="E35" s="35">
        <f>'Aug 3'!$D35*$C$6*$C$2</f>
        <v>8916966.2925000004</v>
      </c>
      <c r="F35" s="35">
        <v>416353.33333333302</v>
      </c>
      <c r="G35" s="61">
        <f>'Aug 3'!$E35/'Aug 3'!$F35</f>
        <v>21.416824554064675</v>
      </c>
      <c r="H35" s="33">
        <v>21</v>
      </c>
      <c r="I35" s="33">
        <v>21</v>
      </c>
      <c r="J35" s="37">
        <f t="shared" si="2"/>
        <v>0</v>
      </c>
      <c r="K35" s="38">
        <f>'Aug 3'!$F35*'Aug 3'!$I35</f>
        <v>8743419.9999999925</v>
      </c>
      <c r="L35" s="39">
        <f>'Aug 3'!$K35/$K$2</f>
        <v>0.12252685740705001</v>
      </c>
      <c r="M35" s="62"/>
      <c r="O35" s="2">
        <f>Table138958[[#This Row],[Change]]*Table138958[[#This Row],[Last price]]</f>
        <v>0</v>
      </c>
      <c r="P35" s="42">
        <f t="shared" si="1"/>
        <v>0</v>
      </c>
    </row>
    <row r="36" spans="1:17" ht="26.25" x14ac:dyDescent="0.25">
      <c r="A36" s="33" t="s">
        <v>178</v>
      </c>
      <c r="B36" s="60" t="s">
        <v>185</v>
      </c>
      <c r="C36" s="60" t="s">
        <v>127</v>
      </c>
      <c r="D36" s="34">
        <v>3.8889E-2</v>
      </c>
      <c r="E36" s="35">
        <f>'Aug 3'!$D36*$C$6*$C$2</f>
        <v>2774175.2171922601</v>
      </c>
      <c r="F36" s="35">
        <v>220953.69230769199</v>
      </c>
      <c r="G36" s="61">
        <f>'Aug 3'!$E36/'Aug 3'!$F36</f>
        <v>12.555459871333788</v>
      </c>
      <c r="H36" s="33">
        <v>13</v>
      </c>
      <c r="I36" s="33">
        <v>13</v>
      </c>
      <c r="J36" s="37">
        <f t="shared" si="2"/>
        <v>0</v>
      </c>
      <c r="K36" s="38">
        <f>'Aug 3'!$F36*'Aug 3'!$I36</f>
        <v>2872397.9999999958</v>
      </c>
      <c r="L36" s="39">
        <f>'Aug 3'!$K36/$K$2</f>
        <v>4.0252658589235726E-2</v>
      </c>
      <c r="M36" s="62"/>
      <c r="O36" s="2">
        <f>Table138958[[#This Row],[Change]]*Table138958[[#This Row],[Last price]]</f>
        <v>0</v>
      </c>
      <c r="P36" s="42">
        <f t="shared" si="1"/>
        <v>0</v>
      </c>
    </row>
    <row r="37" spans="1:17" s="64" customFormat="1" ht="12.75" x14ac:dyDescent="0.2">
      <c r="A37" s="33"/>
      <c r="B37" s="60"/>
      <c r="C37" s="60"/>
      <c r="D37" s="34"/>
      <c r="E37" s="63"/>
      <c r="F37" s="35"/>
      <c r="G37" s="61"/>
      <c r="H37" s="33"/>
      <c r="I37" s="33"/>
      <c r="J37" s="45"/>
      <c r="K37" s="35"/>
      <c r="L37" s="46"/>
      <c r="M37" s="62"/>
      <c r="O37" s="2">
        <f>Table138958[[#This Row],[Change]]*Table138958[[#This Row],[Last price]]</f>
        <v>0</v>
      </c>
      <c r="P37" s="42">
        <f t="shared" si="1"/>
        <v>0</v>
      </c>
    </row>
    <row r="38" spans="1:17" s="15" customFormat="1" ht="12.75" x14ac:dyDescent="0.2">
      <c r="A38" s="47" t="s">
        <v>186</v>
      </c>
      <c r="B38" s="65"/>
      <c r="C38" s="65"/>
      <c r="D38" s="56">
        <f>SUBTOTAL(9,D30:D37)</f>
        <v>0.35833399999999999</v>
      </c>
      <c r="E38" s="66">
        <f>'Aug 3'!$D38*$C$6*$C$2</f>
        <v>25562017.59565356</v>
      </c>
      <c r="F38" s="57"/>
      <c r="G38" s="67"/>
      <c r="H38" s="55"/>
      <c r="I38" s="55"/>
      <c r="J38" s="59"/>
      <c r="K38" s="66">
        <f>SUM(K30:K36)</f>
        <v>25333597.999999985</v>
      </c>
      <c r="L38" s="68">
        <f>'Aug 3'!$K38/$K$2</f>
        <v>0.355015102757677</v>
      </c>
      <c r="M38" s="69"/>
      <c r="O38" s="2">
        <f>Table138958[[#This Row],[Change]]*Table138958[[#This Row],[Last price]]</f>
        <v>0</v>
      </c>
      <c r="P38" s="42">
        <f t="shared" si="1"/>
        <v>0</v>
      </c>
    </row>
    <row r="39" spans="1:17" s="64" customFormat="1" ht="12.75" x14ac:dyDescent="0.2">
      <c r="A39" s="33"/>
      <c r="B39" s="60"/>
      <c r="C39" s="60"/>
      <c r="D39" s="34"/>
      <c r="E39" s="63"/>
      <c r="F39" s="35"/>
      <c r="G39" s="61"/>
      <c r="H39" s="33"/>
      <c r="I39" s="33"/>
      <c r="J39" s="45"/>
      <c r="K39" s="35"/>
      <c r="L39" s="39"/>
      <c r="M39" s="62"/>
      <c r="O39" s="2">
        <f>Table138958[[#This Row],[Change]]*Table138958[[#This Row],[Last price]]</f>
        <v>0</v>
      </c>
      <c r="P39" s="42">
        <f t="shared" si="1"/>
        <v>0</v>
      </c>
    </row>
    <row r="40" spans="1:17" s="41" customFormat="1" ht="25.5" customHeight="1" x14ac:dyDescent="0.2">
      <c r="A40" s="33" t="s">
        <v>187</v>
      </c>
      <c r="B40" s="33" t="s">
        <v>63</v>
      </c>
      <c r="C40" s="33" t="s">
        <v>64</v>
      </c>
      <c r="D40" s="34">
        <v>3.8889E-2</v>
      </c>
      <c r="E40" s="35">
        <f>'Aug 3'!$D40*$C$6*$C$2</f>
        <v>2774175.2171922601</v>
      </c>
      <c r="F40" s="35">
        <v>94029.344827586203</v>
      </c>
      <c r="G40" s="36">
        <f>'Aug 3'!$E40/'Aug 3'!$F40</f>
        <v>29.503292001864256</v>
      </c>
      <c r="H40" s="33">
        <v>29</v>
      </c>
      <c r="I40" s="33">
        <v>30</v>
      </c>
      <c r="J40" s="37">
        <f>I40-H40</f>
        <v>1</v>
      </c>
      <c r="K40" s="38">
        <f>'Aug 3'!$F40*'Aug 3'!$I40</f>
        <v>2820880.3448275859</v>
      </c>
      <c r="L40" s="39">
        <f>'Aug 3'!$K40/$K$2</f>
        <v>3.9530710382555109E-2</v>
      </c>
      <c r="M40" s="40"/>
      <c r="N40" s="2"/>
      <c r="O40" s="2">
        <f>Table138958[[#This Row],[Change]]*Table138958[[#This Row],[Last price]]</f>
        <v>94029.344827586203</v>
      </c>
      <c r="P40" s="42">
        <f t="shared" si="1"/>
        <v>94029.344827586203</v>
      </c>
      <c r="Q40" s="42"/>
    </row>
    <row r="41" spans="1:17" s="41" customFormat="1" ht="25.5" customHeight="1" x14ac:dyDescent="0.2">
      <c r="A41" s="33" t="s">
        <v>187</v>
      </c>
      <c r="B41" s="33" t="s">
        <v>188</v>
      </c>
      <c r="C41" s="33" t="s">
        <v>73</v>
      </c>
      <c r="D41" s="34">
        <v>3.8889E-2</v>
      </c>
      <c r="E41" s="35">
        <f>'Aug 3'!$D41*$C$6*$C$2</f>
        <v>2774175.2171922601</v>
      </c>
      <c r="F41" s="35">
        <v>115694</v>
      </c>
      <c r="G41" s="36">
        <f>'Aug 3'!$E41/'Aug 3'!$F41</f>
        <v>23.978557377152317</v>
      </c>
      <c r="H41" s="33">
        <v>12</v>
      </c>
      <c r="I41" s="33">
        <v>24</v>
      </c>
      <c r="J41" s="37">
        <f>I41-H41</f>
        <v>12</v>
      </c>
      <c r="K41" s="38">
        <f>'Aug 3'!$F41*'Aug 3'!$I41</f>
        <v>2776656</v>
      </c>
      <c r="L41" s="39">
        <f>'Aug 3'!$K41/$K$2</f>
        <v>3.8910967765523115E-2</v>
      </c>
      <c r="M41" s="40"/>
      <c r="N41" s="2"/>
      <c r="O41" s="2">
        <f>Table138958[[#This Row],[Change]]*Table138958[[#This Row],[Last price]]</f>
        <v>1388328</v>
      </c>
      <c r="P41" s="42">
        <f t="shared" si="1"/>
        <v>1388328</v>
      </c>
    </row>
    <row r="42" spans="1:17" s="41" customFormat="1" ht="25.5" customHeight="1" x14ac:dyDescent="0.2">
      <c r="A42" s="33"/>
      <c r="B42" s="33"/>
      <c r="C42" s="33"/>
      <c r="D42" s="34"/>
      <c r="E42" s="35"/>
      <c r="F42" s="35"/>
      <c r="G42" s="36"/>
      <c r="H42" s="33"/>
      <c r="I42" s="33"/>
      <c r="J42" s="37"/>
      <c r="K42" s="38"/>
      <c r="L42" s="39"/>
      <c r="M42" s="40"/>
      <c r="N42" s="2"/>
      <c r="O42" s="2">
        <f>Table138958[[#This Row],[Change]]*Table138958[[#This Row],[Last price]]</f>
        <v>0</v>
      </c>
      <c r="P42" s="42">
        <f t="shared" si="1"/>
        <v>0</v>
      </c>
    </row>
    <row r="43" spans="1:17" s="41" customFormat="1" ht="25.5" customHeight="1" x14ac:dyDescent="0.2">
      <c r="A43" s="33" t="s">
        <v>187</v>
      </c>
      <c r="B43" s="33" t="s">
        <v>76</v>
      </c>
      <c r="C43" s="33" t="s">
        <v>77</v>
      </c>
      <c r="D43" s="34">
        <v>3.8889E-2</v>
      </c>
      <c r="E43" s="35">
        <f>'Aug 3'!$D43*$C$6*$C$2</f>
        <v>2774175.2171922601</v>
      </c>
      <c r="F43" s="35">
        <v>112806.16666666701</v>
      </c>
      <c r="G43" s="36">
        <f>'Aug 3'!$E43/'Aug 3'!$F43</f>
        <v>24.592407482382775</v>
      </c>
      <c r="H43" s="33">
        <v>24</v>
      </c>
      <c r="I43" s="33">
        <v>25</v>
      </c>
      <c r="J43" s="37">
        <f t="shared" ref="J43:J49" si="3">I43-H43</f>
        <v>1</v>
      </c>
      <c r="K43" s="38">
        <f>'Aug 3'!$F43*'Aug 3'!$I43</f>
        <v>2820154.1666666754</v>
      </c>
      <c r="L43" s="39">
        <f>'Aug 3'!$K43/$K$2</f>
        <v>3.9520534006723451E-2</v>
      </c>
      <c r="M43" s="40"/>
      <c r="N43" s="2"/>
      <c r="O43" s="2">
        <f>Table138958[[#This Row],[Change]]*Table138958[[#This Row],[Last price]]</f>
        <v>112806.16666666701</v>
      </c>
      <c r="P43" s="42">
        <f t="shared" si="1"/>
        <v>112806.16666666701</v>
      </c>
    </row>
    <row r="44" spans="1:17" s="41" customFormat="1" ht="25.5" x14ac:dyDescent="0.2">
      <c r="A44" s="33" t="s">
        <v>187</v>
      </c>
      <c r="B44" s="33" t="s">
        <v>189</v>
      </c>
      <c r="C44" s="33" t="s">
        <v>79</v>
      </c>
      <c r="D44" s="34">
        <v>0.125</v>
      </c>
      <c r="E44" s="35">
        <f>'Aug 3'!$D44*$C$6*$C$2</f>
        <v>8916966.2925000004</v>
      </c>
      <c r="F44" s="35">
        <v>249437.5</v>
      </c>
      <c r="G44" s="36">
        <f>'Aug 3'!$E44/'Aug 3'!$F44</f>
        <v>35.748298842395393</v>
      </c>
      <c r="H44" s="33">
        <v>36</v>
      </c>
      <c r="I44" s="33">
        <v>36</v>
      </c>
      <c r="J44" s="37">
        <f t="shared" si="3"/>
        <v>0</v>
      </c>
      <c r="K44" s="38">
        <f>'Aug 3'!$F44*'Aug 3'!$I44</f>
        <v>8979750</v>
      </c>
      <c r="L44" s="39">
        <f>'Aug 3'!$K44/$K$2</f>
        <v>0.12583869330318781</v>
      </c>
      <c r="M44" s="40"/>
      <c r="N44" s="2"/>
      <c r="O44" s="2">
        <f>Table138958[[#This Row],[Change]]*Table138958[[#This Row],[Last price]]</f>
        <v>0</v>
      </c>
      <c r="P44" s="42">
        <f t="shared" si="1"/>
        <v>0</v>
      </c>
    </row>
    <row r="45" spans="1:17" s="41" customFormat="1" ht="25.5" x14ac:dyDescent="0.2">
      <c r="A45" s="33" t="s">
        <v>187</v>
      </c>
      <c r="B45" s="33" t="s">
        <v>190</v>
      </c>
      <c r="C45" s="33" t="s">
        <v>134</v>
      </c>
      <c r="D45" s="34">
        <v>0</v>
      </c>
      <c r="E45" s="35">
        <f>'Aug 3'!$D45*$C$6*$C$2</f>
        <v>0</v>
      </c>
      <c r="F45" s="35"/>
      <c r="G45" s="36"/>
      <c r="H45" s="33">
        <v>0</v>
      </c>
      <c r="I45" s="33">
        <v>0</v>
      </c>
      <c r="J45" s="37">
        <f t="shared" si="3"/>
        <v>0</v>
      </c>
      <c r="K45" s="38">
        <f>'Aug 3'!$F45*'Aug 3'!$I45</f>
        <v>0</v>
      </c>
      <c r="L45" s="39">
        <f>'Aug 3'!$K45/$K$2</f>
        <v>0</v>
      </c>
      <c r="M45" s="40"/>
      <c r="N45" s="2"/>
      <c r="O45" s="2">
        <f>Table138958[[#This Row],[Change]]*Table138958[[#This Row],[Last price]]</f>
        <v>0</v>
      </c>
      <c r="P45" s="42">
        <f t="shared" si="1"/>
        <v>0</v>
      </c>
    </row>
    <row r="46" spans="1:17" s="41" customFormat="1" ht="25.5" x14ac:dyDescent="0.2">
      <c r="A46" s="33" t="s">
        <v>187</v>
      </c>
      <c r="B46" s="33" t="s">
        <v>191</v>
      </c>
      <c r="C46" s="33" t="s">
        <v>136</v>
      </c>
      <c r="D46" s="34">
        <v>0</v>
      </c>
      <c r="E46" s="35">
        <f>'Aug 3'!$D46*$C$6*$C$2</f>
        <v>0</v>
      </c>
      <c r="F46" s="35"/>
      <c r="G46" s="36"/>
      <c r="H46" s="33">
        <v>0</v>
      </c>
      <c r="I46" s="33">
        <v>0</v>
      </c>
      <c r="J46" s="37">
        <f t="shared" si="3"/>
        <v>0</v>
      </c>
      <c r="K46" s="38">
        <f>'Aug 3'!$F46*'Aug 3'!$I46</f>
        <v>0</v>
      </c>
      <c r="L46" s="39">
        <f>'Aug 3'!$K46/$K$2</f>
        <v>0</v>
      </c>
      <c r="M46" s="40"/>
      <c r="N46" s="2"/>
      <c r="O46" s="2">
        <f>Table138958[[#This Row],[Change]]*Table138958[[#This Row],[Last price]]</f>
        <v>0</v>
      </c>
      <c r="P46" s="42">
        <f t="shared" si="1"/>
        <v>0</v>
      </c>
    </row>
    <row r="47" spans="1:17" s="41" customFormat="1" ht="25.5" x14ac:dyDescent="0.2">
      <c r="A47" s="33" t="s">
        <v>187</v>
      </c>
      <c r="B47" s="33" t="s">
        <v>192</v>
      </c>
      <c r="C47" s="33" t="s">
        <v>132</v>
      </c>
      <c r="D47" s="34">
        <v>0</v>
      </c>
      <c r="E47" s="35">
        <f>'Aug 3'!$D47*$C$6*$C$2</f>
        <v>0</v>
      </c>
      <c r="F47" s="35"/>
      <c r="G47" s="36"/>
      <c r="H47" s="33">
        <v>0</v>
      </c>
      <c r="I47" s="33">
        <v>0</v>
      </c>
      <c r="J47" s="37">
        <f t="shared" si="3"/>
        <v>0</v>
      </c>
      <c r="K47" s="38">
        <f>'Aug 3'!$F47*'Aug 3'!$I47</f>
        <v>0</v>
      </c>
      <c r="L47" s="39">
        <f>'Aug 3'!$K47/$K$2</f>
        <v>0</v>
      </c>
      <c r="M47" s="40"/>
      <c r="N47" s="2"/>
      <c r="O47" s="2">
        <f>Table138958[[#This Row],[Change]]*Table138958[[#This Row],[Last price]]</f>
        <v>0</v>
      </c>
      <c r="P47" s="42">
        <f t="shared" si="1"/>
        <v>0</v>
      </c>
    </row>
    <row r="48" spans="1:17" s="41" customFormat="1" ht="25.5" x14ac:dyDescent="0.2">
      <c r="A48" s="33" t="s">
        <v>187</v>
      </c>
      <c r="B48" s="33" t="s">
        <v>193</v>
      </c>
      <c r="C48" s="33" t="s">
        <v>100</v>
      </c>
      <c r="D48" s="34">
        <v>0.125</v>
      </c>
      <c r="E48" s="35">
        <f>'Aug 3'!$D48*$C$6*$C$2</f>
        <v>8916966.2925000004</v>
      </c>
      <c r="F48" s="35">
        <v>416352.190476191</v>
      </c>
      <c r="G48" s="36">
        <f>'Aug 3'!$E48/'Aug 3'!$F48</f>
        <v>21.416883341724404</v>
      </c>
      <c r="H48" s="33">
        <v>4</v>
      </c>
      <c r="I48" s="33">
        <v>21</v>
      </c>
      <c r="J48" s="37">
        <f t="shared" si="3"/>
        <v>17</v>
      </c>
      <c r="K48" s="38">
        <f>'Aug 3'!$F48*'Aug 3'!$I48</f>
        <v>8743396.0000000112</v>
      </c>
      <c r="L48" s="39">
        <f>'Aug 3'!$K48/$K$2</f>
        <v>0.12252652108046665</v>
      </c>
      <c r="M48" s="40"/>
      <c r="N48" s="2"/>
      <c r="O48" s="2">
        <f>Table138958[[#This Row],[Change]]*Table138958[[#This Row],[Last price]]</f>
        <v>7077987.2380952472</v>
      </c>
      <c r="P48" s="42">
        <f t="shared" si="1"/>
        <v>7077987.2380952472</v>
      </c>
    </row>
    <row r="49" spans="1:18" s="41" customFormat="1" ht="25.5" x14ac:dyDescent="0.2">
      <c r="A49" s="33" t="s">
        <v>187</v>
      </c>
      <c r="B49" s="33" t="s">
        <v>102</v>
      </c>
      <c r="C49" s="33" t="s">
        <v>103</v>
      </c>
      <c r="D49" s="34">
        <v>0.125</v>
      </c>
      <c r="E49" s="35">
        <f>'Aug 3'!$D49*$C$6*$C$2</f>
        <v>8916966.2925000004</v>
      </c>
      <c r="F49" s="35">
        <v>249776.694444444</v>
      </c>
      <c r="G49" s="36">
        <f>'Aug 3'!$E49/'Aug 3'!$F49</f>
        <v>35.699752982692047</v>
      </c>
      <c r="H49" s="33">
        <v>6</v>
      </c>
      <c r="I49" s="33">
        <v>36</v>
      </c>
      <c r="J49" s="37">
        <f t="shared" si="3"/>
        <v>30</v>
      </c>
      <c r="K49" s="38">
        <f>'Aug 3'!$F49*'Aug 3'!$I49</f>
        <v>8991960.9999999832</v>
      </c>
      <c r="L49" s="39">
        <f>'Aug 3'!$K49/$K$2</f>
        <v>0.12600981346621273</v>
      </c>
      <c r="M49" s="40"/>
      <c r="N49" s="2"/>
      <c r="O49" s="2">
        <f>Table138958[[#This Row],[Change]]*Table138958[[#This Row],[Last price]]</f>
        <v>7493300.83333332</v>
      </c>
      <c r="P49" s="42">
        <f t="shared" si="1"/>
        <v>7493300.83333332</v>
      </c>
    </row>
    <row r="50" spans="1:18" s="41" customFormat="1" ht="12.75" x14ac:dyDescent="0.2">
      <c r="A50" s="33"/>
      <c r="B50" s="33"/>
      <c r="C50" s="33"/>
      <c r="D50" s="34"/>
      <c r="E50" s="35"/>
      <c r="F50" s="35"/>
      <c r="G50" s="36"/>
      <c r="H50" s="33"/>
      <c r="I50" s="33"/>
      <c r="J50" s="37"/>
      <c r="K50" s="38"/>
      <c r="L50" s="39"/>
      <c r="M50" s="40"/>
      <c r="N50" s="2"/>
      <c r="O50" s="2">
        <f>Table138958[[#This Row],[Change]]*Table138958[[#This Row],[Last price]]</f>
        <v>0</v>
      </c>
      <c r="P50" s="42">
        <f t="shared" si="1"/>
        <v>0</v>
      </c>
    </row>
    <row r="51" spans="1:18" s="41" customFormat="1" ht="12.75" x14ac:dyDescent="0.2">
      <c r="A51" s="33"/>
      <c r="B51" s="33"/>
      <c r="C51" s="33"/>
      <c r="D51" s="34"/>
      <c r="E51" s="35"/>
      <c r="F51" s="35"/>
      <c r="G51" s="36"/>
      <c r="H51" s="33"/>
      <c r="I51" s="33"/>
      <c r="J51" s="37"/>
      <c r="K51" s="38"/>
      <c r="L51" s="39"/>
      <c r="M51" s="40"/>
      <c r="N51" s="2"/>
      <c r="O51" s="2">
        <f>Table138958[[#This Row],[Change]]*Table138958[[#This Row],[Last price]]</f>
        <v>0</v>
      </c>
      <c r="P51" s="42">
        <f t="shared" si="1"/>
        <v>0</v>
      </c>
    </row>
    <row r="52" spans="1:18" s="44" customFormat="1" ht="12.75" x14ac:dyDescent="0.2">
      <c r="A52" s="33"/>
      <c r="B52" s="33"/>
      <c r="C52" s="33"/>
      <c r="D52" s="34"/>
      <c r="E52" s="35"/>
      <c r="F52" s="35"/>
      <c r="G52" s="36"/>
      <c r="H52" s="33"/>
      <c r="I52" s="33"/>
      <c r="J52" s="45"/>
      <c r="K52" s="35"/>
      <c r="L52" s="39"/>
      <c r="M52" s="33"/>
      <c r="N52" s="64"/>
      <c r="O52" s="2">
        <f>Table138958[[#This Row],[Change]]*Table138958[[#This Row],[Last price]]</f>
        <v>0</v>
      </c>
      <c r="P52" s="42">
        <f t="shared" si="1"/>
        <v>0</v>
      </c>
    </row>
    <row r="53" spans="1:18" s="54" customFormat="1" ht="12.75" x14ac:dyDescent="0.2">
      <c r="A53" s="47" t="s">
        <v>194</v>
      </c>
      <c r="B53" s="47"/>
      <c r="C53" s="47"/>
      <c r="D53" s="56">
        <f>SUBTOTAL(9,D40:D52)</f>
        <v>0.49166699999999997</v>
      </c>
      <c r="E53" s="49">
        <f>'Aug 3'!$D53*$C$6*$C$2</f>
        <v>35073424.529076777</v>
      </c>
      <c r="F53" s="57"/>
      <c r="G53" s="70"/>
      <c r="H53" s="55"/>
      <c r="I53" s="55"/>
      <c r="J53" s="59"/>
      <c r="K53" s="49">
        <f>SUM(K40:K51)</f>
        <v>35132797.511494257</v>
      </c>
      <c r="L53" s="68">
        <f>'Aug 3'!$K53/$K$2</f>
        <v>0.49233724000466889</v>
      </c>
      <c r="M53" s="47"/>
      <c r="N53" s="15"/>
      <c r="O53" s="2">
        <f>Table138958[[#This Row],[Change]]*Table138958[[#This Row],[Last price]]</f>
        <v>0</v>
      </c>
      <c r="P53" s="42">
        <f t="shared" si="1"/>
        <v>0</v>
      </c>
    </row>
    <row r="54" spans="1:18" s="44" customFormat="1" ht="12.75" x14ac:dyDescent="0.2">
      <c r="A54" s="33"/>
      <c r="B54" s="33"/>
      <c r="C54" s="33"/>
      <c r="D54" s="34"/>
      <c r="E54" s="35"/>
      <c r="F54" s="35"/>
      <c r="G54" s="36"/>
      <c r="H54" s="33"/>
      <c r="I54" s="33"/>
      <c r="J54" s="45"/>
      <c r="K54" s="35"/>
      <c r="L54" s="39"/>
      <c r="M54" s="33"/>
      <c r="N54" s="64"/>
      <c r="O54" s="2">
        <f>Table138958[[#This Row],[Change]]*Table138958[[#This Row],[Last price]]</f>
        <v>0</v>
      </c>
      <c r="P54" s="42">
        <f t="shared" si="1"/>
        <v>0</v>
      </c>
    </row>
    <row r="55" spans="1:18" s="41" customFormat="1" ht="12.75" x14ac:dyDescent="0.2">
      <c r="A55" s="33"/>
      <c r="B55" s="33"/>
      <c r="C55" s="33"/>
      <c r="D55" s="34"/>
      <c r="E55" s="35"/>
      <c r="F55" s="35"/>
      <c r="G55" s="71"/>
      <c r="H55" s="33"/>
      <c r="I55" s="33"/>
      <c r="J55" s="37"/>
      <c r="K55" s="38"/>
      <c r="L55" s="39"/>
      <c r="M55" s="40"/>
      <c r="N55" s="2"/>
      <c r="O55" s="2">
        <f>Table138958[[#This Row],[Change]]*Table138958[[#This Row],[Last price]]</f>
        <v>0</v>
      </c>
      <c r="P55" s="42">
        <f t="shared" si="1"/>
        <v>0</v>
      </c>
    </row>
    <row r="56" spans="1:18" s="41" customFormat="1" ht="25.5" x14ac:dyDescent="0.2">
      <c r="A56" s="33" t="s">
        <v>195</v>
      </c>
      <c r="B56" s="33" t="s">
        <v>196</v>
      </c>
      <c r="C56" s="33" t="s">
        <v>68</v>
      </c>
      <c r="D56" s="34">
        <v>1.5E-3</v>
      </c>
      <c r="E56" s="35">
        <f>'Aug 3'!$D56*$C$6*$C$2</f>
        <v>107003.59551</v>
      </c>
      <c r="F56" s="35">
        <v>42950</v>
      </c>
      <c r="G56" s="71">
        <f>'Aug 3'!$E56/'Aug 3'!$F56</f>
        <v>2.4913526311990686</v>
      </c>
      <c r="H56" s="33">
        <v>2</v>
      </c>
      <c r="I56" s="33">
        <v>2</v>
      </c>
      <c r="J56" s="37">
        <f t="shared" ref="J56:J65" si="4">I56-H56</f>
        <v>0</v>
      </c>
      <c r="K56" s="38">
        <f>'Aug 3'!$F56*'Aug 3'!$I56</f>
        <v>85900</v>
      </c>
      <c r="L56" s="39">
        <f>'Aug 3'!$K56/$K$2</f>
        <v>1.2037688972124873E-3</v>
      </c>
      <c r="M56" s="40"/>
      <c r="N56" s="2"/>
      <c r="O56" s="2">
        <f>Table138958[[#This Row],[Change]]*Table138958[[#This Row],[Last price]]</f>
        <v>0</v>
      </c>
      <c r="P56" s="42">
        <f t="shared" si="1"/>
        <v>0</v>
      </c>
    </row>
    <row r="57" spans="1:18" s="41" customFormat="1" ht="25.5" x14ac:dyDescent="0.2">
      <c r="A57" s="33" t="s">
        <v>195</v>
      </c>
      <c r="B57" s="33" t="s">
        <v>197</v>
      </c>
      <c r="C57" s="33" t="s">
        <v>71</v>
      </c>
      <c r="D57" s="34">
        <v>1.5E-3</v>
      </c>
      <c r="E57" s="35">
        <f>'Aug 3'!$D57*$C$6*$C$2</f>
        <v>107003.59551</v>
      </c>
      <c r="F57" s="35">
        <v>161639</v>
      </c>
      <c r="G57" s="71">
        <f>'Aug 3'!$E57/'Aug 3'!$F57</f>
        <v>0.66199119958673336</v>
      </c>
      <c r="H57" s="33">
        <v>1</v>
      </c>
      <c r="I57" s="33">
        <v>1</v>
      </c>
      <c r="J57" s="37">
        <f t="shared" si="4"/>
        <v>0</v>
      </c>
      <c r="K57" s="38">
        <f>'Aug 3'!$F57*'Aug 3'!$I57</f>
        <v>161639</v>
      </c>
      <c r="L57" s="39">
        <f>'Aug 3'!$K57/$K$2</f>
        <v>2.2651455270841585E-3</v>
      </c>
      <c r="M57" s="40"/>
      <c r="N57" s="2"/>
      <c r="O57" s="2">
        <f>Table138958[[#This Row],[Change]]*Table138958[[#This Row],[Last price]]</f>
        <v>0</v>
      </c>
      <c r="P57" s="42">
        <f t="shared" si="1"/>
        <v>0</v>
      </c>
      <c r="R57" s="41" t="s">
        <v>198</v>
      </c>
    </row>
    <row r="58" spans="1:18" s="41" customFormat="1" ht="25.5" x14ac:dyDescent="0.2">
      <c r="A58" s="33" t="s">
        <v>195</v>
      </c>
      <c r="B58" s="33" t="s">
        <v>199</v>
      </c>
      <c r="C58" s="33" t="s">
        <v>82</v>
      </c>
      <c r="D58" s="34">
        <v>1.5E-3</v>
      </c>
      <c r="E58" s="35">
        <f>'Aug 3'!$D58*$C$6*$C$2</f>
        <v>107003.59551</v>
      </c>
      <c r="F58" s="35">
        <v>83427</v>
      </c>
      <c r="G58" s="71">
        <f>'Aug 3'!$E58/'Aug 3'!$F58</f>
        <v>1.2826015020317163</v>
      </c>
      <c r="H58" s="33">
        <v>1</v>
      </c>
      <c r="I58" s="33">
        <v>1</v>
      </c>
      <c r="J58" s="37">
        <f t="shared" si="4"/>
        <v>0</v>
      </c>
      <c r="K58" s="38">
        <f>'Aug 3'!$F58*'Aug 3'!$I58</f>
        <v>83427</v>
      </c>
      <c r="L58" s="39">
        <f>'Aug 3'!$K58/$K$2</f>
        <v>1.1691132454918064E-3</v>
      </c>
      <c r="M58" s="40"/>
      <c r="N58" s="2"/>
      <c r="O58" s="2">
        <f>Table138958[[#This Row],[Change]]*Table138958[[#This Row],[Last price]]</f>
        <v>0</v>
      </c>
      <c r="P58" s="42">
        <f t="shared" si="1"/>
        <v>0</v>
      </c>
    </row>
    <row r="59" spans="1:18" s="41" customFormat="1" ht="25.5" x14ac:dyDescent="0.2">
      <c r="A59" s="33" t="s">
        <v>195</v>
      </c>
      <c r="B59" s="33" t="s">
        <v>200</v>
      </c>
      <c r="C59" s="33" t="s">
        <v>84</v>
      </c>
      <c r="D59" s="34">
        <v>1.5E-3</v>
      </c>
      <c r="E59" s="35">
        <f>'Aug 3'!$D59*$C$6*$C$2</f>
        <v>107003.59551</v>
      </c>
      <c r="F59" s="35">
        <v>214662</v>
      </c>
      <c r="G59" s="71">
        <f>'Aug 3'!$E59/'Aug 3'!$F59</f>
        <v>0.49847479064762279</v>
      </c>
      <c r="H59" s="33">
        <v>1</v>
      </c>
      <c r="I59" s="33">
        <v>1</v>
      </c>
      <c r="J59" s="37">
        <f t="shared" si="4"/>
        <v>0</v>
      </c>
      <c r="K59" s="38">
        <f>'Aug 3'!$F59*'Aug 3'!$I59</f>
        <v>214662</v>
      </c>
      <c r="L59" s="39">
        <f>'Aug 3'!$K59/$K$2</f>
        <v>3.0081890455579386E-3</v>
      </c>
      <c r="M59" s="40"/>
      <c r="N59" s="2"/>
      <c r="O59" s="2">
        <f>Table138958[[#This Row],[Change]]*Table138958[[#This Row],[Last price]]</f>
        <v>0</v>
      </c>
      <c r="P59" s="42">
        <f t="shared" si="1"/>
        <v>0</v>
      </c>
    </row>
    <row r="60" spans="1:18" s="41" customFormat="1" ht="25.5" x14ac:dyDescent="0.2">
      <c r="A60" s="33" t="s">
        <v>195</v>
      </c>
      <c r="B60" s="33" t="s">
        <v>201</v>
      </c>
      <c r="C60" s="33" t="s">
        <v>87</v>
      </c>
      <c r="D60" s="34">
        <v>1.5E-3</v>
      </c>
      <c r="E60" s="35">
        <f>'Aug 3'!$D60*$C$6*$C$2</f>
        <v>107003.59551</v>
      </c>
      <c r="F60" s="35">
        <v>46033.5</v>
      </c>
      <c r="G60" s="71">
        <f>'Aug 3'!$E60/'Aug 3'!$F60</f>
        <v>2.3244722975659031</v>
      </c>
      <c r="H60" s="33">
        <v>2</v>
      </c>
      <c r="I60" s="33">
        <v>2</v>
      </c>
      <c r="J60" s="37">
        <f t="shared" si="4"/>
        <v>0</v>
      </c>
      <c r="K60" s="38">
        <f>'Aug 3'!$F60*'Aug 3'!$I60</f>
        <v>92067</v>
      </c>
      <c r="L60" s="39">
        <f>'Aug 3'!$K60/$K$2</f>
        <v>1.2901908155956003E-3</v>
      </c>
      <c r="M60" s="40"/>
      <c r="N60" s="2"/>
      <c r="O60" s="2">
        <f>Table138958[[#This Row],[Change]]*Table138958[[#This Row],[Last price]]</f>
        <v>0</v>
      </c>
      <c r="P60" s="42">
        <f t="shared" si="1"/>
        <v>0</v>
      </c>
    </row>
    <row r="61" spans="1:18" s="41" customFormat="1" ht="25.5" x14ac:dyDescent="0.2">
      <c r="A61" s="33" t="s">
        <v>195</v>
      </c>
      <c r="B61" s="33" t="s">
        <v>89</v>
      </c>
      <c r="C61" s="33" t="s">
        <v>90</v>
      </c>
      <c r="D61" s="34">
        <v>1.5E-3</v>
      </c>
      <c r="E61" s="35">
        <f>'Aug 3'!$D61*$C$6*$C$2</f>
        <v>107003.59551</v>
      </c>
      <c r="F61" s="35">
        <v>47163.5</v>
      </c>
      <c r="G61" s="71">
        <f>'Aug 3'!$E61/'Aug 3'!$F61</f>
        <v>2.2687797875475737</v>
      </c>
      <c r="H61" s="33">
        <v>2</v>
      </c>
      <c r="I61" s="33">
        <v>2</v>
      </c>
      <c r="J61" s="37">
        <f t="shared" si="4"/>
        <v>0</v>
      </c>
      <c r="K61" s="38">
        <f>'Aug 3'!$F61*'Aug 3'!$I61</f>
        <v>94327</v>
      </c>
      <c r="L61" s="39">
        <f>'Aug 3'!$K61/$K$2</f>
        <v>1.3218615688866389E-3</v>
      </c>
      <c r="M61" s="40"/>
      <c r="N61" s="2"/>
      <c r="O61" s="2">
        <f>Table138958[[#This Row],[Change]]*Table138958[[#This Row],[Last price]]</f>
        <v>0</v>
      </c>
      <c r="P61" s="42">
        <f t="shared" si="1"/>
        <v>0</v>
      </c>
    </row>
    <row r="62" spans="1:18" s="41" customFormat="1" ht="25.5" x14ac:dyDescent="0.2">
      <c r="A62" s="33" t="s">
        <v>195</v>
      </c>
      <c r="B62" s="33" t="s">
        <v>202</v>
      </c>
      <c r="C62" s="33" t="s">
        <v>92</v>
      </c>
      <c r="D62" s="34">
        <v>1.5E-3</v>
      </c>
      <c r="E62" s="35">
        <f>'Aug 3'!$D62*$C$6*$C$2</f>
        <v>107003.59551</v>
      </c>
      <c r="F62" s="35">
        <v>11552.7</v>
      </c>
      <c r="G62" s="71">
        <f>'Aug 3'!$E62/'Aug 3'!$F62</f>
        <v>9.2622153704328856</v>
      </c>
      <c r="H62" s="33">
        <v>10</v>
      </c>
      <c r="I62" s="33">
        <v>10</v>
      </c>
      <c r="J62" s="37">
        <f t="shared" si="4"/>
        <v>0</v>
      </c>
      <c r="K62" s="38">
        <f>'Aug 3'!$F62*'Aug 3'!$I62</f>
        <v>115527</v>
      </c>
      <c r="L62" s="39">
        <f>'Aug 3'!$K62/$K$2</f>
        <v>1.6189500510857626E-3</v>
      </c>
      <c r="M62" s="40"/>
      <c r="N62" s="2"/>
      <c r="O62" s="2">
        <f>Table138958[[#This Row],[Change]]*Table138958[[#This Row],[Last price]]</f>
        <v>0</v>
      </c>
      <c r="P62" s="42">
        <f t="shared" si="1"/>
        <v>0</v>
      </c>
    </row>
    <row r="63" spans="1:18" s="41" customFormat="1" ht="25.5" x14ac:dyDescent="0.2">
      <c r="A63" s="33" t="s">
        <v>195</v>
      </c>
      <c r="B63" s="33" t="s">
        <v>203</v>
      </c>
      <c r="C63" s="33" t="s">
        <v>97</v>
      </c>
      <c r="D63" s="34">
        <v>1.5E-3</v>
      </c>
      <c r="E63" s="35">
        <f>'Aug 3'!$D63*$C$6*$C$2</f>
        <v>107003.59551</v>
      </c>
      <c r="F63" s="35">
        <v>90184</v>
      </c>
      <c r="G63" s="71">
        <f>'Aug 3'!$E63/'Aug 3'!$F63</f>
        <v>1.1865030993302581</v>
      </c>
      <c r="H63" s="33">
        <v>1</v>
      </c>
      <c r="I63" s="33">
        <v>1</v>
      </c>
      <c r="J63" s="37">
        <f t="shared" si="4"/>
        <v>0</v>
      </c>
      <c r="K63" s="38">
        <f>'Aug 3'!$F63*'Aug 3'!$I63</f>
        <v>90184</v>
      </c>
      <c r="L63" s="39">
        <f>'Aug 3'!$K63/$K$2</f>
        <v>1.2638031923889515E-3</v>
      </c>
      <c r="M63" s="40"/>
      <c r="N63" s="2"/>
      <c r="O63" s="2">
        <f>Table138958[[#This Row],[Change]]*Table138958[[#This Row],[Last price]]</f>
        <v>0</v>
      </c>
      <c r="P63" s="42">
        <f t="shared" si="1"/>
        <v>0</v>
      </c>
    </row>
    <row r="64" spans="1:18" ht="26.25" x14ac:dyDescent="0.25">
      <c r="A64" s="33" t="s">
        <v>195</v>
      </c>
      <c r="B64" s="60" t="s">
        <v>204</v>
      </c>
      <c r="C64" s="60" t="s">
        <v>124</v>
      </c>
      <c r="D64" s="34">
        <v>1.5E-3</v>
      </c>
      <c r="E64" s="35">
        <f>'Aug 3'!$D64*$C$6*$C$2</f>
        <v>107003.59551</v>
      </c>
      <c r="F64" s="35">
        <v>57799</v>
      </c>
      <c r="G64" s="71">
        <f>'Aug 3'!$E64/'Aug 3'!$F64</f>
        <v>1.8513053082233257</v>
      </c>
      <c r="H64" s="33">
        <v>1</v>
      </c>
      <c r="I64" s="33">
        <v>1</v>
      </c>
      <c r="J64" s="37">
        <f t="shared" si="4"/>
        <v>0</v>
      </c>
      <c r="K64" s="38">
        <f>'Aug 3'!$F64*'Aug 3'!$I64</f>
        <v>57799</v>
      </c>
      <c r="L64" s="39">
        <f>'Aug 3'!$K64/$K$2</f>
        <v>8.0997250861448837E-4</v>
      </c>
      <c r="M64" s="62"/>
      <c r="O64" s="2">
        <f>Table138958[[#This Row],[Change]]*Table138958[[#This Row],[Last price]]</f>
        <v>0</v>
      </c>
      <c r="P64" s="42">
        <f t="shared" si="1"/>
        <v>0</v>
      </c>
    </row>
    <row r="65" spans="1:16" s="41" customFormat="1" ht="25.5" x14ac:dyDescent="0.2">
      <c r="A65" s="33" t="s">
        <v>195</v>
      </c>
      <c r="B65" s="33" t="s">
        <v>205</v>
      </c>
      <c r="C65" s="33" t="s">
        <v>95</v>
      </c>
      <c r="D65" s="34">
        <v>1.5E-3</v>
      </c>
      <c r="E65" s="35">
        <f>'Aug 3'!$D65*$C$6*$C$2</f>
        <v>107003.59551</v>
      </c>
      <c r="F65" s="35">
        <v>122456</v>
      </c>
      <c r="G65" s="71">
        <f>'Aug 3'!$E65/'Aug 3'!$F65</f>
        <v>0.87381259807604361</v>
      </c>
      <c r="H65" s="33">
        <v>1</v>
      </c>
      <c r="I65" s="33">
        <v>1</v>
      </c>
      <c r="J65" s="37">
        <f t="shared" si="4"/>
        <v>0</v>
      </c>
      <c r="K65" s="38">
        <f>'Aug 3'!$F65*'Aug 3'!$I65</f>
        <v>122456</v>
      </c>
      <c r="L65" s="39">
        <f>'Aug 3'!$K65/$K$2</f>
        <v>1.7160503384988631E-3</v>
      </c>
      <c r="M65" s="40"/>
      <c r="N65" s="2"/>
      <c r="O65" s="2">
        <f>Table138958[[#This Row],[Change]]*Table138958[[#This Row],[Last price]]</f>
        <v>0</v>
      </c>
      <c r="P65" s="42">
        <f t="shared" si="1"/>
        <v>0</v>
      </c>
    </row>
    <row r="66" spans="1:16" s="41" customFormat="1" ht="12.75" x14ac:dyDescent="0.2">
      <c r="A66" s="33"/>
      <c r="B66" s="33"/>
      <c r="C66" s="33"/>
      <c r="D66" s="34"/>
      <c r="E66" s="35"/>
      <c r="F66" s="35"/>
      <c r="G66" s="36"/>
      <c r="H66" s="33"/>
      <c r="I66" s="33"/>
      <c r="J66" s="40"/>
      <c r="K66" s="38"/>
      <c r="L66" s="39"/>
      <c r="M66" s="40"/>
      <c r="N66" s="2"/>
    </row>
    <row r="67" spans="1:16" s="41" customFormat="1" ht="12.75" x14ac:dyDescent="0.2">
      <c r="A67" s="33"/>
      <c r="B67" s="33"/>
      <c r="C67" s="33"/>
      <c r="D67" s="34"/>
      <c r="E67" s="35"/>
      <c r="F67" s="35"/>
      <c r="G67" s="36"/>
      <c r="H67" s="33"/>
      <c r="I67" s="33"/>
      <c r="J67" s="40"/>
      <c r="K67" s="38"/>
      <c r="L67" s="39"/>
      <c r="M67" s="40"/>
      <c r="N67" s="2"/>
    </row>
    <row r="68" spans="1:16" s="41" customFormat="1" ht="12.75" x14ac:dyDescent="0.2">
      <c r="A68" s="33"/>
      <c r="B68" s="33"/>
      <c r="C68" s="33"/>
      <c r="D68" s="34"/>
      <c r="E68" s="35"/>
      <c r="F68" s="35"/>
      <c r="G68" s="36"/>
      <c r="H68" s="33"/>
      <c r="I68" s="33"/>
      <c r="J68" s="40"/>
      <c r="K68" s="38"/>
      <c r="L68" s="39"/>
      <c r="M68" s="40"/>
      <c r="N68" s="2"/>
    </row>
    <row r="69" spans="1:16" s="41" customFormat="1" ht="12.75" x14ac:dyDescent="0.2">
      <c r="A69" s="33"/>
      <c r="B69" s="33"/>
      <c r="C69" s="33"/>
      <c r="D69" s="34"/>
      <c r="E69" s="35"/>
      <c r="F69" s="35"/>
      <c r="G69" s="36"/>
      <c r="H69" s="33"/>
      <c r="I69" s="33"/>
      <c r="J69" s="40"/>
      <c r="K69" s="38"/>
      <c r="L69" s="39"/>
      <c r="M69" s="40"/>
      <c r="N69" s="2"/>
    </row>
    <row r="70" spans="1:16" s="41" customFormat="1" ht="12.75" x14ac:dyDescent="0.2">
      <c r="A70" s="33"/>
      <c r="B70" s="33"/>
      <c r="C70" s="33"/>
      <c r="D70" s="34"/>
      <c r="E70" s="35"/>
      <c r="F70" s="35"/>
      <c r="G70" s="36"/>
      <c r="H70" s="33"/>
      <c r="I70" s="33"/>
      <c r="J70" s="40"/>
      <c r="K70" s="38"/>
      <c r="L70" s="39"/>
      <c r="M70" s="40"/>
      <c r="N70" s="2"/>
    </row>
    <row r="71" spans="1:16" s="41" customFormat="1" ht="12.75" x14ac:dyDescent="0.2">
      <c r="A71" s="33"/>
      <c r="B71" s="33"/>
      <c r="C71" s="33"/>
      <c r="D71" s="34"/>
      <c r="E71" s="35"/>
      <c r="F71" s="35"/>
      <c r="G71" s="36"/>
      <c r="H71" s="33"/>
      <c r="I71" s="33"/>
      <c r="J71" s="40"/>
      <c r="K71" s="38"/>
      <c r="L71" s="39"/>
      <c r="M71" s="40"/>
      <c r="N71" s="2"/>
    </row>
    <row r="72" spans="1:16" s="41" customFormat="1" ht="12.75" x14ac:dyDescent="0.2">
      <c r="A72" s="33"/>
      <c r="B72" s="33"/>
      <c r="C72" s="33"/>
      <c r="D72" s="34"/>
      <c r="E72" s="35"/>
      <c r="F72" s="35"/>
      <c r="G72" s="36"/>
      <c r="H72" s="33"/>
      <c r="I72" s="33"/>
      <c r="J72" s="40"/>
      <c r="K72" s="38"/>
      <c r="L72" s="39"/>
      <c r="M72" s="40"/>
      <c r="N72" s="2"/>
    </row>
    <row r="73" spans="1:16" s="15" customFormat="1" ht="12.75" x14ac:dyDescent="0.2">
      <c r="A73" s="47" t="s">
        <v>206</v>
      </c>
      <c r="B73" s="65"/>
      <c r="C73" s="65"/>
      <c r="D73" s="72">
        <f>SUM(D56:D72)</f>
        <v>1.4999999999999998E-2</v>
      </c>
      <c r="E73" s="49">
        <f>SUM(E55:E72)</f>
        <v>1070035.9550999999</v>
      </c>
      <c r="F73" s="70"/>
      <c r="G73" s="70"/>
      <c r="H73" s="65"/>
      <c r="I73" s="65"/>
      <c r="J73" s="47"/>
      <c r="K73" s="49">
        <f>SUM(K55:K72)</f>
        <v>1117988</v>
      </c>
      <c r="L73" s="53">
        <f>'Aug 3'!$K73/$K$2</f>
        <v>1.5667045190416694E-2</v>
      </c>
      <c r="M73" s="50"/>
    </row>
    <row r="74" spans="1:16" x14ac:dyDescent="0.25">
      <c r="A74" s="33"/>
      <c r="B74" s="60"/>
      <c r="C74" s="60"/>
      <c r="D74" s="73"/>
      <c r="E74" s="35"/>
      <c r="F74" s="35"/>
      <c r="G74" s="36"/>
      <c r="H74" s="60"/>
      <c r="I74" s="60"/>
      <c r="J74" s="33"/>
      <c r="K74" s="33"/>
      <c r="L74" s="39"/>
      <c r="M74" s="62"/>
    </row>
    <row r="75" spans="1:16" x14ac:dyDescent="0.25">
      <c r="A75" s="33"/>
      <c r="B75" s="60"/>
      <c r="C75" s="60"/>
      <c r="D75" s="74"/>
      <c r="E75" s="63"/>
      <c r="F75" s="35"/>
      <c r="G75" s="61"/>
      <c r="H75" s="60"/>
      <c r="I75" s="60"/>
      <c r="J75" s="33"/>
      <c r="K75" s="33"/>
      <c r="L75" s="39"/>
      <c r="M75" s="62"/>
    </row>
    <row r="76" spans="1:16" s="15" customFormat="1" ht="12.75" x14ac:dyDescent="0.2">
      <c r="A76" s="47" t="s">
        <v>207</v>
      </c>
      <c r="B76" s="65"/>
      <c r="C76" s="65"/>
      <c r="D76" s="65"/>
      <c r="E76" s="75"/>
      <c r="F76" s="65"/>
      <c r="G76" s="65"/>
      <c r="H76" s="65"/>
      <c r="I76" s="65"/>
      <c r="J76" s="65"/>
      <c r="K76" s="75">
        <f>SUM(K26,K28,K38,K53,K73)</f>
        <v>71359212.053837508</v>
      </c>
      <c r="L76" s="53">
        <f>'Aug 3'!$K76/$K$2</f>
        <v>1</v>
      </c>
      <c r="M76" s="65"/>
    </row>
    <row r="77" spans="1:16" x14ac:dyDescent="0.25">
      <c r="A77" s="62"/>
      <c r="B77" s="62"/>
      <c r="C77" s="62"/>
      <c r="D77" s="76"/>
      <c r="E77" s="77"/>
      <c r="F77" s="35"/>
      <c r="G77" s="78"/>
      <c r="H77" s="62"/>
      <c r="I77" s="62"/>
      <c r="J77" s="62"/>
      <c r="K77" s="62"/>
      <c r="L77" s="39"/>
      <c r="M77" s="62"/>
    </row>
    <row r="78" spans="1:16" x14ac:dyDescent="0.25">
      <c r="A78" s="62"/>
      <c r="B78" s="62"/>
      <c r="C78" s="62"/>
      <c r="D78" s="76"/>
      <c r="E78" s="77"/>
      <c r="F78" s="35"/>
      <c r="G78" s="78"/>
      <c r="H78" s="62"/>
      <c r="I78" s="62"/>
      <c r="J78" s="62"/>
      <c r="K78" s="62"/>
      <c r="L78" s="39"/>
      <c r="M78" s="62"/>
    </row>
    <row r="79" spans="1:16" x14ac:dyDescent="0.25">
      <c r="A79" s="62"/>
      <c r="B79" s="62"/>
      <c r="C79" s="62"/>
      <c r="D79" s="76"/>
      <c r="E79" s="77"/>
      <c r="F79" s="35"/>
      <c r="G79" s="78"/>
      <c r="H79" s="62"/>
      <c r="I79" s="62"/>
      <c r="J79" s="62"/>
      <c r="K79" s="62"/>
      <c r="L79" s="39"/>
      <c r="M79" s="62"/>
    </row>
    <row r="80" spans="1:16" x14ac:dyDescent="0.25">
      <c r="A80" s="62"/>
      <c r="B80" s="62"/>
      <c r="C80" s="62"/>
      <c r="D80" s="76"/>
      <c r="E80" s="77"/>
      <c r="F80" s="35"/>
      <c r="G80" s="78"/>
      <c r="H80" s="62"/>
      <c r="I80" s="62"/>
      <c r="J80" s="62"/>
      <c r="K80" s="62"/>
      <c r="L80" s="39"/>
      <c r="M80" s="62"/>
    </row>
    <row r="81" spans="1:13" x14ac:dyDescent="0.25">
      <c r="A81" s="62"/>
      <c r="B81" s="62"/>
      <c r="C81" s="62"/>
      <c r="D81" s="76"/>
      <c r="E81" s="77"/>
      <c r="F81" s="35"/>
      <c r="G81" s="78"/>
      <c r="H81" s="62"/>
      <c r="I81" s="62"/>
      <c r="J81" s="62"/>
      <c r="K81" s="62"/>
      <c r="L81" s="39"/>
      <c r="M81" s="62"/>
    </row>
    <row r="82" spans="1:13" x14ac:dyDescent="0.25">
      <c r="A82" s="62"/>
      <c r="B82" s="62"/>
      <c r="C82" s="62"/>
      <c r="D82" s="76"/>
      <c r="E82" s="77"/>
      <c r="F82" s="35"/>
      <c r="G82" s="78"/>
      <c r="H82" s="62"/>
      <c r="I82" s="62"/>
      <c r="J82" s="62"/>
      <c r="K82" s="62"/>
      <c r="L82" s="39"/>
      <c r="M82" s="62"/>
    </row>
    <row r="83" spans="1:13" x14ac:dyDescent="0.25">
      <c r="A83" s="62"/>
      <c r="B83" s="62"/>
      <c r="C83" s="62"/>
      <c r="D83" s="76"/>
      <c r="E83" s="77"/>
      <c r="F83" s="35"/>
      <c r="G83" s="78"/>
      <c r="H83" s="62"/>
      <c r="I83" s="62"/>
      <c r="J83" s="62"/>
      <c r="K83" s="62"/>
      <c r="L83" s="39"/>
      <c r="M83" s="62"/>
    </row>
    <row r="84" spans="1:13" x14ac:dyDescent="0.25">
      <c r="A84" s="62"/>
      <c r="B84" s="62"/>
      <c r="C84" s="62"/>
      <c r="D84" s="76"/>
      <c r="E84" s="77"/>
      <c r="F84" s="35"/>
      <c r="G84" s="78"/>
      <c r="H84" s="62"/>
      <c r="I84" s="62"/>
      <c r="J84" s="62"/>
      <c r="K84" s="62"/>
      <c r="L84" s="39"/>
      <c r="M84" s="62"/>
    </row>
    <row r="85" spans="1:13" x14ac:dyDescent="0.25">
      <c r="A85" s="62"/>
      <c r="B85" s="62"/>
      <c r="C85" s="62"/>
      <c r="D85" s="76"/>
      <c r="E85" s="77"/>
      <c r="F85" s="35"/>
      <c r="G85" s="78"/>
      <c r="H85" s="62"/>
      <c r="I85" s="62"/>
      <c r="J85" s="62"/>
      <c r="K85" s="62"/>
      <c r="L85" s="39"/>
      <c r="M85" s="62"/>
    </row>
    <row r="86" spans="1:13" s="2" customFormat="1" ht="12.75" x14ac:dyDescent="0.2"/>
    <row r="87" spans="1:13" s="2" customFormat="1" ht="12.75" x14ac:dyDescent="0.2"/>
    <row r="89" spans="1:13" s="2" customFormat="1" ht="12.75" x14ac:dyDescent="0.2">
      <c r="A89" s="79"/>
      <c r="B89" s="79"/>
      <c r="E89" s="79"/>
      <c r="F89" s="79"/>
      <c r="G89" s="79"/>
      <c r="H89" s="80"/>
      <c r="M89" s="79"/>
    </row>
    <row r="90" spans="1:13" s="2" customFormat="1" ht="12.75" x14ac:dyDescent="0.2">
      <c r="A90" s="79"/>
      <c r="B90" s="79"/>
      <c r="E90" s="79"/>
      <c r="F90" s="79"/>
      <c r="G90" s="79"/>
      <c r="H90" s="80"/>
      <c r="M90" s="79"/>
    </row>
    <row r="91" spans="1:13" s="2" customFormat="1" ht="12.75" x14ac:dyDescent="0.2">
      <c r="A91" s="81"/>
      <c r="B91" s="81"/>
    </row>
    <row r="92" spans="1:13" s="2" customFormat="1" ht="12.75" x14ac:dyDescent="0.2">
      <c r="A92" s="82"/>
      <c r="B92" s="82"/>
      <c r="E92" s="82"/>
      <c r="F92" s="81"/>
      <c r="G92" s="81"/>
      <c r="M92" s="83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5"/>
  <sheetViews>
    <sheetView topLeftCell="C1" zoomScaleNormal="100" workbookViewId="0">
      <selection activeCell="P7" sqref="P7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4" width="10.5703125" style="2" customWidth="1"/>
    <col min="15" max="15" width="13" style="2" customWidth="1"/>
    <col min="16" max="16" width="13.7109375" style="2" bestFit="1" customWidth="1"/>
    <col min="17" max="18" width="10.85546875" style="2" customWidth="1"/>
    <col min="19" max="19" width="11.28515625" style="2" customWidth="1"/>
    <col min="20" max="1024" width="9.140625" style="2"/>
  </cols>
  <sheetData>
    <row r="1" spans="1:19" s="2" customFormat="1" ht="25.5" x14ac:dyDescent="0.2">
      <c r="A1" s="3"/>
      <c r="B1" s="3" t="s">
        <v>137</v>
      </c>
      <c r="C1" s="4">
        <v>44048</v>
      </c>
      <c r="D1" s="5"/>
      <c r="E1" s="6" t="s">
        <v>138</v>
      </c>
      <c r="F1" s="7"/>
      <c r="G1" s="8"/>
      <c r="K1" s="9" t="s">
        <v>139</v>
      </c>
      <c r="L1" s="9" t="s">
        <v>140</v>
      </c>
      <c r="M1" s="10" t="s">
        <v>141</v>
      </c>
    </row>
    <row r="2" spans="1:19" x14ac:dyDescent="0.25">
      <c r="A2" s="3"/>
      <c r="B2" s="3" t="s">
        <v>142</v>
      </c>
      <c r="C2" s="11">
        <v>10.7</v>
      </c>
      <c r="D2" s="12"/>
      <c r="E2" s="13">
        <f>SUM(E23,E35,E46,E66,E25)</f>
        <v>89127669.189981848</v>
      </c>
      <c r="F2" s="14"/>
      <c r="G2" s="15"/>
      <c r="H2" s="12"/>
      <c r="I2" s="12"/>
      <c r="J2" s="12"/>
      <c r="K2" s="13">
        <f>SUM(K23,K35,K46,K66,K25)</f>
        <v>89684414.015554577</v>
      </c>
      <c r="L2" s="16">
        <f>SUM(L46,L66,L35,L23,L25)</f>
        <v>1</v>
      </c>
      <c r="M2" s="17">
        <f>K2/$C$6</f>
        <v>10.766860144938668</v>
      </c>
      <c r="P2" s="18"/>
    </row>
    <row r="3" spans="1:19" ht="26.25" x14ac:dyDescent="0.25">
      <c r="A3" s="3"/>
      <c r="B3" s="3" t="s">
        <v>143</v>
      </c>
      <c r="C3" s="19">
        <v>8329672.0499999998</v>
      </c>
      <c r="D3" s="20"/>
      <c r="E3" s="6" t="s">
        <v>144</v>
      </c>
      <c r="F3" s="14"/>
      <c r="G3" s="15"/>
      <c r="H3" s="12"/>
      <c r="I3" s="12"/>
      <c r="J3" s="12"/>
      <c r="K3" s="9" t="s">
        <v>139</v>
      </c>
      <c r="L3" s="12"/>
      <c r="M3" s="10" t="s">
        <v>145</v>
      </c>
      <c r="P3" s="21"/>
    </row>
    <row r="4" spans="1:19" x14ac:dyDescent="0.25">
      <c r="A4" s="3"/>
      <c r="B4" s="3" t="s">
        <v>146</v>
      </c>
      <c r="C4" s="19">
        <v>0</v>
      </c>
      <c r="D4" s="20"/>
      <c r="E4" s="13">
        <f>SUM(E23,E66,E25)</f>
        <v>13369212.767740935</v>
      </c>
      <c r="F4" s="14"/>
      <c r="G4" s="15"/>
      <c r="H4" s="12"/>
      <c r="I4" s="12"/>
      <c r="J4" s="12"/>
      <c r="K4" s="13">
        <f>SUM(K23,K25,K66)</f>
        <v>13386669.570581898</v>
      </c>
      <c r="L4" s="12"/>
      <c r="M4" s="17">
        <f>K4/$C$6</f>
        <v>1.6071064371113986</v>
      </c>
      <c r="P4" s="21"/>
    </row>
    <row r="5" spans="1:19" x14ac:dyDescent="0.25">
      <c r="A5" s="3"/>
      <c r="B5" s="3" t="s">
        <v>147</v>
      </c>
      <c r="C5" s="19">
        <v>0</v>
      </c>
      <c r="D5" s="20"/>
      <c r="E5" s="14"/>
      <c r="F5" s="14"/>
      <c r="G5" s="15"/>
      <c r="H5" s="12"/>
      <c r="I5" s="12"/>
      <c r="J5" s="12"/>
      <c r="K5" s="12"/>
      <c r="L5" s="12"/>
      <c r="M5" s="12"/>
      <c r="P5" s="21"/>
    </row>
    <row r="6" spans="1:19" x14ac:dyDescent="0.25">
      <c r="A6" s="3"/>
      <c r="B6" s="3" t="s">
        <v>148</v>
      </c>
      <c r="C6" s="19">
        <f>C3+C4-C5</f>
        <v>8329672.0499999998</v>
      </c>
      <c r="D6" s="20"/>
      <c r="E6" s="14"/>
      <c r="F6" s="14"/>
      <c r="G6" s="15"/>
      <c r="H6" s="12"/>
      <c r="I6" s="12"/>
      <c r="J6" s="12"/>
      <c r="K6" s="12"/>
      <c r="L6" s="12"/>
      <c r="M6" s="12"/>
      <c r="P6" s="21"/>
    </row>
    <row r="7" spans="1:19" x14ac:dyDescent="0.25">
      <c r="A7" s="22"/>
      <c r="B7" s="23"/>
      <c r="C7" s="23"/>
      <c r="D7" s="24"/>
      <c r="E7" s="25"/>
      <c r="F7" s="25"/>
      <c r="G7" s="25"/>
      <c r="H7" s="26"/>
      <c r="I7" s="26"/>
      <c r="J7" s="26"/>
      <c r="K7" s="12"/>
      <c r="L7" s="12"/>
      <c r="M7" s="12"/>
      <c r="P7" s="219">
        <f>SUM(P9:P65)/2</f>
        <v>9024204.5077772848</v>
      </c>
    </row>
    <row r="8" spans="1:19" s="30" customFormat="1" ht="38.25" x14ac:dyDescent="0.2">
      <c r="A8" s="27" t="s">
        <v>149</v>
      </c>
      <c r="B8" s="27" t="s">
        <v>150</v>
      </c>
      <c r="C8" s="28" t="s">
        <v>1</v>
      </c>
      <c r="D8" s="28" t="s">
        <v>151</v>
      </c>
      <c r="E8" s="28" t="s">
        <v>152</v>
      </c>
      <c r="F8" s="28" t="s">
        <v>153</v>
      </c>
      <c r="G8" s="28" t="s">
        <v>154</v>
      </c>
      <c r="H8" s="28" t="s">
        <v>155</v>
      </c>
      <c r="I8" s="28" t="s">
        <v>156</v>
      </c>
      <c r="J8" s="28" t="s">
        <v>157</v>
      </c>
      <c r="K8" s="29" t="s">
        <v>158</v>
      </c>
      <c r="L8" s="29" t="s">
        <v>159</v>
      </c>
      <c r="M8" s="29" t="s">
        <v>160</v>
      </c>
      <c r="P8" s="31"/>
      <c r="S8" s="32"/>
    </row>
    <row r="9" spans="1:19" s="41" customFormat="1" ht="12.75" x14ac:dyDescent="0.2">
      <c r="A9" s="33" t="s">
        <v>161</v>
      </c>
      <c r="B9" s="33" t="s">
        <v>41</v>
      </c>
      <c r="C9" s="33" t="s">
        <v>42</v>
      </c>
      <c r="D9" s="34">
        <v>8.0770000000000008E-3</v>
      </c>
      <c r="E9" s="35">
        <f>'Aug 5'!$D9*$C$6*$C$2</f>
        <v>719882.74428199499</v>
      </c>
      <c r="F9" s="35">
        <v>449</v>
      </c>
      <c r="G9" s="36">
        <f>'Aug 5'!$E9/'Aug 5'!$F9</f>
        <v>1603.302325795089</v>
      </c>
      <c r="H9" s="33">
        <v>1358</v>
      </c>
      <c r="I9" s="33">
        <v>1603</v>
      </c>
      <c r="J9" s="37">
        <f t="shared" ref="J9:J21" si="0">I9-H9</f>
        <v>245</v>
      </c>
      <c r="K9" s="38">
        <f>'Aug 5'!$F9*'Aug 5'!$I9</f>
        <v>719747</v>
      </c>
      <c r="L9" s="39">
        <f>'Aug 5'!$K9/$K$2</f>
        <v>8.025329795600486E-3</v>
      </c>
      <c r="M9" s="40"/>
      <c r="O9" s="2">
        <f>Table1389584[[#This Row],[Change]]*Table1389584[[#This Row],[Last price]]</f>
        <v>110005</v>
      </c>
      <c r="P9" s="42">
        <f>ABS(O9)</f>
        <v>110005</v>
      </c>
    </row>
    <row r="10" spans="1:19" s="41" customFormat="1" ht="25.5" customHeight="1" x14ac:dyDescent="0.2">
      <c r="A10" s="33" t="s">
        <v>161</v>
      </c>
      <c r="B10" s="33" t="s">
        <v>47</v>
      </c>
      <c r="C10" s="33" t="s">
        <v>48</v>
      </c>
      <c r="D10" s="34">
        <v>8.0770000000000008E-3</v>
      </c>
      <c r="E10" s="35">
        <f>'Aug 5'!$D10*$C$6*$C$2</f>
        <v>719882.74428199499</v>
      </c>
      <c r="F10" s="35">
        <v>658</v>
      </c>
      <c r="G10" s="36">
        <f>'Aug 5'!$E10/'Aug 5'!$F10</f>
        <v>1094.0467238328192</v>
      </c>
      <c r="H10" s="33">
        <v>913</v>
      </c>
      <c r="I10" s="33">
        <v>1094</v>
      </c>
      <c r="J10" s="37">
        <f t="shared" si="0"/>
        <v>181</v>
      </c>
      <c r="K10" s="38">
        <f>'Aug 5'!$F10*'Aug 5'!$I10</f>
        <v>719852</v>
      </c>
      <c r="L10" s="39">
        <f>'Aug 5'!$K10/$K$2</f>
        <v>8.026500567591948E-3</v>
      </c>
      <c r="M10" s="40"/>
      <c r="O10" s="2">
        <f>Table1389584[[#This Row],[Change]]*Table1389584[[#This Row],[Last price]]</f>
        <v>119098</v>
      </c>
      <c r="P10" s="42">
        <f t="shared" ref="P10:P65" si="1">ABS(O10)</f>
        <v>119098</v>
      </c>
    </row>
    <row r="11" spans="1:19" s="41" customFormat="1" ht="12.75" customHeight="1" x14ac:dyDescent="0.2">
      <c r="A11" s="33" t="s">
        <v>161</v>
      </c>
      <c r="B11" s="33" t="s">
        <v>50</v>
      </c>
      <c r="C11" s="33" t="s">
        <v>51</v>
      </c>
      <c r="D11" s="34">
        <v>8.0770000000000008E-3</v>
      </c>
      <c r="E11" s="35">
        <f>'Aug 5'!$D11*$C$6*$C$2</f>
        <v>719882.74428199499</v>
      </c>
      <c r="F11" s="35">
        <v>1492</v>
      </c>
      <c r="G11" s="36">
        <f>'Aug 5'!$E11/'Aug 5'!$F11</f>
        <v>482.49513691822722</v>
      </c>
      <c r="H11" s="33">
        <v>404</v>
      </c>
      <c r="I11" s="33">
        <v>483</v>
      </c>
      <c r="J11" s="37">
        <f t="shared" si="0"/>
        <v>79</v>
      </c>
      <c r="K11" s="38">
        <f>'Aug 5'!$F11*'Aug 5'!$I11</f>
        <v>720636</v>
      </c>
      <c r="L11" s="39">
        <f>'Aug 5'!$K11/$K$2</f>
        <v>8.0352423317948552E-3</v>
      </c>
      <c r="M11" s="40"/>
      <c r="O11" s="2">
        <f>Table1389584[[#This Row],[Change]]*Table1389584[[#This Row],[Last price]]</f>
        <v>117868</v>
      </c>
      <c r="P11" s="42">
        <f t="shared" si="1"/>
        <v>117868</v>
      </c>
    </row>
    <row r="12" spans="1:19" s="41" customFormat="1" ht="12.75" customHeight="1" x14ac:dyDescent="0.2">
      <c r="A12" s="33" t="s">
        <v>161</v>
      </c>
      <c r="B12" s="33" t="s">
        <v>61</v>
      </c>
      <c r="C12" s="33" t="s">
        <v>62</v>
      </c>
      <c r="D12" s="34">
        <v>8.0770000000000008E-3</v>
      </c>
      <c r="E12" s="35">
        <f>'Aug 5'!$D12*$C$6*$C$2</f>
        <v>719882.74428199499</v>
      </c>
      <c r="F12" s="35">
        <v>438.64985163204801</v>
      </c>
      <c r="G12" s="36">
        <f>'Aug 5'!$E12/'Aug 5'!$F12</f>
        <v>1641.132993898407</v>
      </c>
      <c r="H12" s="33">
        <v>1348</v>
      </c>
      <c r="I12" s="33">
        <v>1641</v>
      </c>
      <c r="J12" s="37">
        <f t="shared" si="0"/>
        <v>293</v>
      </c>
      <c r="K12" s="38">
        <f>'Aug 5'!$F12*'Aug 5'!$I12</f>
        <v>719824.40652819083</v>
      </c>
      <c r="L12" s="39">
        <f>'Aug 5'!$K12/$K$2</f>
        <v>8.0261928946020293E-3</v>
      </c>
      <c r="M12" s="40"/>
      <c r="O12" s="2">
        <f>Table1389584[[#This Row],[Change]]*Table1389584[[#This Row],[Last price]]</f>
        <v>128524.40652819007</v>
      </c>
      <c r="P12" s="42">
        <f t="shared" si="1"/>
        <v>128524.40652819007</v>
      </c>
    </row>
    <row r="13" spans="1:19" s="41" customFormat="1" ht="12.75" customHeight="1" x14ac:dyDescent="0.2">
      <c r="A13" s="33" t="s">
        <v>161</v>
      </c>
      <c r="B13" s="33" t="s">
        <v>164</v>
      </c>
      <c r="C13" s="33" t="s">
        <v>165</v>
      </c>
      <c r="D13" s="34">
        <v>8.0770000000000008E-3</v>
      </c>
      <c r="E13" s="35">
        <f>'Aug 5'!$D13*$C$6*$C$2</f>
        <v>719882.74428199499</v>
      </c>
      <c r="F13" s="35">
        <v>441.89031770045398</v>
      </c>
      <c r="G13" s="36">
        <f>'Aug 5'!$E13/'Aug 5'!$F13</f>
        <v>1629.0982523178634</v>
      </c>
      <c r="H13" s="33">
        <v>1322</v>
      </c>
      <c r="I13" s="33">
        <v>1629</v>
      </c>
      <c r="J13" s="37">
        <f t="shared" si="0"/>
        <v>307</v>
      </c>
      <c r="K13" s="38">
        <f>'Aug 5'!$F13*'Aug 5'!$I13</f>
        <v>719839.3275340395</v>
      </c>
      <c r="L13" s="39">
        <f>'Aug 5'!$K13/$K$2</f>
        <v>8.0263592669423348E-3</v>
      </c>
      <c r="M13" s="40"/>
      <c r="O13" s="2">
        <f>Table1389584[[#This Row],[Change]]*Table1389584[[#This Row],[Last price]]</f>
        <v>135660.32753403936</v>
      </c>
      <c r="P13" s="42">
        <f t="shared" si="1"/>
        <v>135660.32753403936</v>
      </c>
    </row>
    <row r="14" spans="1:19" s="41" customFormat="1" ht="12.75" customHeight="1" x14ac:dyDescent="0.2">
      <c r="A14" s="33" t="s">
        <v>161</v>
      </c>
      <c r="B14" s="33" t="s">
        <v>53</v>
      </c>
      <c r="C14" s="33" t="s">
        <v>54</v>
      </c>
      <c r="D14" s="34">
        <v>8.0770000000000008E-3</v>
      </c>
      <c r="E14" s="35">
        <f>'Aug 5'!$D14*$C$6*$C$2</f>
        <v>719882.74428199499</v>
      </c>
      <c r="F14" s="35">
        <v>274.44009546539399</v>
      </c>
      <c r="G14" s="36">
        <f>'Aug 5'!$E14/'Aug 5'!$F14</f>
        <v>2623.0961006671487</v>
      </c>
      <c r="H14" s="33">
        <v>2095</v>
      </c>
      <c r="I14" s="33">
        <v>2623</v>
      </c>
      <c r="J14" s="37">
        <f t="shared" si="0"/>
        <v>528</v>
      </c>
      <c r="K14" s="38">
        <f>'Aug 5'!$F14*'Aug 5'!$I14</f>
        <v>719856.37040572846</v>
      </c>
      <c r="L14" s="39">
        <f>'Aug 5'!$K14/$K$2</f>
        <v>8.0265492985311677E-3</v>
      </c>
      <c r="M14" s="40"/>
      <c r="O14" s="2">
        <f>Table1389584[[#This Row],[Change]]*Table1389584[[#This Row],[Last price]]</f>
        <v>144904.37040572803</v>
      </c>
      <c r="P14" s="42">
        <f t="shared" si="1"/>
        <v>144904.37040572803</v>
      </c>
    </row>
    <row r="15" spans="1:19" s="41" customFormat="1" ht="12.75" customHeight="1" x14ac:dyDescent="0.2">
      <c r="A15" s="33" t="s">
        <v>161</v>
      </c>
      <c r="B15" s="33" t="s">
        <v>35</v>
      </c>
      <c r="C15" s="33" t="s">
        <v>36</v>
      </c>
      <c r="D15" s="34">
        <v>8.0770000000000008E-3</v>
      </c>
      <c r="E15" s="35">
        <f>'Aug 5'!$D15*$C$6*$C$2</f>
        <v>719882.74428199499</v>
      </c>
      <c r="F15" s="35">
        <v>64.570036540803898</v>
      </c>
      <c r="G15" s="36">
        <f>'Aug 5'!$E15/'Aug 5'!$F15</f>
        <v>11148.86691797174</v>
      </c>
      <c r="H15" s="33">
        <v>9031</v>
      </c>
      <c r="I15" s="33">
        <v>11149</v>
      </c>
      <c r="J15" s="37">
        <f t="shared" si="0"/>
        <v>2118</v>
      </c>
      <c r="K15" s="38">
        <f>'Aug 5'!$F15*'Aug 5'!$I15</f>
        <v>719891.33739342261</v>
      </c>
      <c r="L15" s="39">
        <f>'Aug 5'!$K15/$K$2</f>
        <v>8.026939187767531E-3</v>
      </c>
      <c r="M15" s="40"/>
      <c r="O15" s="2">
        <f>Table1389584[[#This Row],[Change]]*Table1389584[[#This Row],[Last price]]</f>
        <v>136759.33739342267</v>
      </c>
      <c r="P15" s="42">
        <f t="shared" si="1"/>
        <v>136759.33739342267</v>
      </c>
    </row>
    <row r="16" spans="1:19" s="44" customFormat="1" ht="12.75" customHeight="1" x14ac:dyDescent="0.2">
      <c r="A16" s="33" t="s">
        <v>161</v>
      </c>
      <c r="B16" s="43" t="s">
        <v>17</v>
      </c>
      <c r="C16" s="33" t="s">
        <v>170</v>
      </c>
      <c r="D16" s="34">
        <v>8.0770000000000008E-3</v>
      </c>
      <c r="E16" s="35">
        <f>'Aug 5'!$D16*$C$6*$C$2</f>
        <v>719882.74428199499</v>
      </c>
      <c r="F16" s="35">
        <v>85.089990569850499</v>
      </c>
      <c r="G16" s="36">
        <f>'Aug 5'!$E16/'Aug 5'!$F16</f>
        <v>8460.2517812132337</v>
      </c>
      <c r="H16" s="33">
        <v>7423</v>
      </c>
      <c r="I16" s="33">
        <v>8460</v>
      </c>
      <c r="J16" s="37">
        <f t="shared" si="0"/>
        <v>1037</v>
      </c>
      <c r="K16" s="38">
        <f>'Aug 5'!$F16*'Aug 5'!$I16</f>
        <v>719861.32022093527</v>
      </c>
      <c r="L16" s="39">
        <f>'Aug 5'!$K16/$K$2</f>
        <v>8.0266044900074249E-3</v>
      </c>
      <c r="M16" s="33"/>
      <c r="O16" s="2">
        <f>Table1389584[[#This Row],[Change]]*Table1389584[[#This Row],[Last price]]</f>
        <v>88238.320220934969</v>
      </c>
      <c r="P16" s="42">
        <f t="shared" si="1"/>
        <v>88238.320220934969</v>
      </c>
    </row>
    <row r="17" spans="1:17" s="44" customFormat="1" ht="12.75" customHeight="1" x14ac:dyDescent="0.2">
      <c r="A17" s="33" t="s">
        <v>161</v>
      </c>
      <c r="B17" s="43" t="s">
        <v>172</v>
      </c>
      <c r="C17" s="33" t="s">
        <v>173</v>
      </c>
      <c r="D17" s="34">
        <v>8.0770000000000008E-3</v>
      </c>
      <c r="E17" s="35">
        <f>'Aug 5'!$D17*$C$6*$C$2</f>
        <v>719882.74428199499</v>
      </c>
      <c r="F17" s="35">
        <v>22.582014925373102</v>
      </c>
      <c r="G17" s="36">
        <f>'Aug 5'!$E17/'Aug 5'!$F17</f>
        <v>31878.587746088873</v>
      </c>
      <c r="H17" s="33">
        <v>26800</v>
      </c>
      <c r="I17" s="33">
        <v>31879</v>
      </c>
      <c r="J17" s="37">
        <f t="shared" si="0"/>
        <v>5079</v>
      </c>
      <c r="K17" s="38">
        <f>'Aug 5'!$F17*'Aug 5'!$I17</f>
        <v>719892.05380596907</v>
      </c>
      <c r="L17" s="39">
        <f>'Aug 5'!$K17/$K$2</f>
        <v>8.0269471759174711E-3</v>
      </c>
      <c r="M17" s="33"/>
      <c r="O17" s="2">
        <f>Table1389584[[#This Row],[Change]]*Table1389584[[#This Row],[Last price]]</f>
        <v>114694.05380596999</v>
      </c>
      <c r="P17" s="42">
        <f t="shared" si="1"/>
        <v>114694.05380596999</v>
      </c>
    </row>
    <row r="18" spans="1:17" s="44" customFormat="1" ht="12.75" customHeight="1" x14ac:dyDescent="0.2">
      <c r="A18" s="33" t="s">
        <v>161</v>
      </c>
      <c r="B18" s="43" t="s">
        <v>44</v>
      </c>
      <c r="C18" s="33" t="s">
        <v>45</v>
      </c>
      <c r="D18" s="34">
        <v>8.0770000000000008E-3</v>
      </c>
      <c r="E18" s="35">
        <f>'Aug 5'!$D18*$C$6*$C$2</f>
        <v>719882.74428199499</v>
      </c>
      <c r="F18" s="35">
        <v>198.90010228435099</v>
      </c>
      <c r="G18" s="36">
        <f>'Aug 5'!$E18/'Aug 5'!$F18</f>
        <v>3619.3181200723479</v>
      </c>
      <c r="H18" s="33">
        <v>2933</v>
      </c>
      <c r="I18" s="33">
        <v>3619</v>
      </c>
      <c r="J18" s="37">
        <f t="shared" si="0"/>
        <v>686</v>
      </c>
      <c r="K18" s="38">
        <f>'Aug 5'!$F18*'Aug 5'!$I18</f>
        <v>719819.4701670662</v>
      </c>
      <c r="L18" s="39">
        <f>'Aug 5'!$K18/$K$2</f>
        <v>8.0261378531416069E-3</v>
      </c>
      <c r="M18" s="33"/>
      <c r="O18" s="2">
        <f>Table1389584[[#This Row],[Change]]*Table1389584[[#This Row],[Last price]]</f>
        <v>136445.47016706478</v>
      </c>
      <c r="P18" s="42">
        <f t="shared" si="1"/>
        <v>136445.47016706478</v>
      </c>
    </row>
    <row r="19" spans="1:17" s="44" customFormat="1" ht="12.75" customHeight="1" x14ac:dyDescent="0.2">
      <c r="A19" s="33" t="s">
        <v>161</v>
      </c>
      <c r="B19" s="43" t="s">
        <v>56</v>
      </c>
      <c r="C19" s="33" t="s">
        <v>174</v>
      </c>
      <c r="D19" s="34">
        <v>8.0770000000000008E-3</v>
      </c>
      <c r="E19" s="35">
        <f>'Aug 5'!$D19*$C$6*$C$2</f>
        <v>719882.74428199499</v>
      </c>
      <c r="F19" s="35">
        <v>266.50022036139302</v>
      </c>
      <c r="G19" s="36">
        <f>'Aug 5'!$E19/'Aug 5'!$F19</f>
        <v>2701.2463378296025</v>
      </c>
      <c r="H19" s="33">
        <v>2269</v>
      </c>
      <c r="I19" s="33">
        <v>2701</v>
      </c>
      <c r="J19" s="37">
        <f t="shared" si="0"/>
        <v>432</v>
      </c>
      <c r="K19" s="38">
        <f>'Aug 5'!$F19*'Aug 5'!$I19</f>
        <v>719817.09519612254</v>
      </c>
      <c r="L19" s="39">
        <f>'Aug 5'!$K19/$K$2</f>
        <v>8.0261113717181639E-3</v>
      </c>
      <c r="M19" s="33"/>
      <c r="O19" s="2">
        <f>Table1389584[[#This Row],[Change]]*Table1389584[[#This Row],[Last price]]</f>
        <v>115128.09519612178</v>
      </c>
      <c r="P19" s="42">
        <f t="shared" si="1"/>
        <v>115128.09519612178</v>
      </c>
    </row>
    <row r="20" spans="1:17" s="44" customFormat="1" ht="12.75" customHeight="1" x14ac:dyDescent="0.2">
      <c r="A20" s="33" t="s">
        <v>161</v>
      </c>
      <c r="B20" s="43" t="s">
        <v>175</v>
      </c>
      <c r="C20" s="33" t="s">
        <v>176</v>
      </c>
      <c r="D20" s="34">
        <v>8.0770000000000008E-3</v>
      </c>
      <c r="E20" s="35">
        <f>'Aug 5'!$D20*$C$6*$C$2</f>
        <v>719882.74428199499</v>
      </c>
      <c r="F20" s="35">
        <v>1170.69921875</v>
      </c>
      <c r="G20" s="36">
        <f>'Aug 5'!$E20/'Aug 5'!$F20</f>
        <v>614.91690841874924</v>
      </c>
      <c r="H20" s="33">
        <v>512</v>
      </c>
      <c r="I20" s="33">
        <v>615</v>
      </c>
      <c r="J20" s="37">
        <f t="shared" si="0"/>
        <v>103</v>
      </c>
      <c r="K20" s="38">
        <f>'Aug 5'!$F20*'Aug 5'!$I20</f>
        <v>719980.01953125</v>
      </c>
      <c r="L20" s="39">
        <f>'Aug 5'!$K20/$K$2</f>
        <v>8.0279280121781128E-3</v>
      </c>
      <c r="M20" s="33"/>
      <c r="O20" s="2">
        <f>Table1389584[[#This Row],[Change]]*Table1389584[[#This Row],[Last price]]</f>
        <v>120582.01953125</v>
      </c>
      <c r="P20" s="42">
        <f t="shared" si="1"/>
        <v>120582.01953125</v>
      </c>
    </row>
    <row r="21" spans="1:17" s="44" customFormat="1" ht="12.75" customHeight="1" x14ac:dyDescent="0.2">
      <c r="A21" s="33" t="s">
        <v>161</v>
      </c>
      <c r="B21" s="43" t="s">
        <v>20</v>
      </c>
      <c r="C21" s="33" t="s">
        <v>21</v>
      </c>
      <c r="D21" s="34">
        <v>8.0770000000000008E-3</v>
      </c>
      <c r="E21" s="35">
        <f>'Aug 5'!$D21*$C$6*$C$2</f>
        <v>719882.74428199499</v>
      </c>
      <c r="F21" s="35">
        <v>3133.70165745856</v>
      </c>
      <c r="G21" s="36">
        <f>'Aug 5'!$E21/'Aug 5'!$F21</f>
        <v>229.72280803074972</v>
      </c>
      <c r="H21" s="33">
        <v>181</v>
      </c>
      <c r="I21" s="33">
        <v>230</v>
      </c>
      <c r="J21" s="37">
        <f t="shared" si="0"/>
        <v>49</v>
      </c>
      <c r="K21" s="38">
        <f>'Aug 5'!$F21*'Aug 5'!$I21</f>
        <v>720751.38121546875</v>
      </c>
      <c r="L21" s="39">
        <f>'Aug 5'!$K21/$K$2</f>
        <v>8.0365288565130612E-3</v>
      </c>
      <c r="M21" s="33"/>
      <c r="O21" s="2">
        <f>Table1389584[[#This Row],[Change]]*Table1389584[[#This Row],[Last price]]</f>
        <v>153551.38121546945</v>
      </c>
      <c r="P21" s="42">
        <f t="shared" si="1"/>
        <v>153551.38121546945</v>
      </c>
    </row>
    <row r="22" spans="1:17" s="44" customFormat="1" ht="12.75" customHeight="1" x14ac:dyDescent="0.2">
      <c r="A22" s="33"/>
      <c r="B22" s="33"/>
      <c r="C22" s="33"/>
      <c r="D22" s="34"/>
      <c r="E22" s="35"/>
      <c r="F22" s="35"/>
      <c r="G22" s="36"/>
      <c r="H22" s="33"/>
      <c r="I22" s="33"/>
      <c r="J22" s="45"/>
      <c r="K22" s="35"/>
      <c r="L22" s="46"/>
      <c r="M22" s="33"/>
      <c r="O22" s="2">
        <f>Table1389584[[#This Row],[Change]]*Table1389584[[#This Row],[Last price]]</f>
        <v>0</v>
      </c>
      <c r="P22" s="42">
        <f t="shared" si="1"/>
        <v>0</v>
      </c>
    </row>
    <row r="23" spans="1:17" s="54" customFormat="1" ht="12.75" customHeight="1" x14ac:dyDescent="0.2">
      <c r="A23" s="47" t="s">
        <v>177</v>
      </c>
      <c r="B23" s="47"/>
      <c r="C23" s="47"/>
      <c r="D23" s="48">
        <f>SUBTOTAL(9,D9:D22)</f>
        <v>0.10500100000000001</v>
      </c>
      <c r="E23" s="49">
        <f>'Aug 5'!$D23*$C$6*$C$2</f>
        <v>9358475.6756659355</v>
      </c>
      <c r="F23" s="50"/>
      <c r="G23" s="51"/>
      <c r="H23" s="47"/>
      <c r="I23" s="47"/>
      <c r="J23" s="52"/>
      <c r="K23" s="49">
        <f>SUM(K9:K21)</f>
        <v>9359767.781998191</v>
      </c>
      <c r="L23" s="53">
        <f>'Aug 5'!$K23/$K$2</f>
        <v>0.10436337110230617</v>
      </c>
      <c r="M23" s="47"/>
      <c r="O23" s="2">
        <f>Table1389584[[#This Row],[Change]]*Table1389584[[#This Row],[Last price]]</f>
        <v>0</v>
      </c>
      <c r="P23" s="42">
        <f t="shared" si="1"/>
        <v>0</v>
      </c>
    </row>
    <row r="24" spans="1:17" s="44" customFormat="1" ht="12.75" customHeight="1" x14ac:dyDescent="0.2">
      <c r="A24" s="33"/>
      <c r="B24" s="33"/>
      <c r="C24" s="33"/>
      <c r="D24" s="34"/>
      <c r="E24" s="35"/>
      <c r="F24" s="35"/>
      <c r="G24" s="36"/>
      <c r="H24" s="33"/>
      <c r="I24" s="33"/>
      <c r="J24" s="45"/>
      <c r="K24" s="35"/>
      <c r="L24" s="39"/>
      <c r="M24" s="33"/>
      <c r="O24" s="2">
        <f>Table1389584[[#This Row],[Change]]*Table1389584[[#This Row],[Last price]]</f>
        <v>0</v>
      </c>
      <c r="P24" s="42">
        <f t="shared" si="1"/>
        <v>0</v>
      </c>
    </row>
    <row r="25" spans="1:17" s="41" customFormat="1" ht="12.75" customHeight="1" x14ac:dyDescent="0.2">
      <c r="A25" s="55"/>
      <c r="B25" s="47" t="s">
        <v>32</v>
      </c>
      <c r="C25" s="55" t="s">
        <v>33</v>
      </c>
      <c r="D25" s="56">
        <v>0.03</v>
      </c>
      <c r="E25" s="57">
        <f>'Aug 5'!$D25*$C$6*$C$2</f>
        <v>2673824.7280499996</v>
      </c>
      <c r="F25" s="57">
        <v>19.3800003521375</v>
      </c>
      <c r="G25" s="58">
        <f>'Aug 5'!$E25/'Aug 5'!$F25</f>
        <v>137968.24971445845</v>
      </c>
      <c r="H25" s="55">
        <v>113592</v>
      </c>
      <c r="I25" s="55">
        <v>137968</v>
      </c>
      <c r="J25" s="59">
        <f>I25-H25</f>
        <v>24376</v>
      </c>
      <c r="K25" s="50">
        <f>'Aug 5'!$F25*'Aug 5'!$I25</f>
        <v>2673819.8885837067</v>
      </c>
      <c r="L25" s="53">
        <f>'Aug 5'!$K25/$K$2</f>
        <v>2.981365176919111E-2</v>
      </c>
      <c r="M25" s="47"/>
      <c r="O25" s="2">
        <f>Table1389584[[#This Row],[Change]]*Table1389584[[#This Row],[Last price]]</f>
        <v>472406.88858370372</v>
      </c>
      <c r="P25" s="42">
        <f t="shared" si="1"/>
        <v>472406.88858370372</v>
      </c>
      <c r="Q25" s="42"/>
    </row>
    <row r="26" spans="1:17" s="41" customFormat="1" ht="12.75" customHeight="1" x14ac:dyDescent="0.2">
      <c r="A26" s="33"/>
      <c r="B26" s="33"/>
      <c r="C26" s="33"/>
      <c r="D26" s="34"/>
      <c r="E26" s="35"/>
      <c r="F26" s="35"/>
      <c r="G26" s="36"/>
      <c r="H26" s="33"/>
      <c r="I26" s="33"/>
      <c r="J26" s="45"/>
      <c r="K26" s="38"/>
      <c r="L26" s="39"/>
      <c r="M26" s="33"/>
      <c r="O26" s="2">
        <f>Table1389584[[#This Row],[Change]]*Table1389584[[#This Row],[Last price]]</f>
        <v>0</v>
      </c>
      <c r="P26" s="42">
        <f t="shared" si="1"/>
        <v>0</v>
      </c>
      <c r="Q26" s="42"/>
    </row>
    <row r="27" spans="1:17" ht="26.25" x14ac:dyDescent="0.25">
      <c r="A27" s="33" t="s">
        <v>178</v>
      </c>
      <c r="B27" s="60" t="s">
        <v>179</v>
      </c>
      <c r="C27" s="60" t="s">
        <v>106</v>
      </c>
      <c r="D27" s="34">
        <v>3.8889E-2</v>
      </c>
      <c r="E27" s="35">
        <f>'Aug 5'!$D27*$C$6*$C$2</f>
        <v>3466078.9949712148</v>
      </c>
      <c r="F27" s="35">
        <v>159462.58823529401</v>
      </c>
      <c r="G27" s="61">
        <f>'Aug 5'!$E27/'Aug 5'!$F27</f>
        <v>21.736001110535494</v>
      </c>
      <c r="H27" s="33">
        <v>17</v>
      </c>
      <c r="I27" s="33">
        <v>22</v>
      </c>
      <c r="J27" s="37">
        <f t="shared" ref="J27:J33" si="2">I27-H27</f>
        <v>5</v>
      </c>
      <c r="K27" s="38">
        <f>'Aug 5'!$F27*'Aug 5'!$I27</f>
        <v>3508176.941176468</v>
      </c>
      <c r="L27" s="39">
        <f>'Aug 5'!$K27/$K$2</f>
        <v>3.9116907655415145E-2</v>
      </c>
      <c r="M27" s="62"/>
      <c r="O27" s="2">
        <f>Table1389584[[#This Row],[Change]]*Table1389584[[#This Row],[Last price]]</f>
        <v>797312.94117647002</v>
      </c>
      <c r="P27" s="42">
        <f t="shared" si="1"/>
        <v>797312.94117647002</v>
      </c>
    </row>
    <row r="28" spans="1:17" ht="26.25" x14ac:dyDescent="0.25">
      <c r="A28" s="33" t="s">
        <v>178</v>
      </c>
      <c r="B28" s="60" t="s">
        <v>180</v>
      </c>
      <c r="C28" s="60" t="s">
        <v>110</v>
      </c>
      <c r="D28" s="34">
        <v>3.8889E-2</v>
      </c>
      <c r="E28" s="35">
        <f>'Aug 5'!$D28*$C$6*$C$2</f>
        <v>3466078.9949712148</v>
      </c>
      <c r="F28" s="35">
        <v>227573.83333333299</v>
      </c>
      <c r="G28" s="61">
        <f>'Aug 5'!$E28/'Aug 5'!$F28</f>
        <v>15.230569104552384</v>
      </c>
      <c r="H28" s="33">
        <v>12</v>
      </c>
      <c r="I28" s="33">
        <v>15</v>
      </c>
      <c r="J28" s="37">
        <f t="shared" si="2"/>
        <v>3</v>
      </c>
      <c r="K28" s="38">
        <f>'Aug 5'!$F28*'Aug 5'!$I28</f>
        <v>3413607.4999999949</v>
      </c>
      <c r="L28" s="39">
        <f>'Aug 5'!$K28/$K$2</f>
        <v>3.8062438579438675E-2</v>
      </c>
      <c r="M28" s="62"/>
      <c r="O28" s="2">
        <f>Table1389584[[#This Row],[Change]]*Table1389584[[#This Row],[Last price]]</f>
        <v>682721.49999999895</v>
      </c>
      <c r="P28" s="42">
        <f t="shared" si="1"/>
        <v>682721.49999999895</v>
      </c>
    </row>
    <row r="29" spans="1:17" ht="26.25" x14ac:dyDescent="0.25">
      <c r="A29" s="33" t="s">
        <v>178</v>
      </c>
      <c r="B29" s="60" t="s">
        <v>181</v>
      </c>
      <c r="C29" s="60" t="s">
        <v>113</v>
      </c>
      <c r="D29" s="34">
        <v>3.8889E-2</v>
      </c>
      <c r="E29" s="35">
        <f>'Aug 5'!$D29*$C$6*$C$2</f>
        <v>3466078.9949712148</v>
      </c>
      <c r="F29" s="35">
        <v>182549.066666667</v>
      </c>
      <c r="G29" s="61">
        <f>'Aug 5'!$E29/'Aug 5'!$F29</f>
        <v>18.987108826473733</v>
      </c>
      <c r="H29" s="33">
        <v>15</v>
      </c>
      <c r="I29" s="33">
        <v>19</v>
      </c>
      <c r="J29" s="37">
        <f t="shared" si="2"/>
        <v>4</v>
      </c>
      <c r="K29" s="38">
        <f>'Aug 5'!$F29*'Aug 5'!$I29</f>
        <v>3468432.2666666731</v>
      </c>
      <c r="L29" s="39">
        <f>'Aug 5'!$K29/$K$2</f>
        <v>3.867374621040752E-2</v>
      </c>
      <c r="M29" s="62"/>
      <c r="O29" s="2">
        <f>Table1389584[[#This Row],[Change]]*Table1389584[[#This Row],[Last price]]</f>
        <v>730196.266666668</v>
      </c>
      <c r="P29" s="42">
        <f t="shared" si="1"/>
        <v>730196.266666668</v>
      </c>
    </row>
    <row r="30" spans="1:17" ht="26.25" x14ac:dyDescent="0.25">
      <c r="A30" s="33" t="s">
        <v>178</v>
      </c>
      <c r="B30" s="60" t="s">
        <v>182</v>
      </c>
      <c r="C30" s="60" t="s">
        <v>116</v>
      </c>
      <c r="D30" s="34">
        <v>3.8889E-2</v>
      </c>
      <c r="E30" s="35">
        <f>'Aug 5'!$D30*$C$6*$C$2</f>
        <v>3466078.9949712148</v>
      </c>
      <c r="F30" s="35">
        <v>126210.136363636</v>
      </c>
      <c r="G30" s="61">
        <f>'Aug 5'!$E30/'Aug 5'!$F30</f>
        <v>27.462762459781882</v>
      </c>
      <c r="H30" s="33">
        <v>22</v>
      </c>
      <c r="I30" s="33">
        <v>27</v>
      </c>
      <c r="J30" s="37">
        <f t="shared" si="2"/>
        <v>5</v>
      </c>
      <c r="K30" s="38">
        <f>'Aug 5'!$F30*'Aug 5'!$I30</f>
        <v>3407673.6818181723</v>
      </c>
      <c r="L30" s="39">
        <f>'Aug 5'!$K30/$K$2</f>
        <v>3.7996275263917724E-2</v>
      </c>
      <c r="M30" s="62"/>
      <c r="O30" s="2">
        <f>Table1389584[[#This Row],[Change]]*Table1389584[[#This Row],[Last price]]</f>
        <v>631050.68181818002</v>
      </c>
      <c r="P30" s="42">
        <f t="shared" si="1"/>
        <v>631050.68181818002</v>
      </c>
    </row>
    <row r="31" spans="1:17" ht="26.25" x14ac:dyDescent="0.25">
      <c r="A31" s="33" t="s">
        <v>178</v>
      </c>
      <c r="B31" s="60" t="s">
        <v>183</v>
      </c>
      <c r="C31" s="60" t="s">
        <v>119</v>
      </c>
      <c r="D31" s="34">
        <v>3.8889E-2</v>
      </c>
      <c r="E31" s="35">
        <f>'Aug 5'!$D31*$C$6*$C$2</f>
        <v>3466078.9949712148</v>
      </c>
      <c r="F31" s="35">
        <v>140281.25</v>
      </c>
      <c r="G31" s="61">
        <f>'Aug 5'!$E31/'Aug 5'!$F31</f>
        <v>24.708070358449291</v>
      </c>
      <c r="H31" s="33">
        <v>20</v>
      </c>
      <c r="I31" s="33">
        <v>25</v>
      </c>
      <c r="J31" s="37">
        <f t="shared" si="2"/>
        <v>5</v>
      </c>
      <c r="K31" s="38">
        <f>'Aug 5'!$F31*'Aug 5'!$I31</f>
        <v>3507031.25</v>
      </c>
      <c r="L31" s="39">
        <f>'Aug 5'!$K31/$K$2</f>
        <v>3.9104132958841117E-2</v>
      </c>
      <c r="M31" s="62"/>
      <c r="O31" s="2">
        <f>Table1389584[[#This Row],[Change]]*Table1389584[[#This Row],[Last price]]</f>
        <v>701406.25</v>
      </c>
      <c r="P31" s="42">
        <f t="shared" si="1"/>
        <v>701406.25</v>
      </c>
    </row>
    <row r="32" spans="1:17" ht="26.25" x14ac:dyDescent="0.25">
      <c r="A32" s="33" t="s">
        <v>178</v>
      </c>
      <c r="B32" s="60" t="s">
        <v>184</v>
      </c>
      <c r="C32" s="60" t="s">
        <v>122</v>
      </c>
      <c r="D32" s="34">
        <v>0.125</v>
      </c>
      <c r="E32" s="35">
        <f>'Aug 5'!$D32*$C$6*$C$2</f>
        <v>11140936.366874998</v>
      </c>
      <c r="F32" s="35">
        <v>416338.28571428597</v>
      </c>
      <c r="G32" s="61">
        <f>'Aug 5'!$E32/'Aug 5'!$F32</f>
        <v>26.759336696026356</v>
      </c>
      <c r="H32" s="33">
        <v>21</v>
      </c>
      <c r="I32" s="33">
        <v>27</v>
      </c>
      <c r="J32" s="37">
        <f t="shared" si="2"/>
        <v>6</v>
      </c>
      <c r="K32" s="38">
        <f>'Aug 5'!$F32*'Aug 5'!$I32</f>
        <v>11241133.714285722</v>
      </c>
      <c r="L32" s="39">
        <f>'Aug 5'!$K32/$K$2</f>
        <v>0.12534099528526882</v>
      </c>
      <c r="M32" s="62"/>
      <c r="O32" s="2">
        <f>Table1389584[[#This Row],[Change]]*Table1389584[[#This Row],[Last price]]</f>
        <v>2498029.7142857159</v>
      </c>
      <c r="P32" s="42">
        <f t="shared" si="1"/>
        <v>2498029.7142857159</v>
      </c>
    </row>
    <row r="33" spans="1:17" ht="26.25" x14ac:dyDescent="0.25">
      <c r="A33" s="33" t="s">
        <v>178</v>
      </c>
      <c r="B33" s="60" t="s">
        <v>185</v>
      </c>
      <c r="C33" s="60" t="s">
        <v>127</v>
      </c>
      <c r="D33" s="34">
        <v>3.8889E-2</v>
      </c>
      <c r="E33" s="35">
        <f>'Aug 5'!$D33*$C$6*$C$2</f>
        <v>3466078.9949712148</v>
      </c>
      <c r="F33" s="35">
        <v>220971.76923076899</v>
      </c>
      <c r="G33" s="61">
        <f>'Aug 5'!$E33/'Aug 5'!$F33</f>
        <v>15.685619059109131</v>
      </c>
      <c r="H33" s="33">
        <v>13</v>
      </c>
      <c r="I33" s="33">
        <v>16</v>
      </c>
      <c r="J33" s="37">
        <f t="shared" si="2"/>
        <v>3</v>
      </c>
      <c r="K33" s="38">
        <f>'Aug 5'!$F33*'Aug 5'!$I33</f>
        <v>3535548.3076923038</v>
      </c>
      <c r="L33" s="39">
        <f>'Aug 5'!$K33/$K$2</f>
        <v>3.9422104124793744E-2</v>
      </c>
      <c r="M33" s="62"/>
      <c r="O33" s="2">
        <f>Table1389584[[#This Row],[Change]]*Table1389584[[#This Row],[Last price]]</f>
        <v>662915.30769230693</v>
      </c>
      <c r="P33" s="42">
        <f t="shared" si="1"/>
        <v>662915.30769230693</v>
      </c>
    </row>
    <row r="34" spans="1:17" s="64" customFormat="1" ht="12.75" x14ac:dyDescent="0.2">
      <c r="A34" s="33"/>
      <c r="B34" s="60"/>
      <c r="C34" s="60"/>
      <c r="D34" s="34"/>
      <c r="E34" s="63"/>
      <c r="F34" s="35"/>
      <c r="G34" s="61"/>
      <c r="H34" s="33"/>
      <c r="I34" s="33"/>
      <c r="J34" s="45"/>
      <c r="K34" s="35"/>
      <c r="L34" s="46"/>
      <c r="M34" s="62"/>
      <c r="O34" s="2">
        <f>Table1389584[[#This Row],[Change]]*Table1389584[[#This Row],[Last price]]</f>
        <v>0</v>
      </c>
      <c r="P34" s="42">
        <f t="shared" si="1"/>
        <v>0</v>
      </c>
    </row>
    <row r="35" spans="1:17" s="15" customFormat="1" ht="12.75" x14ac:dyDescent="0.2">
      <c r="A35" s="47" t="s">
        <v>186</v>
      </c>
      <c r="B35" s="65"/>
      <c r="C35" s="65"/>
      <c r="D35" s="56">
        <f>SUBTOTAL(9,D27:D34)</f>
        <v>0.35833399999999999</v>
      </c>
      <c r="E35" s="66">
        <f>'Aug 5'!$D35*$C$6*$C$2</f>
        <v>31937410.336702287</v>
      </c>
      <c r="F35" s="57"/>
      <c r="G35" s="67"/>
      <c r="H35" s="55"/>
      <c r="I35" s="55"/>
      <c r="J35" s="59"/>
      <c r="K35" s="66">
        <f>SUM(K27:K33)</f>
        <v>32081603.661639333</v>
      </c>
      <c r="L35" s="68">
        <f>'Aug 5'!$K35/$K$2</f>
        <v>0.3577166000780827</v>
      </c>
      <c r="M35" s="69"/>
      <c r="O35" s="2">
        <f>Table1389584[[#This Row],[Change]]*Table1389584[[#This Row],[Last price]]</f>
        <v>0</v>
      </c>
      <c r="P35" s="42">
        <f t="shared" si="1"/>
        <v>0</v>
      </c>
    </row>
    <row r="36" spans="1:17" s="64" customFormat="1" ht="12.75" x14ac:dyDescent="0.2">
      <c r="A36" s="33"/>
      <c r="B36" s="60"/>
      <c r="C36" s="60"/>
      <c r="D36" s="34"/>
      <c r="E36" s="63"/>
      <c r="F36" s="35"/>
      <c r="G36" s="61"/>
      <c r="H36" s="33"/>
      <c r="I36" s="33"/>
      <c r="J36" s="45"/>
      <c r="K36" s="35"/>
      <c r="L36" s="39"/>
      <c r="M36" s="62"/>
      <c r="O36" s="2">
        <f>Table1389584[[#This Row],[Change]]*Table1389584[[#This Row],[Last price]]</f>
        <v>0</v>
      </c>
      <c r="P36" s="42">
        <f t="shared" si="1"/>
        <v>0</v>
      </c>
    </row>
    <row r="37" spans="1:17" s="41" customFormat="1" ht="25.5" customHeight="1" x14ac:dyDescent="0.2">
      <c r="A37" s="33" t="s">
        <v>187</v>
      </c>
      <c r="B37" s="33" t="s">
        <v>63</v>
      </c>
      <c r="C37" s="33" t="s">
        <v>64</v>
      </c>
      <c r="D37" s="34">
        <v>3.8889E-2</v>
      </c>
      <c r="E37" s="35">
        <f>'Aug 5'!$D37*$C$6*$C$2</f>
        <v>3466078.9949712148</v>
      </c>
      <c r="F37" s="35">
        <v>94455.933333333305</v>
      </c>
      <c r="G37" s="36">
        <f>'Aug 5'!$E37/'Aug 5'!$F37</f>
        <v>36.695196084077466</v>
      </c>
      <c r="H37" s="33">
        <v>30</v>
      </c>
      <c r="I37" s="33">
        <v>37</v>
      </c>
      <c r="J37" s="37">
        <f t="shared" ref="J37:J42" si="3">I37-H37</f>
        <v>7</v>
      </c>
      <c r="K37" s="38">
        <f>'Aug 5'!$F37*'Aug 5'!$I37</f>
        <v>3494869.5333333323</v>
      </c>
      <c r="L37" s="39">
        <f>'Aug 5'!$K37/$K$2</f>
        <v>3.8968527270827606E-2</v>
      </c>
      <c r="M37" s="40"/>
      <c r="N37" s="2"/>
      <c r="O37" s="2">
        <f>Table1389584[[#This Row],[Change]]*Table1389584[[#This Row],[Last price]]</f>
        <v>661191.53333333309</v>
      </c>
      <c r="P37" s="42">
        <f t="shared" si="1"/>
        <v>661191.53333333309</v>
      </c>
      <c r="Q37" s="42"/>
    </row>
    <row r="38" spans="1:17" s="41" customFormat="1" ht="25.5" customHeight="1" x14ac:dyDescent="0.2">
      <c r="A38" s="33" t="s">
        <v>187</v>
      </c>
      <c r="B38" s="33" t="s">
        <v>188</v>
      </c>
      <c r="C38" s="33" t="s">
        <v>73</v>
      </c>
      <c r="D38" s="34">
        <v>3.8889E-2</v>
      </c>
      <c r="E38" s="35">
        <f>'Aug 5'!$D38*$C$6*$C$2</f>
        <v>3466078.9949712148</v>
      </c>
      <c r="F38" s="35">
        <v>116631.66666666701</v>
      </c>
      <c r="G38" s="36">
        <f>'Aug 5'!$E38/'Aug 5'!$F38</f>
        <v>29.718163977517868</v>
      </c>
      <c r="H38" s="33">
        <v>24</v>
      </c>
      <c r="I38" s="33">
        <v>30</v>
      </c>
      <c r="J38" s="37">
        <f t="shared" si="3"/>
        <v>6</v>
      </c>
      <c r="K38" s="38">
        <f>'Aug 5'!$F38*'Aug 5'!$I38</f>
        <v>3498950.0000000102</v>
      </c>
      <c r="L38" s="39">
        <f>'Aug 5'!$K38/$K$2</f>
        <v>3.9014025328784147E-2</v>
      </c>
      <c r="M38" s="40"/>
      <c r="N38" s="2"/>
      <c r="O38" s="2">
        <f>Table1389584[[#This Row],[Change]]*Table1389584[[#This Row],[Last price]]</f>
        <v>699790.0000000021</v>
      </c>
      <c r="P38" s="42">
        <f t="shared" si="1"/>
        <v>699790.0000000021</v>
      </c>
    </row>
    <row r="39" spans="1:17" s="41" customFormat="1" ht="25.5" customHeight="1" x14ac:dyDescent="0.2">
      <c r="A39" s="33" t="s">
        <v>187</v>
      </c>
      <c r="B39" s="33" t="s">
        <v>76</v>
      </c>
      <c r="C39" s="33" t="s">
        <v>77</v>
      </c>
      <c r="D39" s="34">
        <v>3.8889E-2</v>
      </c>
      <c r="E39" s="35">
        <f>'Aug 5'!$D39*$C$6*$C$2</f>
        <v>3466078.9949712148</v>
      </c>
      <c r="F39" s="35">
        <v>113414</v>
      </c>
      <c r="G39" s="36">
        <f>'Aug 5'!$E39/'Aug 5'!$F39</f>
        <v>30.561297502699972</v>
      </c>
      <c r="H39" s="33">
        <v>25</v>
      </c>
      <c r="I39" s="33">
        <v>31</v>
      </c>
      <c r="J39" s="37">
        <f t="shared" si="3"/>
        <v>6</v>
      </c>
      <c r="K39" s="38">
        <f>'Aug 5'!$F39*'Aug 5'!$I39</f>
        <v>3515834</v>
      </c>
      <c r="L39" s="39">
        <f>'Aug 5'!$K39/$K$2</f>
        <v>3.9202285465010957E-2</v>
      </c>
      <c r="M39" s="40"/>
      <c r="N39" s="2"/>
      <c r="O39" s="2">
        <f>Table1389584[[#This Row],[Change]]*Table1389584[[#This Row],[Last price]]</f>
        <v>680484</v>
      </c>
      <c r="P39" s="42">
        <f t="shared" si="1"/>
        <v>680484</v>
      </c>
    </row>
    <row r="40" spans="1:17" s="41" customFormat="1" ht="25.5" x14ac:dyDescent="0.2">
      <c r="A40" s="33" t="s">
        <v>187</v>
      </c>
      <c r="B40" s="33" t="s">
        <v>189</v>
      </c>
      <c r="C40" s="33" t="s">
        <v>79</v>
      </c>
      <c r="D40" s="34">
        <v>0.125</v>
      </c>
      <c r="E40" s="35">
        <f>'Aug 5'!$D40*$C$6*$C$2</f>
        <v>11140936.366874998</v>
      </c>
      <c r="F40" s="35">
        <v>249443.75</v>
      </c>
      <c r="G40" s="36">
        <f>'Aug 5'!$E40/'Aug 5'!$F40</f>
        <v>44.663120911528146</v>
      </c>
      <c r="H40" s="33">
        <v>36</v>
      </c>
      <c r="I40" s="33">
        <v>45</v>
      </c>
      <c r="J40" s="37">
        <f t="shared" si="3"/>
        <v>9</v>
      </c>
      <c r="K40" s="38">
        <f>'Aug 5'!$F40*'Aug 5'!$I40</f>
        <v>11224968.75</v>
      </c>
      <c r="L40" s="39">
        <f>'Aug 5'!$K40/$K$2</f>
        <v>0.12516075254785272</v>
      </c>
      <c r="M40" s="40"/>
      <c r="N40" s="2"/>
      <c r="O40" s="2">
        <f>Table1389584[[#This Row],[Change]]*Table1389584[[#This Row],[Last price]]</f>
        <v>2244993.75</v>
      </c>
      <c r="P40" s="42">
        <f t="shared" si="1"/>
        <v>2244993.75</v>
      </c>
    </row>
    <row r="41" spans="1:17" s="41" customFormat="1" ht="25.5" x14ac:dyDescent="0.2">
      <c r="A41" s="33" t="s">
        <v>187</v>
      </c>
      <c r="B41" s="33" t="s">
        <v>193</v>
      </c>
      <c r="C41" s="33" t="s">
        <v>100</v>
      </c>
      <c r="D41" s="34">
        <v>0.125</v>
      </c>
      <c r="E41" s="35">
        <f>'Aug 5'!$D41*$C$6*$C$2</f>
        <v>11140936.366874998</v>
      </c>
      <c r="F41" s="35">
        <v>416349.66666666698</v>
      </c>
      <c r="G41" s="36">
        <f>'Aug 5'!$E41/'Aug 5'!$F41</f>
        <v>26.758605227356949</v>
      </c>
      <c r="H41" s="33">
        <v>21</v>
      </c>
      <c r="I41" s="33">
        <v>27</v>
      </c>
      <c r="J41" s="37">
        <f t="shared" si="3"/>
        <v>6</v>
      </c>
      <c r="K41" s="38">
        <f>'Aug 5'!$F41*'Aug 5'!$I41</f>
        <v>11241441.000000007</v>
      </c>
      <c r="L41" s="39">
        <f>'Aug 5'!$K41/$K$2</f>
        <v>0.12534442158534179</v>
      </c>
      <c r="M41" s="40"/>
      <c r="N41" s="2"/>
      <c r="O41" s="2">
        <f>Table1389584[[#This Row],[Change]]*Table1389584[[#This Row],[Last price]]</f>
        <v>2498098.0000000019</v>
      </c>
      <c r="P41" s="42">
        <f t="shared" si="1"/>
        <v>2498098.0000000019</v>
      </c>
    </row>
    <row r="42" spans="1:17" s="41" customFormat="1" ht="25.5" x14ac:dyDescent="0.2">
      <c r="A42" s="33" t="s">
        <v>187</v>
      </c>
      <c r="B42" s="33" t="s">
        <v>102</v>
      </c>
      <c r="C42" s="33" t="s">
        <v>103</v>
      </c>
      <c r="D42" s="34">
        <v>0.125</v>
      </c>
      <c r="E42" s="35">
        <f>'Aug 5'!$D42*$C$6*$C$2</f>
        <v>11140936.366874998</v>
      </c>
      <c r="F42" s="35">
        <v>249779.5</v>
      </c>
      <c r="G42" s="36">
        <f>'Aug 5'!$E42/'Aug 5'!$F42</f>
        <v>44.603085388812929</v>
      </c>
      <c r="H42" s="33">
        <v>36</v>
      </c>
      <c r="I42" s="33">
        <v>45</v>
      </c>
      <c r="J42" s="37">
        <f t="shared" si="3"/>
        <v>9</v>
      </c>
      <c r="K42" s="38">
        <f>'Aug 5'!$F42*'Aug 5'!$I42</f>
        <v>11240077.5</v>
      </c>
      <c r="L42" s="39">
        <f>'Aug 5'!$K42/$K$2</f>
        <v>0.12532921827476687</v>
      </c>
      <c r="M42" s="40"/>
      <c r="N42" s="2"/>
      <c r="O42" s="2">
        <f>Table1389584[[#This Row],[Change]]*Table1389584[[#This Row],[Last price]]</f>
        <v>2248015.5</v>
      </c>
      <c r="P42" s="42">
        <f t="shared" si="1"/>
        <v>2248015.5</v>
      </c>
    </row>
    <row r="43" spans="1:17" s="41" customFormat="1" ht="12.75" x14ac:dyDescent="0.2">
      <c r="A43" s="33"/>
      <c r="B43" s="33"/>
      <c r="C43" s="33"/>
      <c r="D43" s="34"/>
      <c r="E43" s="35"/>
      <c r="F43" s="35"/>
      <c r="G43" s="36"/>
      <c r="H43" s="33"/>
      <c r="I43" s="33"/>
      <c r="J43" s="37"/>
      <c r="K43" s="38"/>
      <c r="L43" s="39"/>
      <c r="M43" s="40"/>
      <c r="N43" s="2"/>
      <c r="O43" s="2">
        <f>Table1389584[[#This Row],[Change]]*Table1389584[[#This Row],[Last price]]</f>
        <v>0</v>
      </c>
      <c r="P43" s="42">
        <f t="shared" si="1"/>
        <v>0</v>
      </c>
    </row>
    <row r="44" spans="1:17" s="41" customFormat="1" ht="12.75" x14ac:dyDescent="0.2">
      <c r="A44" s="33"/>
      <c r="B44" s="33"/>
      <c r="C44" s="33"/>
      <c r="D44" s="34"/>
      <c r="E44" s="35"/>
      <c r="F44" s="35"/>
      <c r="G44" s="36"/>
      <c r="H44" s="33"/>
      <c r="I44" s="33"/>
      <c r="J44" s="37"/>
      <c r="K44" s="38"/>
      <c r="L44" s="39"/>
      <c r="M44" s="40"/>
      <c r="N44" s="2"/>
      <c r="O44" s="2">
        <f>Table1389584[[#This Row],[Change]]*Table1389584[[#This Row],[Last price]]</f>
        <v>0</v>
      </c>
      <c r="P44" s="42">
        <f t="shared" si="1"/>
        <v>0</v>
      </c>
    </row>
    <row r="45" spans="1:17" s="44" customFormat="1" ht="12.75" x14ac:dyDescent="0.2">
      <c r="A45" s="33"/>
      <c r="B45" s="33"/>
      <c r="C45" s="33"/>
      <c r="D45" s="34"/>
      <c r="E45" s="35"/>
      <c r="F45" s="35"/>
      <c r="G45" s="36"/>
      <c r="H45" s="33"/>
      <c r="I45" s="33"/>
      <c r="J45" s="45"/>
      <c r="K45" s="35"/>
      <c r="L45" s="39"/>
      <c r="M45" s="33"/>
      <c r="N45" s="64"/>
      <c r="O45" s="2">
        <f>Table1389584[[#This Row],[Change]]*Table1389584[[#This Row],[Last price]]</f>
        <v>0</v>
      </c>
      <c r="P45" s="42">
        <f t="shared" si="1"/>
        <v>0</v>
      </c>
    </row>
    <row r="46" spans="1:17" s="54" customFormat="1" ht="12.75" x14ac:dyDescent="0.2">
      <c r="A46" s="47" t="s">
        <v>194</v>
      </c>
      <c r="B46" s="47"/>
      <c r="C46" s="47"/>
      <c r="D46" s="56">
        <f>SUBTOTAL(9,D37:D45)</f>
        <v>0.49166699999999997</v>
      </c>
      <c r="E46" s="49">
        <f>'Aug 5'!$D46*$C$6*$C$2</f>
        <v>43821046.085538641</v>
      </c>
      <c r="F46" s="57"/>
      <c r="G46" s="70"/>
      <c r="H46" s="55"/>
      <c r="I46" s="55"/>
      <c r="J46" s="59"/>
      <c r="K46" s="49">
        <f>SUM(K37:K44)</f>
        <v>44216140.783333346</v>
      </c>
      <c r="L46" s="68">
        <f>'Aug 5'!$K46/$K$2</f>
        <v>0.493019230472584</v>
      </c>
      <c r="M46" s="47"/>
      <c r="N46" s="15"/>
      <c r="O46" s="2">
        <f>Table1389584[[#This Row],[Change]]*Table1389584[[#This Row],[Last price]]</f>
        <v>0</v>
      </c>
      <c r="P46" s="42">
        <f t="shared" si="1"/>
        <v>0</v>
      </c>
    </row>
    <row r="47" spans="1:17" s="44" customFormat="1" ht="12.75" x14ac:dyDescent="0.2">
      <c r="A47" s="33"/>
      <c r="B47" s="33"/>
      <c r="C47" s="33"/>
      <c r="D47" s="34"/>
      <c r="E47" s="35"/>
      <c r="F47" s="35"/>
      <c r="G47" s="36"/>
      <c r="H47" s="33"/>
      <c r="I47" s="33"/>
      <c r="J47" s="45"/>
      <c r="K47" s="35"/>
      <c r="L47" s="39"/>
      <c r="M47" s="33"/>
      <c r="N47" s="64"/>
      <c r="O47" s="2">
        <f>Table1389584[[#This Row],[Change]]*Table1389584[[#This Row],[Last price]]</f>
        <v>0</v>
      </c>
      <c r="P47" s="42">
        <f t="shared" si="1"/>
        <v>0</v>
      </c>
    </row>
    <row r="48" spans="1:17" s="41" customFormat="1" ht="12.75" x14ac:dyDescent="0.2">
      <c r="A48" s="33"/>
      <c r="B48" s="33"/>
      <c r="C48" s="33"/>
      <c r="D48" s="34"/>
      <c r="E48" s="35"/>
      <c r="F48" s="35"/>
      <c r="G48" s="71"/>
      <c r="H48" s="33"/>
      <c r="I48" s="33"/>
      <c r="J48" s="37"/>
      <c r="K48" s="38"/>
      <c r="L48" s="39"/>
      <c r="M48" s="40"/>
      <c r="N48" s="2"/>
      <c r="O48" s="2">
        <f>Table1389584[[#This Row],[Change]]*Table1389584[[#This Row],[Last price]]</f>
        <v>0</v>
      </c>
      <c r="P48" s="42">
        <f t="shared" si="1"/>
        <v>0</v>
      </c>
    </row>
    <row r="49" spans="1:18" s="41" customFormat="1" ht="25.5" x14ac:dyDescent="0.2">
      <c r="A49" s="33" t="s">
        <v>195</v>
      </c>
      <c r="B49" s="33" t="s">
        <v>196</v>
      </c>
      <c r="C49" s="33" t="s">
        <v>68</v>
      </c>
      <c r="D49" s="34">
        <v>1.5E-3</v>
      </c>
      <c r="E49" s="35">
        <f>'Aug 5'!$D49*$C$6*$C$2</f>
        <v>133691.23640249998</v>
      </c>
      <c r="F49" s="35">
        <v>43409.5</v>
      </c>
      <c r="G49" s="71">
        <f>'Aug 5'!$E49/'Aug 5'!$F49</f>
        <v>3.079769092076619</v>
      </c>
      <c r="H49" s="33">
        <v>2</v>
      </c>
      <c r="I49" s="33">
        <v>3</v>
      </c>
      <c r="J49" s="37">
        <f t="shared" ref="J49:J58" si="4">I49-H49</f>
        <v>1</v>
      </c>
      <c r="K49" s="38">
        <f>'Aug 5'!$F49*'Aug 5'!$I49</f>
        <v>130228.5</v>
      </c>
      <c r="L49" s="39">
        <f>'Aug 5'!$K49/$K$2</f>
        <v>1.4520750503807004E-3</v>
      </c>
      <c r="M49" s="40"/>
      <c r="N49" s="2"/>
      <c r="O49" s="2">
        <f>Table1389584[[#This Row],[Change]]*Table1389584[[#This Row],[Last price]]</f>
        <v>43409.5</v>
      </c>
      <c r="P49" s="42">
        <f t="shared" si="1"/>
        <v>43409.5</v>
      </c>
    </row>
    <row r="50" spans="1:18" s="41" customFormat="1" ht="25.5" x14ac:dyDescent="0.2">
      <c r="A50" s="33" t="s">
        <v>195</v>
      </c>
      <c r="B50" s="33" t="s">
        <v>197</v>
      </c>
      <c r="C50" s="33" t="s">
        <v>71</v>
      </c>
      <c r="D50" s="34">
        <v>1.5E-3</v>
      </c>
      <c r="E50" s="35">
        <f>'Aug 5'!$D50*$C$6*$C$2</f>
        <v>133691.23640249998</v>
      </c>
      <c r="F50" s="35">
        <v>161574</v>
      </c>
      <c r="G50" s="71">
        <f>'Aug 5'!$E50/'Aug 5'!$F50</f>
        <v>0.82743038114114886</v>
      </c>
      <c r="H50" s="33">
        <v>1</v>
      </c>
      <c r="I50" s="33">
        <v>1</v>
      </c>
      <c r="J50" s="37">
        <f t="shared" si="4"/>
        <v>0</v>
      </c>
      <c r="K50" s="38">
        <f>'Aug 5'!$F50*'Aug 5'!$I50</f>
        <v>161574</v>
      </c>
      <c r="L50" s="39">
        <f>'Aug 5'!$K50/$K$2</f>
        <v>1.8015839404601241E-3</v>
      </c>
      <c r="M50" s="40"/>
      <c r="N50" s="2"/>
      <c r="O50" s="2">
        <f>Table1389584[[#This Row],[Change]]*Table1389584[[#This Row],[Last price]]</f>
        <v>0</v>
      </c>
      <c r="P50" s="42">
        <f t="shared" si="1"/>
        <v>0</v>
      </c>
      <c r="R50" s="41" t="s">
        <v>198</v>
      </c>
    </row>
    <row r="51" spans="1:18" s="41" customFormat="1" ht="25.5" x14ac:dyDescent="0.2">
      <c r="A51" s="33" t="s">
        <v>195</v>
      </c>
      <c r="B51" s="33" t="s">
        <v>199</v>
      </c>
      <c r="C51" s="33" t="s">
        <v>82</v>
      </c>
      <c r="D51" s="34">
        <v>1.5E-3</v>
      </c>
      <c r="E51" s="35">
        <f>'Aug 5'!$D51*$C$6*$C$2</f>
        <v>133691.23640249998</v>
      </c>
      <c r="F51" s="35">
        <v>84665</v>
      </c>
      <c r="G51" s="71">
        <f>'Aug 5'!$E51/'Aug 5'!$F51</f>
        <v>1.5790614350971475</v>
      </c>
      <c r="H51" s="33">
        <v>1</v>
      </c>
      <c r="I51" s="33">
        <v>1</v>
      </c>
      <c r="J51" s="37">
        <f t="shared" si="4"/>
        <v>0</v>
      </c>
      <c r="K51" s="38">
        <f>'Aug 5'!$F51*'Aug 5'!$I51</f>
        <v>84665</v>
      </c>
      <c r="L51" s="39">
        <f>'Aug 5'!$K51/$K$2</f>
        <v>9.4403248244802015E-4</v>
      </c>
      <c r="M51" s="40"/>
      <c r="N51" s="2"/>
      <c r="O51" s="2">
        <f>Table1389584[[#This Row],[Change]]*Table1389584[[#This Row],[Last price]]</f>
        <v>0</v>
      </c>
      <c r="P51" s="42">
        <f t="shared" si="1"/>
        <v>0</v>
      </c>
    </row>
    <row r="52" spans="1:18" s="41" customFormat="1" ht="25.5" x14ac:dyDescent="0.2">
      <c r="A52" s="33" t="s">
        <v>195</v>
      </c>
      <c r="B52" s="33" t="s">
        <v>200</v>
      </c>
      <c r="C52" s="33" t="s">
        <v>84</v>
      </c>
      <c r="D52" s="34">
        <v>1.5E-3</v>
      </c>
      <c r="E52" s="35">
        <f>'Aug 5'!$D52*$C$6*$C$2</f>
        <v>133691.23640249998</v>
      </c>
      <c r="F52" s="35">
        <v>218716</v>
      </c>
      <c r="G52" s="71">
        <f>'Aug 5'!$E52/'Aug 5'!$F52</f>
        <v>0.61125494432277472</v>
      </c>
      <c r="H52" s="33">
        <v>1</v>
      </c>
      <c r="I52" s="33">
        <v>1</v>
      </c>
      <c r="J52" s="37">
        <f t="shared" si="4"/>
        <v>0</v>
      </c>
      <c r="K52" s="38">
        <f>'Aug 5'!$F52*'Aug 5'!$I52</f>
        <v>218716</v>
      </c>
      <c r="L52" s="39">
        <f>'Aug 5'!$K52/$K$2</f>
        <v>2.4387292084226205E-3</v>
      </c>
      <c r="M52" s="40"/>
      <c r="N52" s="2"/>
      <c r="O52" s="2">
        <f>Table1389584[[#This Row],[Change]]*Table1389584[[#This Row],[Last price]]</f>
        <v>0</v>
      </c>
      <c r="P52" s="42">
        <f t="shared" si="1"/>
        <v>0</v>
      </c>
    </row>
    <row r="53" spans="1:18" s="41" customFormat="1" ht="25.5" x14ac:dyDescent="0.2">
      <c r="A53" s="33" t="s">
        <v>195</v>
      </c>
      <c r="B53" s="33" t="s">
        <v>201</v>
      </c>
      <c r="C53" s="33" t="s">
        <v>87</v>
      </c>
      <c r="D53" s="34">
        <v>1.5E-3</v>
      </c>
      <c r="E53" s="35">
        <f>'Aug 5'!$D53*$C$6*$C$2</f>
        <v>133691.23640249998</v>
      </c>
      <c r="F53" s="35">
        <v>45375</v>
      </c>
      <c r="G53" s="71">
        <f>'Aug 5'!$E53/'Aug 5'!$F53</f>
        <v>2.9463633366942146</v>
      </c>
      <c r="H53" s="33">
        <v>2</v>
      </c>
      <c r="I53" s="33">
        <v>3</v>
      </c>
      <c r="J53" s="37">
        <f t="shared" si="4"/>
        <v>1</v>
      </c>
      <c r="K53" s="38">
        <f>'Aug 5'!$F53*'Aug 5'!$I53</f>
        <v>136125</v>
      </c>
      <c r="L53" s="39">
        <f>'Aug 5'!$K53/$K$2</f>
        <v>1.517822260358315E-3</v>
      </c>
      <c r="M53" s="40"/>
      <c r="N53" s="2"/>
      <c r="O53" s="2">
        <f>Table1389584[[#This Row],[Change]]*Table1389584[[#This Row],[Last price]]</f>
        <v>45375</v>
      </c>
      <c r="P53" s="42">
        <f t="shared" si="1"/>
        <v>45375</v>
      </c>
    </row>
    <row r="54" spans="1:18" s="41" customFormat="1" ht="25.5" x14ac:dyDescent="0.2">
      <c r="A54" s="33" t="s">
        <v>195</v>
      </c>
      <c r="B54" s="33" t="s">
        <v>89</v>
      </c>
      <c r="C54" s="33" t="s">
        <v>90</v>
      </c>
      <c r="D54" s="34">
        <v>1.5E-3</v>
      </c>
      <c r="E54" s="35">
        <f>'Aug 5'!$D54*$C$6*$C$2</f>
        <v>133691.23640249998</v>
      </c>
      <c r="F54" s="35">
        <v>48442</v>
      </c>
      <c r="G54" s="71">
        <f>'Aug 5'!$E54/'Aug 5'!$F54</f>
        <v>2.7598207423826429</v>
      </c>
      <c r="H54" s="33">
        <v>2</v>
      </c>
      <c r="I54" s="33">
        <v>3</v>
      </c>
      <c r="J54" s="37">
        <f t="shared" si="4"/>
        <v>1</v>
      </c>
      <c r="K54" s="38">
        <f>'Aug 5'!$F54*'Aug 5'!$I54</f>
        <v>145326</v>
      </c>
      <c r="L54" s="39">
        <f>'Aug 5'!$K54/$K$2</f>
        <v>1.6204153374386224E-3</v>
      </c>
      <c r="M54" s="40"/>
      <c r="N54" s="2"/>
      <c r="O54" s="2">
        <f>Table1389584[[#This Row],[Change]]*Table1389584[[#This Row],[Last price]]</f>
        <v>48442</v>
      </c>
      <c r="P54" s="42">
        <f t="shared" si="1"/>
        <v>48442</v>
      </c>
    </row>
    <row r="55" spans="1:18" s="41" customFormat="1" ht="25.5" x14ac:dyDescent="0.2">
      <c r="A55" s="33" t="s">
        <v>195</v>
      </c>
      <c r="B55" s="33" t="s">
        <v>202</v>
      </c>
      <c r="C55" s="33" t="s">
        <v>92</v>
      </c>
      <c r="D55" s="34">
        <v>1.5E-3</v>
      </c>
      <c r="E55" s="35">
        <f>'Aug 5'!$D55*$C$6*$C$2</f>
        <v>133691.23640249998</v>
      </c>
      <c r="F55" s="35">
        <v>11551.7</v>
      </c>
      <c r="G55" s="71">
        <f>'Aug 5'!$E55/'Aug 5'!$F55</f>
        <v>11.573295393967985</v>
      </c>
      <c r="H55" s="33">
        <v>10</v>
      </c>
      <c r="I55" s="33">
        <v>12</v>
      </c>
      <c r="J55" s="37">
        <f t="shared" si="4"/>
        <v>2</v>
      </c>
      <c r="K55" s="38">
        <f>'Aug 5'!$F55*'Aug 5'!$I55</f>
        <v>138620.40000000002</v>
      </c>
      <c r="L55" s="39">
        <f>'Aug 5'!$K55/$K$2</f>
        <v>1.5456464930010932E-3</v>
      </c>
      <c r="M55" s="40"/>
      <c r="N55" s="2"/>
      <c r="O55" s="2">
        <f>Table1389584[[#This Row],[Change]]*Table1389584[[#This Row],[Last price]]</f>
        <v>23103.4</v>
      </c>
      <c r="P55" s="42">
        <f t="shared" si="1"/>
        <v>23103.4</v>
      </c>
    </row>
    <row r="56" spans="1:18" s="41" customFormat="1" ht="25.5" x14ac:dyDescent="0.2">
      <c r="A56" s="33" t="s">
        <v>195</v>
      </c>
      <c r="B56" s="33" t="s">
        <v>203</v>
      </c>
      <c r="C56" s="33" t="s">
        <v>97</v>
      </c>
      <c r="D56" s="34">
        <v>1.5E-3</v>
      </c>
      <c r="E56" s="35">
        <f>'Aug 5'!$D56*$C$6*$C$2</f>
        <v>133691.23640249998</v>
      </c>
      <c r="F56" s="35">
        <v>89052</v>
      </c>
      <c r="G56" s="71">
        <f>'Aug 5'!$E56/'Aug 5'!$F56</f>
        <v>1.5012715761858237</v>
      </c>
      <c r="H56" s="33">
        <v>1</v>
      </c>
      <c r="I56" s="33">
        <v>1</v>
      </c>
      <c r="J56" s="37">
        <f t="shared" si="4"/>
        <v>0</v>
      </c>
      <c r="K56" s="38">
        <f>'Aug 5'!$F56*'Aug 5'!$I56</f>
        <v>89052</v>
      </c>
      <c r="L56" s="39">
        <f>'Aug 5'!$K56/$K$2</f>
        <v>9.9294845127220321E-4</v>
      </c>
      <c r="M56" s="40"/>
      <c r="N56" s="2"/>
      <c r="O56" s="2">
        <f>Table1389584[[#This Row],[Change]]*Table1389584[[#This Row],[Last price]]</f>
        <v>0</v>
      </c>
      <c r="P56" s="42">
        <f t="shared" si="1"/>
        <v>0</v>
      </c>
    </row>
    <row r="57" spans="1:18" ht="26.25" x14ac:dyDescent="0.25">
      <c r="A57" s="33" t="s">
        <v>195</v>
      </c>
      <c r="B57" s="60" t="s">
        <v>204</v>
      </c>
      <c r="C57" s="60" t="s">
        <v>124</v>
      </c>
      <c r="D57" s="34">
        <v>1.5E-3</v>
      </c>
      <c r="E57" s="35">
        <f>'Aug 5'!$D57*$C$6*$C$2</f>
        <v>133691.23640249998</v>
      </c>
      <c r="F57" s="35">
        <v>58008</v>
      </c>
      <c r="G57" s="71">
        <f>'Aug 5'!$E57/'Aug 5'!$F57</f>
        <v>2.3047034271565989</v>
      </c>
      <c r="H57" s="33">
        <v>1</v>
      </c>
      <c r="I57" s="33">
        <v>2</v>
      </c>
      <c r="J57" s="37">
        <f t="shared" si="4"/>
        <v>1</v>
      </c>
      <c r="K57" s="38">
        <f>'Aug 5'!$F57*'Aug 5'!$I57</f>
        <v>116016</v>
      </c>
      <c r="L57" s="39">
        <f>'Aug 5'!$K57/$K$2</f>
        <v>1.2936026986793776E-3</v>
      </c>
      <c r="M57" s="62"/>
      <c r="O57" s="2">
        <f>Table1389584[[#This Row],[Change]]*Table1389584[[#This Row],[Last price]]</f>
        <v>58008</v>
      </c>
      <c r="P57" s="42">
        <f t="shared" si="1"/>
        <v>58008</v>
      </c>
    </row>
    <row r="58" spans="1:18" s="41" customFormat="1" ht="25.5" x14ac:dyDescent="0.2">
      <c r="A58" s="33" t="s">
        <v>195</v>
      </c>
      <c r="B58" s="33" t="s">
        <v>205</v>
      </c>
      <c r="C58" s="33" t="s">
        <v>95</v>
      </c>
      <c r="D58" s="34">
        <v>1.5E-3</v>
      </c>
      <c r="E58" s="35">
        <f>'Aug 5'!$D58*$C$6*$C$2</f>
        <v>133691.23640249998</v>
      </c>
      <c r="F58" s="35">
        <v>132759</v>
      </c>
      <c r="G58" s="71">
        <f>'Aug 5'!$E58/'Aug 5'!$F58</f>
        <v>1.0070220203715001</v>
      </c>
      <c r="H58" s="33">
        <v>1</v>
      </c>
      <c r="I58" s="33">
        <v>1</v>
      </c>
      <c r="J58" s="37">
        <f t="shared" si="4"/>
        <v>0</v>
      </c>
      <c r="K58" s="38">
        <f>'Aug 5'!$F58*'Aug 5'!$I58</f>
        <v>132759</v>
      </c>
      <c r="L58" s="39">
        <f>'Aug 5'!$K58/$K$2</f>
        <v>1.4802906553749095E-3</v>
      </c>
      <c r="M58" s="40"/>
      <c r="N58" s="2"/>
      <c r="O58" s="2">
        <f>Table1389584[[#This Row],[Change]]*Table1389584[[#This Row],[Last price]]</f>
        <v>0</v>
      </c>
      <c r="P58" s="42">
        <f t="shared" si="1"/>
        <v>0</v>
      </c>
    </row>
    <row r="59" spans="1:18" s="41" customFormat="1" ht="12.75" x14ac:dyDescent="0.2">
      <c r="A59" s="33"/>
      <c r="B59" s="33"/>
      <c r="C59" s="33"/>
      <c r="D59" s="34"/>
      <c r="E59" s="35"/>
      <c r="F59" s="35"/>
      <c r="G59" s="36"/>
      <c r="H59" s="33"/>
      <c r="I59" s="33"/>
      <c r="J59" s="40"/>
      <c r="K59" s="38"/>
      <c r="L59" s="39"/>
      <c r="M59" s="40"/>
      <c r="N59" s="2"/>
      <c r="O59" s="2">
        <f>Table1389584[[#This Row],[Change]]*Table1389584[[#This Row],[Last price]]</f>
        <v>0</v>
      </c>
      <c r="P59" s="42">
        <f t="shared" si="1"/>
        <v>0</v>
      </c>
    </row>
    <row r="60" spans="1:18" s="41" customFormat="1" ht="12.75" x14ac:dyDescent="0.2">
      <c r="A60" s="33"/>
      <c r="B60" s="33"/>
      <c r="C60" s="33"/>
      <c r="D60" s="34"/>
      <c r="E60" s="35"/>
      <c r="F60" s="35"/>
      <c r="G60" s="36"/>
      <c r="H60" s="33"/>
      <c r="I60" s="33"/>
      <c r="J60" s="40"/>
      <c r="K60" s="38"/>
      <c r="L60" s="39"/>
      <c r="M60" s="40"/>
      <c r="N60" s="2"/>
      <c r="O60" s="2">
        <f>Table1389584[[#This Row],[Change]]*Table1389584[[#This Row],[Last price]]</f>
        <v>0</v>
      </c>
      <c r="P60" s="42">
        <f t="shared" si="1"/>
        <v>0</v>
      </c>
    </row>
    <row r="61" spans="1:18" s="41" customFormat="1" ht="12.75" x14ac:dyDescent="0.2">
      <c r="A61" s="33"/>
      <c r="B61" s="33"/>
      <c r="C61" s="33"/>
      <c r="D61" s="34"/>
      <c r="E61" s="35"/>
      <c r="F61" s="35"/>
      <c r="G61" s="36"/>
      <c r="H61" s="33"/>
      <c r="I61" s="33"/>
      <c r="J61" s="40"/>
      <c r="K61" s="38"/>
      <c r="L61" s="39"/>
      <c r="M61" s="40"/>
      <c r="N61" s="2"/>
      <c r="O61" s="2">
        <f>Table1389584[[#This Row],[Change]]*Table1389584[[#This Row],[Last price]]</f>
        <v>0</v>
      </c>
      <c r="P61" s="42">
        <f t="shared" si="1"/>
        <v>0</v>
      </c>
    </row>
    <row r="62" spans="1:18" s="41" customFormat="1" ht="12.75" x14ac:dyDescent="0.2">
      <c r="A62" s="33"/>
      <c r="B62" s="33"/>
      <c r="C62" s="33"/>
      <c r="D62" s="34"/>
      <c r="E62" s="35"/>
      <c r="F62" s="35"/>
      <c r="G62" s="36"/>
      <c r="H62" s="33"/>
      <c r="I62" s="33"/>
      <c r="J62" s="40"/>
      <c r="K62" s="38"/>
      <c r="L62" s="39"/>
      <c r="M62" s="40"/>
      <c r="N62" s="2"/>
      <c r="O62" s="2">
        <f>Table1389584[[#This Row],[Change]]*Table1389584[[#This Row],[Last price]]</f>
        <v>0</v>
      </c>
      <c r="P62" s="42">
        <f t="shared" si="1"/>
        <v>0</v>
      </c>
    </row>
    <row r="63" spans="1:18" s="41" customFormat="1" ht="12.75" x14ac:dyDescent="0.2">
      <c r="A63" s="33"/>
      <c r="B63" s="33"/>
      <c r="C63" s="33"/>
      <c r="D63" s="34"/>
      <c r="E63" s="35"/>
      <c r="F63" s="35"/>
      <c r="G63" s="36"/>
      <c r="H63" s="33"/>
      <c r="I63" s="33"/>
      <c r="J63" s="40"/>
      <c r="K63" s="38"/>
      <c r="L63" s="39"/>
      <c r="M63" s="40"/>
      <c r="N63" s="2"/>
      <c r="O63" s="2">
        <f>Table1389584[[#This Row],[Change]]*Table1389584[[#This Row],[Last price]]</f>
        <v>0</v>
      </c>
      <c r="P63" s="42">
        <f t="shared" si="1"/>
        <v>0</v>
      </c>
    </row>
    <row r="64" spans="1:18" s="41" customFormat="1" ht="12.75" x14ac:dyDescent="0.2">
      <c r="A64" s="33"/>
      <c r="B64" s="33"/>
      <c r="C64" s="33"/>
      <c r="D64" s="34"/>
      <c r="E64" s="35"/>
      <c r="F64" s="35"/>
      <c r="G64" s="36"/>
      <c r="H64" s="33"/>
      <c r="I64" s="33"/>
      <c r="J64" s="40"/>
      <c r="K64" s="38"/>
      <c r="L64" s="39"/>
      <c r="M64" s="40"/>
      <c r="N64" s="2"/>
      <c r="O64" s="2">
        <f>Table1389584[[#This Row],[Change]]*Table1389584[[#This Row],[Last price]]</f>
        <v>0</v>
      </c>
      <c r="P64" s="42">
        <f t="shared" si="1"/>
        <v>0</v>
      </c>
    </row>
    <row r="65" spans="1:16" s="41" customFormat="1" ht="12.75" x14ac:dyDescent="0.2">
      <c r="A65" s="33"/>
      <c r="B65" s="33"/>
      <c r="C65" s="33"/>
      <c r="D65" s="34"/>
      <c r="E65" s="35"/>
      <c r="F65" s="35"/>
      <c r="G65" s="36"/>
      <c r="H65" s="33"/>
      <c r="I65" s="33"/>
      <c r="J65" s="40"/>
      <c r="K65" s="38"/>
      <c r="L65" s="39"/>
      <c r="M65" s="40"/>
      <c r="N65" s="2"/>
      <c r="O65" s="2">
        <f>Table1389584[[#This Row],[Change]]*Table1389584[[#This Row],[Last price]]</f>
        <v>0</v>
      </c>
      <c r="P65" s="42">
        <f t="shared" si="1"/>
        <v>0</v>
      </c>
    </row>
    <row r="66" spans="1:16" s="15" customFormat="1" ht="12.75" x14ac:dyDescent="0.2">
      <c r="A66" s="47" t="s">
        <v>206</v>
      </c>
      <c r="B66" s="65"/>
      <c r="C66" s="65"/>
      <c r="D66" s="72">
        <f>SUM(D49:D65)</f>
        <v>1.4999999999999998E-2</v>
      </c>
      <c r="E66" s="49">
        <f>SUM(E48:E65)</f>
        <v>1336912.3640249998</v>
      </c>
      <c r="F66" s="70"/>
      <c r="G66" s="70"/>
      <c r="H66" s="65"/>
      <c r="I66" s="65"/>
      <c r="J66" s="47"/>
      <c r="K66" s="49">
        <f>SUM(K48:K65)</f>
        <v>1353081.9</v>
      </c>
      <c r="L66" s="53">
        <f>'Aug 5'!$K66/$K$2</f>
        <v>1.5087146577835985E-2</v>
      </c>
      <c r="M66" s="50"/>
      <c r="O66" s="41"/>
      <c r="P66" s="41"/>
    </row>
    <row r="67" spans="1:16" x14ac:dyDescent="0.25">
      <c r="A67" s="33"/>
      <c r="B67" s="60"/>
      <c r="C67" s="60"/>
      <c r="D67" s="73"/>
      <c r="E67" s="35"/>
      <c r="F67" s="35"/>
      <c r="G67" s="36"/>
      <c r="H67" s="60"/>
      <c r="I67" s="60"/>
      <c r="J67" s="33"/>
      <c r="K67" s="33"/>
      <c r="L67" s="39"/>
      <c r="M67" s="62"/>
      <c r="O67" s="41"/>
      <c r="P67" s="41"/>
    </row>
    <row r="68" spans="1:16" x14ac:dyDescent="0.25">
      <c r="A68" s="33"/>
      <c r="B68" s="60"/>
      <c r="C68" s="60"/>
      <c r="D68" s="74"/>
      <c r="E68" s="63"/>
      <c r="F68" s="35"/>
      <c r="G68" s="61"/>
      <c r="H68" s="60"/>
      <c r="I68" s="60"/>
      <c r="J68" s="33"/>
      <c r="K68" s="33"/>
      <c r="L68" s="39"/>
      <c r="M68" s="62"/>
      <c r="O68" s="41"/>
      <c r="P68" s="41"/>
    </row>
    <row r="69" spans="1:16" s="15" customFormat="1" ht="12.75" x14ac:dyDescent="0.2">
      <c r="A69" s="47" t="s">
        <v>207</v>
      </c>
      <c r="B69" s="65"/>
      <c r="C69" s="65"/>
      <c r="D69" s="65"/>
      <c r="E69" s="75"/>
      <c r="F69" s="65"/>
      <c r="G69" s="65"/>
      <c r="H69" s="65"/>
      <c r="I69" s="65"/>
      <c r="J69" s="65"/>
      <c r="K69" s="75">
        <f>SUM(K23,K25,K35,K46,K66)</f>
        <v>89684414.015554577</v>
      </c>
      <c r="L69" s="53">
        <f>'Aug 5'!$K69/$K$2</f>
        <v>1</v>
      </c>
      <c r="M69" s="65"/>
      <c r="O69" s="41"/>
      <c r="P69" s="41"/>
    </row>
    <row r="70" spans="1:16" x14ac:dyDescent="0.25">
      <c r="A70" s="62"/>
      <c r="B70" s="62"/>
      <c r="C70" s="62"/>
      <c r="D70" s="76"/>
      <c r="E70" s="77"/>
      <c r="F70" s="35"/>
      <c r="G70" s="78"/>
      <c r="H70" s="62"/>
      <c r="I70" s="62"/>
      <c r="J70" s="62"/>
      <c r="K70" s="62"/>
      <c r="L70" s="39"/>
      <c r="M70" s="62"/>
      <c r="O70" s="41"/>
      <c r="P70" s="41"/>
    </row>
    <row r="71" spans="1:16" x14ac:dyDescent="0.25">
      <c r="A71" s="62"/>
      <c r="B71" s="62"/>
      <c r="C71" s="62"/>
      <c r="D71" s="76"/>
      <c r="E71" s="77"/>
      <c r="F71" s="35"/>
      <c r="G71" s="78"/>
      <c r="H71" s="62"/>
      <c r="I71" s="62"/>
      <c r="J71" s="62"/>
      <c r="K71" s="62"/>
      <c r="L71" s="39"/>
      <c r="M71" s="62"/>
      <c r="O71" s="41"/>
      <c r="P71" s="41"/>
    </row>
    <row r="72" spans="1:16" x14ac:dyDescent="0.25">
      <c r="A72" s="62"/>
      <c r="B72" s="62"/>
      <c r="C72" s="62"/>
      <c r="D72" s="76"/>
      <c r="E72" s="77"/>
      <c r="F72" s="35"/>
      <c r="G72" s="78"/>
      <c r="H72" s="62"/>
      <c r="I72" s="62"/>
      <c r="J72" s="62"/>
      <c r="K72" s="62"/>
      <c r="L72" s="39"/>
      <c r="M72" s="62"/>
      <c r="O72" s="41"/>
      <c r="P72" s="41"/>
    </row>
    <row r="73" spans="1:16" x14ac:dyDescent="0.25">
      <c r="A73" s="62"/>
      <c r="B73" s="62"/>
      <c r="C73" s="62"/>
      <c r="D73" s="76"/>
      <c r="E73" s="77"/>
      <c r="F73" s="35"/>
      <c r="G73" s="78"/>
      <c r="H73" s="62"/>
      <c r="I73" s="62"/>
      <c r="J73" s="62"/>
      <c r="K73" s="62"/>
      <c r="L73" s="39"/>
      <c r="M73" s="62"/>
      <c r="O73" s="15"/>
      <c r="P73" s="15"/>
    </row>
    <row r="74" spans="1:16" x14ac:dyDescent="0.25">
      <c r="A74" s="62"/>
      <c r="B74" s="62"/>
      <c r="C74" s="62"/>
      <c r="D74" s="76"/>
      <c r="E74" s="77"/>
      <c r="F74" s="35"/>
      <c r="G74" s="78"/>
      <c r="H74" s="62"/>
      <c r="I74" s="62"/>
      <c r="J74" s="62"/>
      <c r="K74" s="62"/>
      <c r="L74" s="39"/>
      <c r="M74" s="62"/>
    </row>
    <row r="75" spans="1:16" x14ac:dyDescent="0.25">
      <c r="A75" s="62"/>
      <c r="B75" s="62"/>
      <c r="C75" s="62"/>
      <c r="D75" s="76"/>
      <c r="E75" s="77"/>
      <c r="F75" s="35"/>
      <c r="G75" s="78"/>
      <c r="H75" s="62"/>
      <c r="I75" s="62"/>
      <c r="J75" s="62"/>
      <c r="K75" s="62"/>
      <c r="L75" s="39"/>
      <c r="M75" s="62"/>
    </row>
    <row r="76" spans="1:16" x14ac:dyDescent="0.25">
      <c r="A76" s="62"/>
      <c r="B76" s="62"/>
      <c r="C76" s="62"/>
      <c r="D76" s="76"/>
      <c r="E76" s="77"/>
      <c r="F76" s="35"/>
      <c r="G76" s="78"/>
      <c r="H76" s="62"/>
      <c r="I76" s="62"/>
      <c r="J76" s="62"/>
      <c r="K76" s="62"/>
      <c r="L76" s="39"/>
      <c r="M76" s="62"/>
      <c r="O76" s="15"/>
      <c r="P76" s="15"/>
    </row>
    <row r="77" spans="1:16" x14ac:dyDescent="0.25">
      <c r="A77" s="62"/>
      <c r="B77" s="62"/>
      <c r="C77" s="62"/>
      <c r="D77" s="76"/>
      <c r="E77" s="77"/>
      <c r="F77" s="35"/>
      <c r="G77" s="78"/>
      <c r="H77" s="62"/>
      <c r="I77" s="62"/>
      <c r="J77" s="62"/>
      <c r="K77" s="62"/>
      <c r="L77" s="39"/>
      <c r="M77" s="62"/>
    </row>
    <row r="78" spans="1:16" x14ac:dyDescent="0.25">
      <c r="A78" s="62"/>
      <c r="B78" s="62"/>
      <c r="C78" s="62"/>
      <c r="D78" s="76"/>
      <c r="E78" s="77"/>
      <c r="F78" s="35"/>
      <c r="G78" s="78"/>
      <c r="H78" s="62"/>
      <c r="I78" s="62"/>
      <c r="J78" s="62"/>
      <c r="K78" s="62"/>
      <c r="L78" s="39"/>
      <c r="M78" s="62"/>
    </row>
    <row r="79" spans="1:16" s="2" customFormat="1" ht="12.75" x14ac:dyDescent="0.2"/>
    <row r="80" spans="1:16" s="2" customFormat="1" ht="12.75" x14ac:dyDescent="0.2"/>
    <row r="82" spans="1:13" s="2" customFormat="1" ht="12.75" x14ac:dyDescent="0.2">
      <c r="A82" s="79"/>
      <c r="B82" s="79"/>
      <c r="E82" s="79"/>
      <c r="F82" s="79"/>
      <c r="G82" s="79"/>
      <c r="H82" s="80"/>
      <c r="M82" s="79"/>
    </row>
    <row r="83" spans="1:13" s="2" customFormat="1" ht="12.75" x14ac:dyDescent="0.2">
      <c r="A83" s="79"/>
      <c r="B83" s="79"/>
      <c r="E83" s="79"/>
      <c r="F83" s="79"/>
      <c r="G83" s="79"/>
      <c r="H83" s="80"/>
      <c r="M83" s="79"/>
    </row>
    <row r="84" spans="1:13" s="2" customFormat="1" ht="12.75" x14ac:dyDescent="0.2">
      <c r="A84" s="81"/>
      <c r="B84" s="81"/>
    </row>
    <row r="85" spans="1:13" s="2" customFormat="1" ht="12.75" x14ac:dyDescent="0.2">
      <c r="A85" s="82"/>
      <c r="B85" s="82"/>
      <c r="E85" s="82"/>
      <c r="F85" s="81"/>
      <c r="G85" s="81"/>
      <c r="M85" s="83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0"/>
  <sheetViews>
    <sheetView topLeftCell="A31" zoomScale="115" zoomScaleNormal="115" workbookViewId="0">
      <selection activeCell="H47" sqref="H47"/>
    </sheetView>
  </sheetViews>
  <sheetFormatPr defaultColWidth="9.140625" defaultRowHeight="15" x14ac:dyDescent="0.25"/>
  <cols>
    <col min="1" max="2" width="15.140625" style="2" customWidth="1"/>
    <col min="3" max="3" width="27.140625" style="2" customWidth="1"/>
    <col min="4" max="4" width="14.85546875" style="2" customWidth="1"/>
    <col min="5" max="5" width="19.710937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style="84" customWidth="1"/>
    <col min="11" max="11" width="16.42578125" customWidth="1"/>
    <col min="12" max="12" width="13.42578125" customWidth="1"/>
    <col min="13" max="13" width="16.42578125" style="2" customWidth="1"/>
    <col min="14" max="14" width="10.5703125" style="2" customWidth="1"/>
    <col min="15" max="15" width="13" style="2" customWidth="1"/>
    <col min="16" max="18" width="10.85546875" style="2" customWidth="1"/>
    <col min="19" max="19" width="11.28515625" style="2" customWidth="1"/>
    <col min="20" max="1024" width="9.140625" style="2"/>
  </cols>
  <sheetData>
    <row r="1" spans="1:19" s="2" customFormat="1" ht="25.5" x14ac:dyDescent="0.2">
      <c r="A1" s="3"/>
      <c r="B1" s="3" t="s">
        <v>137</v>
      </c>
      <c r="C1" s="4">
        <v>44021</v>
      </c>
      <c r="D1" s="5"/>
      <c r="E1" s="6" t="s">
        <v>138</v>
      </c>
      <c r="F1" s="7"/>
      <c r="G1" s="8"/>
      <c r="K1" s="9" t="s">
        <v>139</v>
      </c>
      <c r="L1" s="9" t="s">
        <v>140</v>
      </c>
      <c r="M1" s="10" t="s">
        <v>141</v>
      </c>
      <c r="O1" s="2" t="s">
        <v>208</v>
      </c>
      <c r="R1" s="2" t="s">
        <v>209</v>
      </c>
    </row>
    <row r="2" spans="1:19" x14ac:dyDescent="0.25">
      <c r="A2" s="3"/>
      <c r="B2" s="3" t="s">
        <v>142</v>
      </c>
      <c r="C2" s="11">
        <v>2.79</v>
      </c>
      <c r="D2" s="12"/>
      <c r="E2" s="13">
        <f>SUM(E23,E35,E57,E86,E25)</f>
        <v>1883758.0255200001</v>
      </c>
      <c r="F2" s="14"/>
      <c r="G2" s="15"/>
      <c r="H2" s="12"/>
      <c r="I2" s="12"/>
      <c r="J2" s="12"/>
      <c r="K2" s="13">
        <f>SUM(K23,K35,K57,K86,K25,K91)</f>
        <v>0</v>
      </c>
      <c r="L2" s="16" t="e">
        <f>SUM(L91,L57,L86,L35,L23,L25)</f>
        <v>#DIV/0!</v>
      </c>
      <c r="M2" s="17">
        <f>K2/C3</f>
        <v>0</v>
      </c>
      <c r="O2" s="2" t="s">
        <v>161</v>
      </c>
      <c r="P2" s="18">
        <v>0.26729999999999998</v>
      </c>
      <c r="R2" s="2" t="s">
        <v>178</v>
      </c>
      <c r="S2" s="2">
        <f>COUNTIF(A:A,"US Bond")</f>
        <v>7</v>
      </c>
    </row>
    <row r="3" spans="1:19" x14ac:dyDescent="0.25">
      <c r="A3" s="3"/>
      <c r="B3" s="3" t="s">
        <v>210</v>
      </c>
      <c r="C3" s="19">
        <v>8439776.0999999996</v>
      </c>
      <c r="D3" s="20"/>
      <c r="E3" s="14">
        <f>C3*C2</f>
        <v>23546975.318999998</v>
      </c>
      <c r="F3" s="14"/>
      <c r="G3" s="15"/>
      <c r="H3" s="12"/>
      <c r="I3" s="12"/>
      <c r="J3" s="12"/>
      <c r="K3" s="12"/>
      <c r="L3" s="12"/>
      <c r="M3" s="12"/>
      <c r="O3" s="2" t="s">
        <v>32</v>
      </c>
      <c r="P3" s="21">
        <v>0.08</v>
      </c>
      <c r="R3" s="2" t="s">
        <v>187</v>
      </c>
      <c r="S3" s="2">
        <f>COUNTIF(A:A,"Global Bond")</f>
        <v>9</v>
      </c>
    </row>
    <row r="4" spans="1:19" x14ac:dyDescent="0.25">
      <c r="A4" s="22"/>
      <c r="B4" s="23"/>
      <c r="C4" s="23"/>
      <c r="D4" s="85"/>
      <c r="E4" s="25"/>
      <c r="F4" s="25"/>
      <c r="G4" s="25"/>
      <c r="H4" s="26"/>
      <c r="I4" s="26"/>
      <c r="J4" s="26"/>
      <c r="K4" s="12"/>
      <c r="L4" s="12"/>
      <c r="M4" s="12"/>
      <c r="O4" s="2" t="s">
        <v>195</v>
      </c>
      <c r="P4" s="21">
        <v>0.03</v>
      </c>
      <c r="R4" s="2" t="s">
        <v>195</v>
      </c>
      <c r="S4" s="2">
        <f>COUNTIF(A:A,"Commodity")</f>
        <v>10</v>
      </c>
    </row>
    <row r="5" spans="1:19" s="41" customFormat="1" ht="38.25" x14ac:dyDescent="0.2">
      <c r="A5" s="27" t="s">
        <v>149</v>
      </c>
      <c r="B5" s="86" t="s">
        <v>150</v>
      </c>
      <c r="C5" s="87" t="s">
        <v>1</v>
      </c>
      <c r="D5" s="87" t="s">
        <v>151</v>
      </c>
      <c r="E5" s="87" t="s">
        <v>152</v>
      </c>
      <c r="F5" s="87" t="s">
        <v>153</v>
      </c>
      <c r="G5" s="87" t="s">
        <v>154</v>
      </c>
      <c r="H5" s="88" t="s">
        <v>155</v>
      </c>
      <c r="I5" s="88" t="s">
        <v>156</v>
      </c>
      <c r="J5" s="88" t="s">
        <v>157</v>
      </c>
      <c r="K5" s="89" t="s">
        <v>158</v>
      </c>
      <c r="L5" s="89" t="s">
        <v>159</v>
      </c>
      <c r="M5" s="89" t="s">
        <v>160</v>
      </c>
      <c r="O5" s="41" t="s">
        <v>211</v>
      </c>
      <c r="P5" s="90">
        <f>100%-SUM(P2:P4)</f>
        <v>0.62270000000000003</v>
      </c>
      <c r="R5" s="41" t="s">
        <v>161</v>
      </c>
      <c r="S5" s="2">
        <f>COUNTIF(A:A,"Equity")</f>
        <v>10</v>
      </c>
    </row>
    <row r="6" spans="1:19" s="41" customFormat="1" ht="12.75" customHeight="1" x14ac:dyDescent="0.2">
      <c r="A6" s="91"/>
      <c r="B6" s="92"/>
      <c r="C6" s="65"/>
      <c r="D6" s="65"/>
      <c r="E6" s="65"/>
      <c r="F6" s="65"/>
      <c r="G6" s="65"/>
      <c r="H6" s="65"/>
      <c r="I6" s="93"/>
      <c r="J6" s="94"/>
      <c r="K6" s="95">
        <f>SUM(K3:K4)</f>
        <v>0</v>
      </c>
      <c r="L6" s="96" t="e">
        <f>'July 7-14 - Second_old'!$K6/$K$2</f>
        <v>#DIV/0!</v>
      </c>
      <c r="M6" s="97"/>
    </row>
    <row r="7" spans="1:19" s="41" customFormat="1" ht="12.75" customHeight="1" x14ac:dyDescent="0.2">
      <c r="A7" s="91" t="s">
        <v>161</v>
      </c>
      <c r="B7" s="91" t="s">
        <v>199</v>
      </c>
      <c r="C7" s="33" t="s">
        <v>82</v>
      </c>
      <c r="D7" s="34">
        <v>5.0000000000000001E-3</v>
      </c>
      <c r="E7" s="35">
        <f>'July 7-14 - Second_old'!$D7*$C$2*$C$3</f>
        <v>117734.87659499999</v>
      </c>
      <c r="F7" s="35">
        <f>INDEX('TWS data'!L:L,MATCH('July 7-14 - Second_old'!$C7,'TWS data'!C:C,0))</f>
        <v>0</v>
      </c>
      <c r="G7" s="71" t="e">
        <f>'July 7-14 - Second_old'!$E7/'July 7-14 - Second_old'!$F7</f>
        <v>#DIV/0!</v>
      </c>
      <c r="H7" s="33">
        <f>INDEX('TWS data'!F:F,MATCH('July 7-14 - Second_old'!$C7,'TWS data'!C:C,0))</f>
        <v>1</v>
      </c>
      <c r="I7" s="33">
        <v>1</v>
      </c>
      <c r="J7" s="37">
        <f t="shared" ref="J7:J40" si="0">I7-H7</f>
        <v>0</v>
      </c>
      <c r="K7" s="98">
        <f>'July 7-14 - Second_old'!$F7*'July 7-14 - Second_old'!$I7</f>
        <v>0</v>
      </c>
      <c r="L7" s="99" t="e">
        <f>'July 7-14 - Second_old'!$K7/$K$2</f>
        <v>#DIV/0!</v>
      </c>
      <c r="M7" s="100"/>
      <c r="R7" s="41" t="s">
        <v>212</v>
      </c>
      <c r="S7" s="2">
        <f>COUNTIF(A:A,"Others")</f>
        <v>0</v>
      </c>
    </row>
    <row r="8" spans="1:19" s="41" customFormat="1" ht="25.5" x14ac:dyDescent="0.2">
      <c r="A8" s="91" t="s">
        <v>161</v>
      </c>
      <c r="B8" s="91" t="s">
        <v>203</v>
      </c>
      <c r="C8" s="33" t="s">
        <v>97</v>
      </c>
      <c r="D8" s="34">
        <v>5.0000000000000001E-3</v>
      </c>
      <c r="E8" s="35">
        <f>'July 7-14 - Second_old'!$D8*$C$2*$C$3</f>
        <v>117734.87659499999</v>
      </c>
      <c r="F8" s="35">
        <f>INDEX('TWS data'!L:L,MATCH('July 7-14 - Second_old'!$C8,'TWS data'!C:C,0))</f>
        <v>0</v>
      </c>
      <c r="G8" s="71" t="e">
        <f>'July 7-14 - Second_old'!$E8/'July 7-14 - Second_old'!$F8</f>
        <v>#DIV/0!</v>
      </c>
      <c r="H8" s="33">
        <f>INDEX('TWS data'!F:F,MATCH('July 7-14 - Second_old'!$C8,'TWS data'!C:C,0))</f>
        <v>1</v>
      </c>
      <c r="I8" s="33">
        <v>1</v>
      </c>
      <c r="J8" s="37">
        <f t="shared" si="0"/>
        <v>0</v>
      </c>
      <c r="K8" s="98">
        <f>'July 7-14 - Second_old'!$F8*'July 7-14 - Second_old'!$I8</f>
        <v>0</v>
      </c>
      <c r="L8" s="99" t="e">
        <f>'July 7-14 - Second_old'!$K8/$K$2</f>
        <v>#DIV/0!</v>
      </c>
      <c r="M8" s="100"/>
      <c r="O8" s="2" t="s">
        <v>213</v>
      </c>
      <c r="P8" s="42">
        <v>288492</v>
      </c>
      <c r="R8" s="41" t="s">
        <v>214</v>
      </c>
      <c r="S8" s="41">
        <f>SUM(S2:S7)</f>
        <v>36</v>
      </c>
    </row>
    <row r="9" spans="1:19" s="41" customFormat="1" ht="25.5" customHeight="1" x14ac:dyDescent="0.2">
      <c r="A9" s="91" t="s">
        <v>161</v>
      </c>
      <c r="B9" s="91" t="s">
        <v>215</v>
      </c>
      <c r="C9" s="33" t="s">
        <v>95</v>
      </c>
      <c r="D9" s="34">
        <v>5.0000000000000001E-3</v>
      </c>
      <c r="E9" s="35">
        <f>'July 7-14 - Second_old'!$D9*$C$2*$C$3</f>
        <v>117734.87659499999</v>
      </c>
      <c r="F9" s="35">
        <f>INDEX('TWS data'!L:L,MATCH('July 7-14 - Second_old'!$C9,'TWS data'!C:C,0))</f>
        <v>0</v>
      </c>
      <c r="G9" s="71" t="e">
        <f>'July 7-14 - Second_old'!$E9/'July 7-14 - Second_old'!$F9</f>
        <v>#DIV/0!</v>
      </c>
      <c r="H9" s="33">
        <f>INDEX('TWS data'!F:F,MATCH('July 7-14 - Second_old'!$C9,'TWS data'!C:C,0))</f>
        <v>1</v>
      </c>
      <c r="I9" s="60">
        <v>1</v>
      </c>
      <c r="J9" s="37">
        <f t="shared" si="0"/>
        <v>0</v>
      </c>
      <c r="K9" s="98">
        <f>'July 7-14 - Second_old'!$F9*'July 7-14 - Second_old'!$I9</f>
        <v>0</v>
      </c>
      <c r="L9" s="99" t="e">
        <f>'July 7-14 - Second_old'!$K9/$K$2</f>
        <v>#DIV/0!</v>
      </c>
      <c r="M9" s="100"/>
      <c r="O9" s="41" t="s">
        <v>216</v>
      </c>
      <c r="P9" s="42">
        <v>79066</v>
      </c>
    </row>
    <row r="10" spans="1:19" s="41" customFormat="1" ht="12.75" customHeight="1" x14ac:dyDescent="0.2">
      <c r="A10" s="91" t="s">
        <v>161</v>
      </c>
      <c r="B10" s="101" t="s">
        <v>204</v>
      </c>
      <c r="C10" s="60" t="s">
        <v>124</v>
      </c>
      <c r="D10" s="102">
        <v>5.0000000000000001E-3</v>
      </c>
      <c r="E10" s="35">
        <f>'July 7-14 - Second_old'!$D10*$C$2*$C$3</f>
        <v>117734.87659499999</v>
      </c>
      <c r="F10" s="35">
        <f>INDEX('TWS data'!L:L,MATCH('July 7-14 - Second_old'!$C10,'TWS data'!C:C,0))</f>
        <v>0</v>
      </c>
      <c r="G10" s="71" t="e">
        <f>'July 7-14 - Second_old'!$E10/'July 7-14 - Second_old'!$F10</f>
        <v>#DIV/0!</v>
      </c>
      <c r="H10" s="33">
        <f>INDEX('TWS data'!F:F,MATCH('July 7-14 - Second_old'!$C10,'TWS data'!C:C,0))</f>
        <v>1</v>
      </c>
      <c r="I10" s="60">
        <v>2</v>
      </c>
      <c r="J10" s="37">
        <f t="shared" si="0"/>
        <v>1</v>
      </c>
      <c r="K10" s="98">
        <f>'July 7-14 - Second_old'!$F10*'July 7-14 - Second_old'!$I10</f>
        <v>0</v>
      </c>
      <c r="L10" s="99" t="e">
        <f>'July 7-14 - Second_old'!$K10/$K$2</f>
        <v>#DIV/0!</v>
      </c>
      <c r="M10" s="103"/>
      <c r="O10" s="41" t="s">
        <v>217</v>
      </c>
      <c r="P10" s="42">
        <v>896127</v>
      </c>
    </row>
    <row r="11" spans="1:19" s="41" customFormat="1" ht="12.75" customHeight="1" x14ac:dyDescent="0.25">
      <c r="A11" s="91" t="s">
        <v>161</v>
      </c>
      <c r="B11" s="91" t="s">
        <v>218</v>
      </c>
      <c r="C11" s="33" t="s">
        <v>92</v>
      </c>
      <c r="D11" s="34">
        <v>5.0000000000000001E-3</v>
      </c>
      <c r="E11" s="35">
        <f>'July 7-14 - Second_old'!$D11*$C$2*$C$3</f>
        <v>117734.87659499999</v>
      </c>
      <c r="F11" s="35">
        <f>INDEX('TWS data'!L:L,MATCH('July 7-14 - Second_old'!$C11,'TWS data'!C:C,0))</f>
        <v>0</v>
      </c>
      <c r="G11" s="71" t="e">
        <f>'July 7-14 - Second_old'!$E11/'July 7-14 - Second_old'!$F11</f>
        <v>#DIV/0!</v>
      </c>
      <c r="H11" s="33">
        <f>INDEX('TWS data'!F:F,MATCH('July 7-14 - Second_old'!$C11,'TWS data'!C:C,0))</f>
        <v>7</v>
      </c>
      <c r="I11" s="33">
        <v>11</v>
      </c>
      <c r="J11" s="37">
        <f t="shared" si="0"/>
        <v>4</v>
      </c>
      <c r="K11" s="98">
        <f>'July 7-14 - Second_old'!$F11*'July 7-14 - Second_old'!$I11</f>
        <v>0</v>
      </c>
      <c r="L11" s="99" t="e">
        <f>'July 7-14 - Second_old'!$K11/$K$2</f>
        <v>#DIV/0!</v>
      </c>
      <c r="M11" s="100"/>
      <c r="O11" s="41" t="s">
        <v>195</v>
      </c>
    </row>
    <row r="12" spans="1:19" s="41" customFormat="1" ht="12.75" customHeight="1" x14ac:dyDescent="0.25">
      <c r="A12" s="91" t="s">
        <v>161</v>
      </c>
      <c r="B12" s="91" t="s">
        <v>196</v>
      </c>
      <c r="C12" s="33" t="s">
        <v>68</v>
      </c>
      <c r="D12" s="34">
        <v>5.0000000000000001E-3</v>
      </c>
      <c r="E12" s="35">
        <f>'July 7-14 - Second_old'!$D12*$C$2*$C$3</f>
        <v>117734.87659499999</v>
      </c>
      <c r="F12" s="35">
        <f>INDEX('TWS data'!L:L,MATCH('July 7-14 - Second_old'!$C12,'TWS data'!C:C,0))</f>
        <v>0</v>
      </c>
      <c r="G12" s="71" t="e">
        <f>'July 7-14 - Second_old'!$E12/'July 7-14 - Second_old'!$F12</f>
        <v>#DIV/0!</v>
      </c>
      <c r="H12" s="33">
        <f>INDEX('TWS data'!F:F,MATCH('July 7-14 - Second_old'!$C12,'TWS data'!C:C,0))</f>
        <v>2</v>
      </c>
      <c r="I12" s="33">
        <v>3</v>
      </c>
      <c r="J12" s="37">
        <f t="shared" si="0"/>
        <v>1</v>
      </c>
      <c r="K12" s="98">
        <f>'July 7-14 - Second_old'!$F12*'July 7-14 - Second_old'!$I12</f>
        <v>0</v>
      </c>
      <c r="L12" s="99" t="e">
        <f>'July 7-14 - Second_old'!$K12/$K$2</f>
        <v>#DIV/0!</v>
      </c>
      <c r="M12" s="100"/>
    </row>
    <row r="13" spans="1:19" s="41" customFormat="1" ht="12.75" customHeight="1" x14ac:dyDescent="0.25">
      <c r="A13" s="91" t="s">
        <v>161</v>
      </c>
      <c r="B13" s="91" t="s">
        <v>89</v>
      </c>
      <c r="C13" s="33" t="s">
        <v>90</v>
      </c>
      <c r="D13" s="34">
        <v>5.0000000000000001E-3</v>
      </c>
      <c r="E13" s="35">
        <f>'July 7-14 - Second_old'!$D13*$C$2*$C$3</f>
        <v>117734.87659499999</v>
      </c>
      <c r="F13" s="35">
        <f>INDEX('TWS data'!L:L,MATCH('July 7-14 - Second_old'!$C13,'TWS data'!C:C,0))</f>
        <v>0</v>
      </c>
      <c r="G13" s="71" t="e">
        <f>'July 7-14 - Second_old'!$E13/'July 7-14 - Second_old'!$F13</f>
        <v>#DIV/0!</v>
      </c>
      <c r="H13" s="33">
        <f>INDEX('TWS data'!F:F,MATCH('July 7-14 - Second_old'!$C13,'TWS data'!C:C,0))</f>
        <v>1</v>
      </c>
      <c r="I13" s="33">
        <v>3</v>
      </c>
      <c r="J13" s="37">
        <f t="shared" si="0"/>
        <v>2</v>
      </c>
      <c r="K13" s="98">
        <f>'July 7-14 - Second_old'!$F13*'July 7-14 - Second_old'!$I13</f>
        <v>0</v>
      </c>
      <c r="L13" s="99" t="e">
        <f>'July 7-14 - Second_old'!$K13/$K$2</f>
        <v>#DIV/0!</v>
      </c>
      <c r="M13" s="100"/>
    </row>
    <row r="14" spans="1:19" s="41" customFormat="1" ht="12.75" customHeight="1" x14ac:dyDescent="0.25">
      <c r="A14" s="91"/>
      <c r="B14" s="91" t="s">
        <v>201</v>
      </c>
      <c r="C14" s="33" t="s">
        <v>87</v>
      </c>
      <c r="D14" s="34">
        <v>5.0000000000000001E-3</v>
      </c>
      <c r="E14" s="35">
        <f>'July 7-14 - Second_old'!$D14*$C$2*$C$3</f>
        <v>117734.87659499999</v>
      </c>
      <c r="F14" s="35">
        <f>INDEX('TWS data'!L:L,MATCH('July 7-14 - Second_old'!$C14,'TWS data'!C:C,0))</f>
        <v>0</v>
      </c>
      <c r="G14" s="71" t="e">
        <f>'July 7-14 - Second_old'!$E14/'July 7-14 - Second_old'!$F14</f>
        <v>#DIV/0!</v>
      </c>
      <c r="H14" s="33">
        <f>INDEX('TWS data'!F:F,MATCH('July 7-14 - Second_old'!$C14,'TWS data'!C:C,0))</f>
        <v>1</v>
      </c>
      <c r="I14" s="33">
        <v>3</v>
      </c>
      <c r="J14" s="37">
        <f t="shared" si="0"/>
        <v>2</v>
      </c>
      <c r="K14" s="98">
        <f>'July 7-14 - Second_old'!$F14*'July 7-14 - Second_old'!$I14</f>
        <v>0</v>
      </c>
      <c r="L14" s="99" t="e">
        <f>'July 7-14 - Second_old'!$K14/$K$2</f>
        <v>#DIV/0!</v>
      </c>
      <c r="M14" s="100"/>
    </row>
    <row r="15" spans="1:19" s="41" customFormat="1" ht="12.75" customHeight="1" x14ac:dyDescent="0.25">
      <c r="A15" s="91" t="s">
        <v>161</v>
      </c>
      <c r="B15" s="91" t="s">
        <v>197</v>
      </c>
      <c r="C15" s="33" t="s">
        <v>71</v>
      </c>
      <c r="D15" s="34">
        <v>5.0000000000000001E-3</v>
      </c>
      <c r="E15" s="35">
        <f>'July 7-14 - Second_old'!$D15*$C$2*$C$3</f>
        <v>117734.87659499999</v>
      </c>
      <c r="F15" s="35">
        <f>INDEX('TWS data'!L:L,MATCH('July 7-14 - Second_old'!$C15,'TWS data'!C:C,0))</f>
        <v>0</v>
      </c>
      <c r="G15" s="71" t="e">
        <f>'July 7-14 - Second_old'!$E15/'July 7-14 - Second_old'!$F15</f>
        <v>#DIV/0!</v>
      </c>
      <c r="H15" s="33">
        <f>INDEX('TWS data'!F:F,MATCH('July 7-14 - Second_old'!$C15,'TWS data'!C:C,0))</f>
        <v>1</v>
      </c>
      <c r="I15" s="33">
        <v>1</v>
      </c>
      <c r="J15" s="37">
        <f t="shared" si="0"/>
        <v>0</v>
      </c>
      <c r="K15" s="98">
        <f>'July 7-14 - Second_old'!$F15*'July 7-14 - Second_old'!$I15</f>
        <v>0</v>
      </c>
      <c r="L15" s="99" t="e">
        <f>'July 7-14 - Second_old'!$K15/$K$2</f>
        <v>#DIV/0!</v>
      </c>
      <c r="M15" s="100"/>
    </row>
    <row r="16" spans="1:19" s="41" customFormat="1" ht="12.75" customHeight="1" x14ac:dyDescent="0.25">
      <c r="A16" s="91" t="s">
        <v>161</v>
      </c>
      <c r="B16" s="104" t="s">
        <v>200</v>
      </c>
      <c r="C16" s="105" t="s">
        <v>84</v>
      </c>
      <c r="D16" s="106">
        <v>5.0000000000000001E-3</v>
      </c>
      <c r="E16" s="107">
        <f>'July 7-14 - Second_old'!$D16*$C$2*$C$3</f>
        <v>117734.87659499999</v>
      </c>
      <c r="F16" s="35">
        <f>INDEX('TWS data'!L:L,MATCH('July 7-14 - Second_old'!$C16,'TWS data'!C:C,0))</f>
        <v>0</v>
      </c>
      <c r="G16" s="108" t="e">
        <f>'July 7-14 - Second_old'!$E16/'July 7-14 - Second_old'!$F16</f>
        <v>#DIV/0!</v>
      </c>
      <c r="H16" s="33">
        <f>INDEX('TWS data'!F:F,MATCH('July 7-14 - Second_old'!$C16,'TWS data'!C:C,0))</f>
        <v>1</v>
      </c>
      <c r="I16" s="33">
        <v>1</v>
      </c>
      <c r="J16" s="109">
        <f t="shared" si="0"/>
        <v>0</v>
      </c>
      <c r="K16" s="98">
        <f>'July 7-14 - Second_old'!$F16*'July 7-14 - Second_old'!$I16</f>
        <v>0</v>
      </c>
      <c r="L16" s="110" t="e">
        <f>'July 7-14 - Second_old'!$K16/$K$2</f>
        <v>#DIV/0!</v>
      </c>
      <c r="M16" s="111"/>
    </row>
    <row r="17" spans="1:17" s="41" customFormat="1" ht="12.75" customHeight="1" x14ac:dyDescent="0.25">
      <c r="A17" s="91"/>
      <c r="B17" s="91" t="s">
        <v>219</v>
      </c>
      <c r="C17" s="33" t="s">
        <v>220</v>
      </c>
      <c r="D17" s="34">
        <v>1.4999999999999999E-2</v>
      </c>
      <c r="E17" s="107">
        <f>'July 7-14 - Second_old'!$D17*$C$2*$C$3</f>
        <v>353204.629785</v>
      </c>
      <c r="F17" s="35" t="e">
        <f>INDEX('TWS data'!L:L,MATCH('July 7-14 - Second_old'!$C17,'TWS data'!C:C,0))</f>
        <v>#N/A</v>
      </c>
      <c r="G17" s="112" t="e">
        <f>'July 7-14 - Second_old'!$E17/'July 7-14 - Second_old'!$F17</f>
        <v>#N/A</v>
      </c>
      <c r="H17" s="33" t="e">
        <f>INDEX('TWS data'!F:F,MATCH('July 7-14 - Second_old'!$C17,'TWS data'!C:C,0))</f>
        <v>#N/A</v>
      </c>
      <c r="I17" s="33">
        <v>899</v>
      </c>
      <c r="J17" s="37" t="e">
        <f t="shared" si="0"/>
        <v>#N/A</v>
      </c>
      <c r="K17" s="98" t="e">
        <f>'July 7-14 - Second_old'!$F17*'July 7-14 - Second_old'!$I17</f>
        <v>#N/A</v>
      </c>
      <c r="L17" s="110" t="e">
        <f>'July 7-14 - Second_old'!$K17/$K$2</f>
        <v>#N/A</v>
      </c>
      <c r="M17" s="111"/>
    </row>
    <row r="18" spans="1:17" s="41" customFormat="1" ht="12.75" customHeight="1" x14ac:dyDescent="0.25">
      <c r="A18" s="91" t="s">
        <v>161</v>
      </c>
      <c r="B18" s="91" t="s">
        <v>53</v>
      </c>
      <c r="C18" s="33" t="s">
        <v>54</v>
      </c>
      <c r="D18" s="34">
        <v>1.4999999999999999E-2</v>
      </c>
      <c r="E18" s="107">
        <f>'July 7-14 - Second_old'!$D18*$C$2*$C$3</f>
        <v>353204.629785</v>
      </c>
      <c r="F18" s="35">
        <f>INDEX('TWS data'!L:L,MATCH('July 7-14 - Second_old'!$C18,'TWS data'!C:C,0))</f>
        <v>0</v>
      </c>
      <c r="G18" s="112" t="e">
        <f>'July 7-14 - Second_old'!$E18/'July 7-14 - Second_old'!$F18</f>
        <v>#DIV/0!</v>
      </c>
      <c r="H18" s="33">
        <f>INDEX('TWS data'!F:F,MATCH('July 7-14 - Second_old'!$C18,'TWS data'!C:C,0))</f>
        <v>2263</v>
      </c>
      <c r="I18" s="33">
        <v>1520</v>
      </c>
      <c r="J18" s="37">
        <f t="shared" si="0"/>
        <v>-743</v>
      </c>
      <c r="K18" s="98">
        <f>'July 7-14 - Second_old'!$F18*'July 7-14 - Second_old'!$I18</f>
        <v>0</v>
      </c>
      <c r="L18" s="110" t="e">
        <f>'July 7-14 - Second_old'!$K18/$K$2</f>
        <v>#DIV/0!</v>
      </c>
      <c r="M18" s="111"/>
    </row>
    <row r="19" spans="1:17" s="41" customFormat="1" ht="12.75" customHeight="1" x14ac:dyDescent="0.25">
      <c r="A19" s="91"/>
      <c r="B19" s="91" t="s">
        <v>61</v>
      </c>
      <c r="C19" s="33" t="s">
        <v>62</v>
      </c>
      <c r="D19" s="34">
        <v>1.4999999999999999E-2</v>
      </c>
      <c r="E19" s="35">
        <f>'July 7-14 - Second_old'!$D19*$C$2*$C$3</f>
        <v>353204.629785</v>
      </c>
      <c r="F19" s="35">
        <f>INDEX('TWS data'!L:L,MATCH('July 7-14 - Second_old'!$C19,'TWS data'!C:C,0))</f>
        <v>0</v>
      </c>
      <c r="G19" s="36" t="e">
        <f>'July 7-14 - Second_old'!$E19/'July 7-14 - Second_old'!$F19</f>
        <v>#DIV/0!</v>
      </c>
      <c r="H19" s="33">
        <f>INDEX('TWS data'!F:F,MATCH('July 7-14 - Second_old'!$C19,'TWS data'!C:C,0))</f>
        <v>0</v>
      </c>
      <c r="I19" s="33">
        <v>922</v>
      </c>
      <c r="J19" s="37">
        <f t="shared" si="0"/>
        <v>922</v>
      </c>
      <c r="K19" s="38">
        <f>'July 7-14 - Second_old'!$F19*'July 7-14 - Second_old'!$I19</f>
        <v>0</v>
      </c>
      <c r="L19" s="99" t="e">
        <f>'July 7-14 - Second_old'!$K19/$K$2</f>
        <v>#DIV/0!</v>
      </c>
      <c r="M19" s="113"/>
    </row>
    <row r="20" spans="1:17" s="41" customFormat="1" ht="12.75" customHeight="1" x14ac:dyDescent="0.25">
      <c r="A20" s="91"/>
      <c r="B20" s="91" t="s">
        <v>221</v>
      </c>
      <c r="C20" s="33" t="s">
        <v>222</v>
      </c>
      <c r="D20" s="34">
        <v>1.4999999999999999E-2</v>
      </c>
      <c r="E20" s="35">
        <f>'July 7-14 - Second_old'!$D20*$C$2*$C$3</f>
        <v>353204.629785</v>
      </c>
      <c r="F20" s="35" t="e">
        <f>INDEX('TWS data'!L:L,MATCH('July 7-14 - Second_old'!$C20,'TWS data'!C:C,0))</f>
        <v>#N/A</v>
      </c>
      <c r="G20" s="36" t="e">
        <f>'July 7-14 - Second_old'!$E20/'July 7-14 - Second_old'!$F20</f>
        <v>#N/A</v>
      </c>
      <c r="H20" s="33" t="e">
        <f>INDEX('TWS data'!F:F,MATCH('July 7-14 - Second_old'!$C20,'TWS data'!C:C,0))</f>
        <v>#N/A</v>
      </c>
      <c r="I20" s="33">
        <v>1058</v>
      </c>
      <c r="J20" s="37" t="e">
        <f t="shared" si="0"/>
        <v>#N/A</v>
      </c>
      <c r="K20" s="38" t="e">
        <f>'July 7-14 - Second_old'!$F20*'July 7-14 - Second_old'!$I20</f>
        <v>#N/A</v>
      </c>
      <c r="L20" s="99" t="e">
        <f>'July 7-14 - Second_old'!$K20/$K$2</f>
        <v>#N/A</v>
      </c>
      <c r="M20" s="113"/>
    </row>
    <row r="21" spans="1:17" s="41" customFormat="1" ht="12.75" customHeight="1" x14ac:dyDescent="0.25">
      <c r="A21" s="91"/>
      <c r="B21" s="91" t="s">
        <v>162</v>
      </c>
      <c r="C21" s="33" t="s">
        <v>163</v>
      </c>
      <c r="D21" s="34">
        <v>1.4999999999999999E-2</v>
      </c>
      <c r="E21" s="35">
        <f>'July 7-14 - Second_old'!$D21*$C$2*$C$3</f>
        <v>353204.629785</v>
      </c>
      <c r="F21" s="35" t="e">
        <f>INDEX('TWS data'!L:L,MATCH('July 7-14 - Second_old'!$C21,'TWS data'!C:C,0))</f>
        <v>#N/A</v>
      </c>
      <c r="G21" s="36" t="e">
        <f>'July 7-14 - Second_old'!$E21/'July 7-14 - Second_old'!$F21</f>
        <v>#N/A</v>
      </c>
      <c r="H21" s="33" t="e">
        <f>INDEX('TWS data'!F:F,MATCH('July 7-14 - Second_old'!$C21,'TWS data'!C:C,0))</f>
        <v>#N/A</v>
      </c>
      <c r="I21" s="33">
        <v>2012</v>
      </c>
      <c r="J21" s="37" t="e">
        <f t="shared" si="0"/>
        <v>#N/A</v>
      </c>
      <c r="K21" s="98" t="e">
        <f>'July 7-14 - Second_old'!$F21*'July 7-14 - Second_old'!$I21</f>
        <v>#N/A</v>
      </c>
      <c r="L21" s="99" t="e">
        <f>'July 7-14 - Second_old'!$K21/$K$2</f>
        <v>#N/A</v>
      </c>
      <c r="M21" s="113"/>
    </row>
    <row r="22" spans="1:17" s="44" customFormat="1" ht="12.75" customHeight="1" x14ac:dyDescent="0.25">
      <c r="A22" s="114"/>
      <c r="B22" s="114" t="s">
        <v>41</v>
      </c>
      <c r="C22" s="114" t="s">
        <v>42</v>
      </c>
      <c r="D22" s="115">
        <v>1.4999999999999999E-2</v>
      </c>
      <c r="E22" s="116">
        <f>'July 7-14 - Second_old'!$D22*$C$2*$C$3</f>
        <v>353204.629785</v>
      </c>
      <c r="F22" s="35">
        <f>INDEX('TWS data'!L:L,MATCH('July 7-14 - Second_old'!$C22,'TWS data'!C:C,0))</f>
        <v>0</v>
      </c>
      <c r="G22" s="117" t="e">
        <f>'July 7-14 - Second_old'!$E22/'July 7-14 - Second_old'!$F22</f>
        <v>#DIV/0!</v>
      </c>
      <c r="H22" s="114">
        <f>INDEX('TWS data'!F:F,MATCH('July 7-14 - Second_old'!$C22,'TWS data'!C:C,0))</f>
        <v>1229</v>
      </c>
      <c r="I22" s="114">
        <v>855</v>
      </c>
      <c r="J22" s="118">
        <f t="shared" si="0"/>
        <v>-374</v>
      </c>
      <c r="K22" s="119">
        <f>'July 7-14 - Second_old'!$F22*'July 7-14 - Second_old'!$I22</f>
        <v>0</v>
      </c>
      <c r="L22" s="120" t="e">
        <f>'July 7-14 - Second_old'!$K22/$K$2</f>
        <v>#DIV/0!</v>
      </c>
      <c r="M22" s="121"/>
    </row>
    <row r="23" spans="1:17" s="54" customFormat="1" ht="12.75" customHeight="1" x14ac:dyDescent="0.25">
      <c r="A23" s="47" t="s">
        <v>177</v>
      </c>
      <c r="B23" s="122" t="s">
        <v>35</v>
      </c>
      <c r="C23" s="123" t="s">
        <v>36</v>
      </c>
      <c r="D23" s="124">
        <v>1.4999999999999999E-2</v>
      </c>
      <c r="E23" s="125">
        <f>'July 7-14 - Second_old'!$D23*$C$2*$C$3</f>
        <v>353204.629785</v>
      </c>
      <c r="F23" s="125">
        <f>INDEX('TWS data'!L:L,MATCH('July 7-14 - Second_old'!$C23,'TWS data'!C:C,0))</f>
        <v>0</v>
      </c>
      <c r="G23" s="126" t="e">
        <f>'July 7-14 - Second_old'!$E23/'July 7-14 - Second_old'!$F23</f>
        <v>#DIV/0!</v>
      </c>
      <c r="H23" s="123">
        <f>INDEX('TWS data'!F:F,MATCH('July 7-14 - Second_old'!$C23,'TWS data'!C:C,0))</f>
        <v>7798</v>
      </c>
      <c r="I23" s="123">
        <v>5187</v>
      </c>
      <c r="J23" s="127">
        <f t="shared" si="0"/>
        <v>-2611</v>
      </c>
      <c r="K23" s="128">
        <f>'July 7-14 - Second_old'!$F23*'July 7-14 - Second_old'!$I23</f>
        <v>0</v>
      </c>
      <c r="L23" s="129" t="e">
        <f>'July 7-14 - Second_old'!$K23/$K$2</f>
        <v>#DIV/0!</v>
      </c>
      <c r="M23" s="130"/>
    </row>
    <row r="24" spans="1:17" s="44" customFormat="1" ht="12.75" customHeight="1" x14ac:dyDescent="0.25">
      <c r="A24" s="114"/>
      <c r="B24" s="114" t="s">
        <v>164</v>
      </c>
      <c r="C24" s="114" t="s">
        <v>165</v>
      </c>
      <c r="D24" s="115">
        <v>1.4999999999999999E-2</v>
      </c>
      <c r="E24" s="116">
        <f>'July 7-14 - Second_old'!$D24*$C$2*$C$3</f>
        <v>353204.629785</v>
      </c>
      <c r="F24" s="116" t="e">
        <f>INDEX('TWS data'!L:L,MATCH('July 7-14 - Second_old'!$C24,'TWS data'!C:C,0))</f>
        <v>#N/A</v>
      </c>
      <c r="G24" s="117" t="e">
        <f>'July 7-14 - Second_old'!$E24/'July 7-14 - Second_old'!$F24</f>
        <v>#N/A</v>
      </c>
      <c r="H24" s="114" t="e">
        <f>INDEX('TWS data'!F:F,MATCH('July 7-14 - Second_old'!$C24,'TWS data'!C:C,0))</f>
        <v>#N/A</v>
      </c>
      <c r="I24" s="114">
        <v>812</v>
      </c>
      <c r="J24" s="118" t="e">
        <f t="shared" si="0"/>
        <v>#N/A</v>
      </c>
      <c r="K24" s="119" t="e">
        <f>'July 7-14 - Second_old'!$F24*'July 7-14 - Second_old'!$I24</f>
        <v>#N/A</v>
      </c>
      <c r="L24" s="120" t="e">
        <f>'July 7-14 - Second_old'!$K24/$K$2</f>
        <v>#N/A</v>
      </c>
      <c r="M24" s="121"/>
    </row>
    <row r="25" spans="1:17" s="41" customFormat="1" ht="12.75" customHeight="1" x14ac:dyDescent="0.25">
      <c r="A25" s="131"/>
      <c r="B25" s="122" t="s">
        <v>50</v>
      </c>
      <c r="C25" s="122" t="s">
        <v>51</v>
      </c>
      <c r="D25" s="132">
        <v>1.4999999999999999E-2</v>
      </c>
      <c r="E25" s="133">
        <f>'July 7-14 - Second_old'!$D25*$C$2*$C$3</f>
        <v>353204.629785</v>
      </c>
      <c r="F25" s="133">
        <f>INDEX('TWS data'!L:L,MATCH('July 7-14 - Second_old'!$C25,'TWS data'!C:C,0))</f>
        <v>0</v>
      </c>
      <c r="G25" s="134" t="e">
        <f>'July 7-14 - Second_old'!$E25/'July 7-14 - Second_old'!$F25</f>
        <v>#DIV/0!</v>
      </c>
      <c r="H25" s="122">
        <f>INDEX('TWS data'!F:F,MATCH('July 7-14 - Second_old'!$C25,'TWS data'!C:C,0))</f>
        <v>1365</v>
      </c>
      <c r="I25" s="122">
        <v>257</v>
      </c>
      <c r="J25" s="135">
        <f t="shared" si="0"/>
        <v>-1108</v>
      </c>
      <c r="K25" s="136">
        <f>'July 7-14 - Second_old'!$F25*'July 7-14 - Second_old'!$I25</f>
        <v>0</v>
      </c>
      <c r="L25" s="137" t="e">
        <f>'July 7-14 - Second_old'!$K25/$K$2</f>
        <v>#DIV/0!</v>
      </c>
      <c r="M25" s="138"/>
      <c r="Q25" s="42"/>
    </row>
    <row r="26" spans="1:17" s="41" customFormat="1" ht="12.75" customHeight="1" x14ac:dyDescent="0.25">
      <c r="A26" s="91"/>
      <c r="B26" s="91" t="s">
        <v>47</v>
      </c>
      <c r="C26" s="33" t="s">
        <v>48</v>
      </c>
      <c r="D26" s="34">
        <v>1.4999999999999999E-2</v>
      </c>
      <c r="E26" s="139">
        <f>'July 7-14 - Second_old'!$D26*$C$2*$C$3</f>
        <v>353204.629785</v>
      </c>
      <c r="F26" s="35">
        <f>INDEX('TWS data'!L:L,MATCH('July 7-14 - Second_old'!$C26,'TWS data'!C:C,0))</f>
        <v>0</v>
      </c>
      <c r="G26" s="36" t="e">
        <f>'July 7-14 - Second_old'!$E26/'July 7-14 - Second_old'!$F26</f>
        <v>#DIV/0!</v>
      </c>
      <c r="H26" s="33">
        <f>INDEX('TWS data'!F:F,MATCH('July 7-14 - Second_old'!$C26,'TWS data'!C:C,0))</f>
        <v>1010</v>
      </c>
      <c r="I26" s="33">
        <v>552</v>
      </c>
      <c r="J26" s="37">
        <f t="shared" si="0"/>
        <v>-458</v>
      </c>
      <c r="K26" s="98">
        <f>'July 7-14 - Second_old'!$F26*'July 7-14 - Second_old'!$I26</f>
        <v>0</v>
      </c>
      <c r="L26" s="99" t="e">
        <f>'July 7-14 - Second_old'!$K26/$K$2</f>
        <v>#DIV/0!</v>
      </c>
      <c r="M26" s="100"/>
      <c r="Q26" s="42"/>
    </row>
    <row r="27" spans="1:17" ht="25.5" x14ac:dyDescent="0.25">
      <c r="A27" s="91" t="s">
        <v>178</v>
      </c>
      <c r="B27" s="91" t="s">
        <v>189</v>
      </c>
      <c r="C27" s="33" t="s">
        <v>79</v>
      </c>
      <c r="D27" s="34">
        <v>4.4443999999999997E-2</v>
      </c>
      <c r="E27" s="139">
        <f>'July 7-14 - Second_old'!$D27*$C$2*$C$3</f>
        <v>1046521.7710776359</v>
      </c>
      <c r="F27" s="35">
        <f>INDEX('TWS data'!L:L,MATCH('July 7-14 - Second_old'!$C27,'TWS data'!C:C,0))</f>
        <v>0</v>
      </c>
      <c r="G27" s="36" t="e">
        <f>'July 7-14 - Second_old'!$E27/'July 7-14 - Second_old'!$F27</f>
        <v>#DIV/0!</v>
      </c>
      <c r="H27" s="33">
        <f>INDEX('TWS data'!F:F,MATCH('July 7-14 - Second_old'!$C27,'TWS data'!C:C,0))</f>
        <v>28</v>
      </c>
      <c r="I27" s="33">
        <v>4</v>
      </c>
      <c r="J27" s="37">
        <f t="shared" si="0"/>
        <v>-24</v>
      </c>
      <c r="K27" s="98">
        <f>'July 7-14 - Second_old'!$F27*'July 7-14 - Second_old'!$I27</f>
        <v>0</v>
      </c>
      <c r="L27" s="99" t="e">
        <f>'July 7-14 - Second_old'!$K27/$K$2</f>
        <v>#DIV/0!</v>
      </c>
      <c r="M27" s="100"/>
    </row>
    <row r="28" spans="1:17" ht="25.5" x14ac:dyDescent="0.25">
      <c r="A28" s="91" t="s">
        <v>178</v>
      </c>
      <c r="B28" s="91" t="s">
        <v>223</v>
      </c>
      <c r="C28" s="33" t="s">
        <v>224</v>
      </c>
      <c r="D28" s="34">
        <v>4.4443999999999997E-2</v>
      </c>
      <c r="E28" s="139">
        <f>'July 7-14 - Second_old'!$D28*$C$2*$C$3</f>
        <v>1046521.7710776359</v>
      </c>
      <c r="F28" s="35" t="e">
        <f>INDEX('TWS data'!L:L,MATCH('July 7-14 - Second_old'!$C28,'TWS data'!C:C,0))</f>
        <v>#N/A</v>
      </c>
      <c r="G28" s="36" t="e">
        <f>'July 7-14 - Second_old'!$E28/'July 7-14 - Second_old'!$F28</f>
        <v>#N/A</v>
      </c>
      <c r="H28" s="33" t="e">
        <f>INDEX('TWS data'!F:F,MATCH('July 7-14 - Second_old'!$C28,'TWS data'!C:C,0))</f>
        <v>#N/A</v>
      </c>
      <c r="I28" s="33">
        <v>4</v>
      </c>
      <c r="J28" s="37" t="e">
        <f t="shared" si="0"/>
        <v>#N/A</v>
      </c>
      <c r="K28" s="98" t="e">
        <f>'July 7-14 - Second_old'!$F28*'July 7-14 - Second_old'!$I28</f>
        <v>#N/A</v>
      </c>
      <c r="L28" s="99" t="e">
        <f>'July 7-14 - Second_old'!$K28/$K$2</f>
        <v>#N/A</v>
      </c>
      <c r="M28" s="100"/>
    </row>
    <row r="29" spans="1:17" ht="25.5" x14ac:dyDescent="0.25">
      <c r="A29" s="91" t="s">
        <v>178</v>
      </c>
      <c r="B29" s="91" t="s">
        <v>76</v>
      </c>
      <c r="C29" s="33" t="s">
        <v>77</v>
      </c>
      <c r="D29" s="34">
        <v>4.4443999999999997E-2</v>
      </c>
      <c r="E29" s="139">
        <f>'July 7-14 - Second_old'!$D29*$C$2*$C$3</f>
        <v>1046521.7710776359</v>
      </c>
      <c r="F29" s="35">
        <f>INDEX('TWS data'!L:L,MATCH('July 7-14 - Second_old'!$C29,'TWS data'!C:C,0))</f>
        <v>0</v>
      </c>
      <c r="G29" s="36" t="e">
        <f>'July 7-14 - Second_old'!$E29/'July 7-14 - Second_old'!$F29</f>
        <v>#DIV/0!</v>
      </c>
      <c r="H29" s="33">
        <f>INDEX('TWS data'!F:F,MATCH('July 7-14 - Second_old'!$C29,'TWS data'!C:C,0))</f>
        <v>17</v>
      </c>
      <c r="I29" s="33">
        <v>9</v>
      </c>
      <c r="J29" s="37">
        <f t="shared" si="0"/>
        <v>-8</v>
      </c>
      <c r="K29" s="98">
        <f>'July 7-14 - Second_old'!$F29*'July 7-14 - Second_old'!$I29</f>
        <v>0</v>
      </c>
      <c r="L29" s="99" t="e">
        <f>'July 7-14 - Second_old'!$K29/$K$2</f>
        <v>#DIV/0!</v>
      </c>
      <c r="M29" s="100"/>
    </row>
    <row r="30" spans="1:17" ht="25.5" x14ac:dyDescent="0.25">
      <c r="A30" s="91" t="s">
        <v>178</v>
      </c>
      <c r="B30" s="91" t="s">
        <v>225</v>
      </c>
      <c r="C30" s="33" t="s">
        <v>134</v>
      </c>
      <c r="D30" s="34">
        <v>4.4443999999999997E-2</v>
      </c>
      <c r="E30" s="139">
        <f>'July 7-14 - Second_old'!$D30*$C$2*$C$3</f>
        <v>1046521.7710776359</v>
      </c>
      <c r="F30" s="35">
        <f>INDEX('TWS data'!L:L,MATCH('July 7-14 - Second_old'!$C30,'TWS data'!C:C,0))</f>
        <v>0</v>
      </c>
      <c r="G30" s="36" t="e">
        <f>'July 7-14 - Second_old'!$E30/'July 7-14 - Second_old'!$F30</f>
        <v>#DIV/0!</v>
      </c>
      <c r="H30" s="33">
        <f>INDEX('TWS data'!F:F,MATCH('July 7-14 - Second_old'!$C30,'TWS data'!C:C,0))</f>
        <v>0</v>
      </c>
      <c r="I30" s="33">
        <v>6</v>
      </c>
      <c r="J30" s="37">
        <f t="shared" si="0"/>
        <v>6</v>
      </c>
      <c r="K30" s="98">
        <f>'July 7-14 - Second_old'!$F30*'July 7-14 - Second_old'!$I30</f>
        <v>0</v>
      </c>
      <c r="L30" s="99" t="e">
        <f>'July 7-14 - Second_old'!$K30/$K$2</f>
        <v>#DIV/0!</v>
      </c>
      <c r="M30" s="100"/>
    </row>
    <row r="31" spans="1:17" ht="25.5" x14ac:dyDescent="0.25">
      <c r="A31" s="91" t="s">
        <v>178</v>
      </c>
      <c r="B31" s="91" t="s">
        <v>63</v>
      </c>
      <c r="C31" s="33" t="s">
        <v>64</v>
      </c>
      <c r="D31" s="34">
        <v>4.4443999999999997E-2</v>
      </c>
      <c r="E31" s="139">
        <f>'July 7-14 - Second_old'!$D31*$C$2*$C$3</f>
        <v>1046521.7710776359</v>
      </c>
      <c r="F31" s="35">
        <f>INDEX('TWS data'!L:L,MATCH('July 7-14 - Second_old'!$C31,'TWS data'!C:C,0))</f>
        <v>0</v>
      </c>
      <c r="G31" s="36" t="e">
        <f>'July 7-14 - Second_old'!$E31/'July 7-14 - Second_old'!$F31</f>
        <v>#DIV/0!</v>
      </c>
      <c r="H31" s="33">
        <f>INDEX('TWS data'!F:F,MATCH('July 7-14 - Second_old'!$C31,'TWS data'!C:C,0))</f>
        <v>20</v>
      </c>
      <c r="I31" s="33">
        <v>11</v>
      </c>
      <c r="J31" s="37">
        <f t="shared" si="0"/>
        <v>-9</v>
      </c>
      <c r="K31" s="98">
        <f>'July 7-14 - Second_old'!$F31*'July 7-14 - Second_old'!$I31</f>
        <v>0</v>
      </c>
      <c r="L31" s="99" t="e">
        <f>'July 7-14 - Second_old'!$K31/$K$2</f>
        <v>#DIV/0!</v>
      </c>
      <c r="M31" s="100"/>
    </row>
    <row r="32" spans="1:17" ht="26.25" x14ac:dyDescent="0.25">
      <c r="A32" s="104" t="s">
        <v>178</v>
      </c>
      <c r="B32" s="101" t="s">
        <v>180</v>
      </c>
      <c r="C32" s="60" t="s">
        <v>110</v>
      </c>
      <c r="D32" s="140">
        <v>0.05</v>
      </c>
      <c r="E32" s="139">
        <f>'July 7-14 - Second_old'!$D32*$C$2*$C$3</f>
        <v>1177348.7659500001</v>
      </c>
      <c r="F32" s="35">
        <f>INDEX('TWS data'!L:L,MATCH('July 7-14 - Second_old'!$C32,'TWS data'!C:C,0))</f>
        <v>0</v>
      </c>
      <c r="G32" s="61" t="e">
        <f>'July 7-14 - Second_old'!$E32/'July 7-14 - Second_old'!$F32</f>
        <v>#DIV/0!</v>
      </c>
      <c r="H32" s="33">
        <f>INDEX('TWS data'!F:F,MATCH('July 7-14 - Second_old'!$C32,'TWS data'!C:C,0))</f>
        <v>9</v>
      </c>
      <c r="I32" s="60">
        <v>5</v>
      </c>
      <c r="J32" s="37">
        <f t="shared" si="0"/>
        <v>-4</v>
      </c>
      <c r="K32" s="98">
        <f>'July 7-14 - Second_old'!$F32*'July 7-14 - Second_old'!$I32</f>
        <v>0</v>
      </c>
      <c r="L32" s="99" t="e">
        <f>'July 7-14 - Second_old'!$K32/$K$2</f>
        <v>#DIV/0!</v>
      </c>
      <c r="M32" s="103"/>
    </row>
    <row r="33" spans="1:17" ht="26.25" x14ac:dyDescent="0.25">
      <c r="A33" s="33" t="s">
        <v>178</v>
      </c>
      <c r="B33" s="141" t="s">
        <v>179</v>
      </c>
      <c r="C33" s="142" t="s">
        <v>106</v>
      </c>
      <c r="D33" s="143">
        <v>0.05</v>
      </c>
      <c r="E33" s="139">
        <f>'July 7-14 - Second_old'!$D33*$C$2*$C$3</f>
        <v>1177348.7659500001</v>
      </c>
      <c r="F33" s="35">
        <f>INDEX('TWS data'!L:L,MATCH('July 7-14 - Second_old'!$C33,'TWS data'!C:C,0))</f>
        <v>0</v>
      </c>
      <c r="G33" s="144" t="e">
        <f>'July 7-14 - Second_old'!$E33/'July 7-14 - Second_old'!$F33</f>
        <v>#DIV/0!</v>
      </c>
      <c r="H33" s="33">
        <f>INDEX('TWS data'!F:F,MATCH('July 7-14 - Second_old'!$C33,'TWS data'!C:C,0))</f>
        <v>12</v>
      </c>
      <c r="I33" s="142">
        <v>7</v>
      </c>
      <c r="J33" s="37">
        <f t="shared" si="0"/>
        <v>-5</v>
      </c>
      <c r="K33" s="98">
        <f>'July 7-14 - Second_old'!$F33*'July 7-14 - Second_old'!$I33</f>
        <v>0</v>
      </c>
      <c r="L33" s="110" t="e">
        <f>'July 7-14 - Second_old'!$K33/$K$2</f>
        <v>#DIV/0!</v>
      </c>
      <c r="M33" s="145"/>
    </row>
    <row r="34" spans="1:17" s="64" customFormat="1" ht="25.5" x14ac:dyDescent="0.2">
      <c r="A34" s="114"/>
      <c r="B34" s="114" t="s">
        <v>192</v>
      </c>
      <c r="C34" s="114" t="s">
        <v>132</v>
      </c>
      <c r="D34" s="115">
        <v>4.4443999999999997E-2</v>
      </c>
      <c r="E34" s="116">
        <f>'July 7-14 - Second_old'!$D34*$C$2*$C$3</f>
        <v>1046521.7710776359</v>
      </c>
      <c r="F34" s="35">
        <f>INDEX('TWS data'!L:L,MATCH('July 7-14 - Second_old'!$C34,'TWS data'!C:C,0))</f>
        <v>0</v>
      </c>
      <c r="G34" s="117" t="e">
        <f>'July 7-14 - Second_old'!$E34/'July 7-14 - Second_old'!$F34</f>
        <v>#DIV/0!</v>
      </c>
      <c r="H34" s="33">
        <f>INDEX('TWS data'!F:F,MATCH('July 7-14 - Second_old'!$C34,'TWS data'!C:C,0))</f>
        <v>0</v>
      </c>
      <c r="I34" s="114">
        <v>7</v>
      </c>
      <c r="J34" s="118">
        <f t="shared" si="0"/>
        <v>7</v>
      </c>
      <c r="K34" s="119">
        <f>'July 7-14 - Second_old'!$F34*'July 7-14 - Second_old'!$I34</f>
        <v>0</v>
      </c>
      <c r="L34" s="120" t="e">
        <f>'July 7-14 - Second_old'!$K34/$K$2</f>
        <v>#DIV/0!</v>
      </c>
      <c r="M34" s="121"/>
    </row>
    <row r="35" spans="1:17" s="15" customFormat="1" ht="25.5" x14ac:dyDescent="0.2">
      <c r="A35" s="47" t="s">
        <v>186</v>
      </c>
      <c r="B35" s="146" t="s">
        <v>185</v>
      </c>
      <c r="C35" s="147" t="s">
        <v>127</v>
      </c>
      <c r="D35" s="148">
        <v>0.05</v>
      </c>
      <c r="E35" s="125">
        <f>'July 7-14 - Second_old'!$D35*$C$2*$C$3</f>
        <v>1177348.7659500001</v>
      </c>
      <c r="F35" s="35">
        <f>INDEX('TWS data'!L:L,MATCH('July 7-14 - Second_old'!$C35,'TWS data'!C:C,0))</f>
        <v>0</v>
      </c>
      <c r="G35" s="149" t="e">
        <f>'July 7-14 - Second_old'!$E35/'July 7-14 - Second_old'!$F35</f>
        <v>#DIV/0!</v>
      </c>
      <c r="H35" s="33">
        <f>INDEX('TWS data'!F:F,MATCH('July 7-14 - Second_old'!$C35,'TWS data'!C:C,0))</f>
        <v>9</v>
      </c>
      <c r="I35" s="147">
        <v>5</v>
      </c>
      <c r="J35" s="127">
        <f t="shared" si="0"/>
        <v>-4</v>
      </c>
      <c r="K35" s="128">
        <f>'July 7-14 - Second_old'!$F35*'July 7-14 - Second_old'!$I35</f>
        <v>0</v>
      </c>
      <c r="L35" s="129" t="e">
        <f>'July 7-14 - Second_old'!$K35/$K$2</f>
        <v>#DIV/0!</v>
      </c>
      <c r="M35" s="150"/>
    </row>
    <row r="36" spans="1:17" s="64" customFormat="1" ht="25.5" x14ac:dyDescent="0.2">
      <c r="A36" s="114"/>
      <c r="B36" s="151" t="s">
        <v>183</v>
      </c>
      <c r="C36" s="151" t="s">
        <v>119</v>
      </c>
      <c r="D36" s="152">
        <v>0.05</v>
      </c>
      <c r="E36" s="116">
        <f>'July 7-14 - Second_old'!$D36*$C$2*$C$3</f>
        <v>1177348.7659500001</v>
      </c>
      <c r="F36" s="35">
        <f>INDEX('TWS data'!L:L,MATCH('July 7-14 - Second_old'!$C36,'TWS data'!C:C,0))</f>
        <v>0</v>
      </c>
      <c r="G36" s="153" t="e">
        <f>'July 7-14 - Second_old'!$E36/'July 7-14 - Second_old'!$F36</f>
        <v>#DIV/0!</v>
      </c>
      <c r="H36" s="33">
        <f>INDEX('TWS data'!F:F,MATCH('July 7-14 - Second_old'!$C36,'TWS data'!C:C,0))</f>
        <v>14</v>
      </c>
      <c r="I36" s="151">
        <v>8</v>
      </c>
      <c r="J36" s="118">
        <f t="shared" si="0"/>
        <v>-6</v>
      </c>
      <c r="K36" s="119">
        <f>'July 7-14 - Second_old'!$F36*'July 7-14 - Second_old'!$I36</f>
        <v>0</v>
      </c>
      <c r="L36" s="120" t="e">
        <f>'July 7-14 - Second_old'!$K36/$K$2</f>
        <v>#DIV/0!</v>
      </c>
      <c r="M36" s="154"/>
    </row>
    <row r="37" spans="1:17" s="41" customFormat="1" ht="25.5" customHeight="1" x14ac:dyDescent="0.2">
      <c r="A37" s="33" t="s">
        <v>187</v>
      </c>
      <c r="B37" s="155" t="s">
        <v>182</v>
      </c>
      <c r="C37" s="156" t="s">
        <v>116</v>
      </c>
      <c r="D37" s="157">
        <v>0.05</v>
      </c>
      <c r="E37" s="139">
        <f>'July 7-14 - Second_old'!$D37*$C$2*$C$3</f>
        <v>1177348.7659500001</v>
      </c>
      <c r="F37" s="35">
        <f>INDEX('TWS data'!L:L,MATCH('July 7-14 - Second_old'!$C37,'TWS data'!C:C,0))</f>
        <v>0</v>
      </c>
      <c r="G37" s="158" t="e">
        <f>'July 7-14 - Second_old'!$E37/'July 7-14 - Second_old'!$F37</f>
        <v>#DIV/0!</v>
      </c>
      <c r="H37" s="33">
        <f>INDEX('TWS data'!F:F,MATCH('July 7-14 - Second_old'!$C37,'TWS data'!C:C,0))</f>
        <v>15</v>
      </c>
      <c r="I37" s="156">
        <v>9</v>
      </c>
      <c r="J37" s="37">
        <f t="shared" si="0"/>
        <v>-6</v>
      </c>
      <c r="K37" s="98">
        <f>'July 7-14 - Second_old'!$F37*'July 7-14 - Second_old'!$I37</f>
        <v>0</v>
      </c>
      <c r="L37" s="159" t="e">
        <f>'July 7-14 - Second_old'!$K37/$K$2</f>
        <v>#DIV/0!</v>
      </c>
      <c r="M37" s="160"/>
      <c r="N37" s="2"/>
      <c r="Q37" s="42"/>
    </row>
    <row r="38" spans="1:17" s="41" customFormat="1" ht="25.5" customHeight="1" x14ac:dyDescent="0.2">
      <c r="A38" s="161"/>
      <c r="B38" s="91" t="s">
        <v>188</v>
      </c>
      <c r="C38" s="33" t="s">
        <v>73</v>
      </c>
      <c r="D38" s="34">
        <v>0.05</v>
      </c>
      <c r="E38" s="139">
        <f>'July 7-14 - Second_old'!$D38*$C$2*$C$3</f>
        <v>1177348.7659500001</v>
      </c>
      <c r="F38" s="35">
        <f>INDEX('TWS data'!L:L,MATCH('July 7-14 - Second_old'!$C38,'TWS data'!C:C,0))</f>
        <v>0</v>
      </c>
      <c r="G38" s="36" t="e">
        <f>'July 7-14 - Second_old'!$E38/'July 7-14 - Second_old'!$F38</f>
        <v>#DIV/0!</v>
      </c>
      <c r="H38" s="33">
        <f>INDEX('TWS data'!F:F,MATCH('July 7-14 - Second_old'!$C38,'TWS data'!C:C,0))</f>
        <v>16</v>
      </c>
      <c r="I38" s="33">
        <v>10</v>
      </c>
      <c r="J38" s="37">
        <f t="shared" si="0"/>
        <v>-6</v>
      </c>
      <c r="K38" s="98">
        <f>'July 7-14 - Second_old'!$F38*'July 7-14 - Second_old'!$I38</f>
        <v>0</v>
      </c>
      <c r="L38" s="99" t="e">
        <f>'July 7-14 - Second_old'!$K38/$K$2</f>
        <v>#DIV/0!</v>
      </c>
      <c r="M38" s="100"/>
      <c r="N38" s="2"/>
    </row>
    <row r="39" spans="1:17" s="41" customFormat="1" ht="25.5" customHeight="1" x14ac:dyDescent="0.2">
      <c r="A39" s="91"/>
      <c r="B39" s="91" t="s">
        <v>226</v>
      </c>
      <c r="C39" s="33" t="s">
        <v>227</v>
      </c>
      <c r="D39" s="34">
        <v>4.4443999999999997E-2</v>
      </c>
      <c r="E39" s="139">
        <f>'July 7-14 - Second_old'!$D39*$C$2*$C$3</f>
        <v>1046521.7710776359</v>
      </c>
      <c r="F39" s="35" t="e">
        <f>INDEX('TWS data'!L:L,MATCH('July 7-14 - Second_old'!$C39,'TWS data'!C:C,0))</f>
        <v>#N/A</v>
      </c>
      <c r="G39" s="36" t="e">
        <f>'July 7-14 - Second_old'!$E39/'July 7-14 - Second_old'!$F39</f>
        <v>#N/A</v>
      </c>
      <c r="H39" s="33" t="e">
        <f>INDEX('TWS data'!F:F,MATCH('July 7-14 - Second_old'!$C39,'TWS data'!C:C,0))</f>
        <v>#N/A</v>
      </c>
      <c r="I39" s="33">
        <v>4</v>
      </c>
      <c r="J39" s="37" t="e">
        <f t="shared" si="0"/>
        <v>#N/A</v>
      </c>
      <c r="K39" s="98" t="e">
        <f>'July 7-14 - Second_old'!$F39*'July 7-14 - Second_old'!$I39</f>
        <v>#N/A</v>
      </c>
      <c r="L39" s="99" t="e">
        <f>'July 7-14 - Second_old'!$K39/$K$2</f>
        <v>#N/A</v>
      </c>
      <c r="M39" s="100"/>
      <c r="N39" s="2"/>
    </row>
    <row r="40" spans="1:17" s="41" customFormat="1" ht="25.5" customHeight="1" x14ac:dyDescent="0.2">
      <c r="A40" s="91" t="s">
        <v>187</v>
      </c>
      <c r="B40" s="162" t="s">
        <v>32</v>
      </c>
      <c r="C40" s="47" t="s">
        <v>33</v>
      </c>
      <c r="D40" s="47">
        <v>0.05</v>
      </c>
      <c r="E40" s="163">
        <f>'July 7-14 - Second_old'!$D40*$C$2*$C$3</f>
        <v>1177348.7659500001</v>
      </c>
      <c r="F40" s="50">
        <f>INDEX('TWS data'!L:L,MATCH('July 7-14 - Second_old'!$C40,'TWS data'!C:C,0))</f>
        <v>0</v>
      </c>
      <c r="G40" s="70" t="e">
        <f>'July 7-14 - Second_old'!$E40/'July 7-14 - Second_old'!$F40</f>
        <v>#DIV/0!</v>
      </c>
      <c r="H40" s="47">
        <f>INDEX('TWS data'!F:F,MATCH('July 7-14 - Second_old'!$C40,'TWS data'!C:C,0))</f>
        <v>75099</v>
      </c>
      <c r="I40" s="47">
        <v>68016</v>
      </c>
      <c r="J40" s="59">
        <f t="shared" si="0"/>
        <v>-7083</v>
      </c>
      <c r="K40" s="164">
        <f>'July 7-14 - Second_old'!$F40*'July 7-14 - Second_old'!$I40</f>
        <v>0</v>
      </c>
      <c r="L40" s="165" t="e">
        <f>'July 7-14 - Second_old'!$K40/$K$2</f>
        <v>#DIV/0!</v>
      </c>
      <c r="M40" s="166"/>
      <c r="N40" s="2"/>
    </row>
    <row r="41" spans="1:17" s="41" customFormat="1" ht="25.5" customHeight="1" x14ac:dyDescent="0.2">
      <c r="A41" s="91" t="s">
        <v>187</v>
      </c>
      <c r="B41" s="92"/>
      <c r="C41" s="65"/>
      <c r="D41" s="72">
        <f>SUM(D14:D40)</f>
        <v>0.82610800000000018</v>
      </c>
      <c r="E41" s="167">
        <f>SUM(E14:E40)</f>
        <v>19452344.686828453</v>
      </c>
      <c r="F41" s="35"/>
      <c r="G41" s="70"/>
      <c r="H41" s="33"/>
      <c r="I41" s="65"/>
      <c r="J41" s="59"/>
      <c r="K41" s="168" t="e">
        <f>SUM(K14:K40)</f>
        <v>#N/A</v>
      </c>
      <c r="L41" s="96" t="e">
        <f>'July 7-14 - Second_old'!$K41/$K$2</f>
        <v>#N/A</v>
      </c>
      <c r="M41" s="164"/>
      <c r="N41" s="2"/>
    </row>
    <row r="42" spans="1:17" s="41" customFormat="1" ht="25.5" customHeight="1" x14ac:dyDescent="0.2">
      <c r="A42" s="91" t="s">
        <v>187</v>
      </c>
      <c r="B42" s="101" t="s">
        <v>228</v>
      </c>
      <c r="C42" s="60" t="s">
        <v>122</v>
      </c>
      <c r="D42" s="140">
        <v>4.4443999999999997E-2</v>
      </c>
      <c r="E42" s="139">
        <f>'July 7-14 - Second_old'!$D42*$C$2*$C$3</f>
        <v>1046521.7710776359</v>
      </c>
      <c r="F42" s="35">
        <f>INDEX('TWS data'!L:L,MATCH('July 7-14 - Second_old'!$C42,'TWS data'!C:C,0))</f>
        <v>0</v>
      </c>
      <c r="G42" s="61" t="e">
        <f>'July 7-14 - Second_old'!$E42/'July 7-14 - Second_old'!$F42</f>
        <v>#DIV/0!</v>
      </c>
      <c r="H42" s="33">
        <f>INDEX('TWS data'!F:F,MATCH('July 7-14 - Second_old'!$C42,'TWS data'!C:C,0))</f>
        <v>17</v>
      </c>
      <c r="I42" s="60">
        <v>3</v>
      </c>
      <c r="J42" s="37">
        <f>I42-H42</f>
        <v>-14</v>
      </c>
      <c r="K42" s="98">
        <f>'July 7-14 - Second_old'!$F42*'July 7-14 - Second_old'!$I42</f>
        <v>0</v>
      </c>
      <c r="L42" s="99" t="e">
        <f>'July 7-14 - Second_old'!$K42/$K$2</f>
        <v>#DIV/0!</v>
      </c>
      <c r="M42" s="103"/>
      <c r="N42" s="2"/>
    </row>
    <row r="43" spans="1:17" s="41" customFormat="1" ht="25.5" customHeight="1" x14ac:dyDescent="0.2">
      <c r="A43" s="91"/>
      <c r="B43" s="101" t="s">
        <v>181</v>
      </c>
      <c r="C43" s="60" t="s">
        <v>113</v>
      </c>
      <c r="D43" s="140">
        <v>0.05</v>
      </c>
      <c r="E43" s="139">
        <f>'July 7-14 - Second_old'!$D43*$C$2*$C$3</f>
        <v>1177348.7659500001</v>
      </c>
      <c r="F43" s="35">
        <f>INDEX('TWS data'!L:L,MATCH('July 7-14 - Second_old'!$C43,'TWS data'!C:C,0))</f>
        <v>0</v>
      </c>
      <c r="G43" s="61" t="e">
        <f>'July 7-14 - Second_old'!$E43/'July 7-14 - Second_old'!$F43</f>
        <v>#DIV/0!</v>
      </c>
      <c r="H43" s="33">
        <f>INDEX('TWS data'!F:F,MATCH('July 7-14 - Second_old'!$C43,'TWS data'!C:C,0))</f>
        <v>11</v>
      </c>
      <c r="I43" s="60">
        <v>7</v>
      </c>
      <c r="J43" s="37">
        <f>I43-H43</f>
        <v>-4</v>
      </c>
      <c r="K43" s="98">
        <f>'July 7-14 - Second_old'!$F43*'July 7-14 - Second_old'!$I43</f>
        <v>0</v>
      </c>
      <c r="L43" s="99" t="e">
        <f>'July 7-14 - Second_old'!$K43/$K$2</f>
        <v>#DIV/0!</v>
      </c>
      <c r="M43" s="103"/>
      <c r="N43" s="2"/>
    </row>
    <row r="44" spans="1:17" s="41" customFormat="1" ht="25.5" x14ac:dyDescent="0.2">
      <c r="A44" s="91"/>
      <c r="B44" s="91" t="s">
        <v>191</v>
      </c>
      <c r="C44" s="33" t="s">
        <v>136</v>
      </c>
      <c r="D44" s="34">
        <v>4.4443999999999997E-2</v>
      </c>
      <c r="E44" s="139">
        <f>'July 7-14 - Second_old'!$D44*$C$2*$C$3</f>
        <v>1046521.7710776359</v>
      </c>
      <c r="F44" s="35">
        <f>INDEX('TWS data'!L:L,MATCH('July 7-14 - Second_old'!$C44,'TWS data'!C:C,0))</f>
        <v>0</v>
      </c>
      <c r="G44" s="36" t="e">
        <f>'July 7-14 - Second_old'!$E44/'July 7-14 - Second_old'!$F44</f>
        <v>#DIV/0!</v>
      </c>
      <c r="H44" s="33">
        <f>INDEX('TWS data'!F:F,MATCH('July 7-14 - Second_old'!$C44,'TWS data'!C:C,0))</f>
        <v>0</v>
      </c>
      <c r="I44" s="33">
        <v>2</v>
      </c>
      <c r="J44" s="37">
        <f>I44-H44</f>
        <v>2</v>
      </c>
      <c r="K44" s="98">
        <f>'July 7-14 - Second_old'!$F44*'July 7-14 - Second_old'!$I44</f>
        <v>0</v>
      </c>
      <c r="L44" s="99" t="e">
        <f>'July 7-14 - Second_old'!$K44/$K$2</f>
        <v>#DIV/0!</v>
      </c>
      <c r="M44" s="100"/>
      <c r="N44" s="2"/>
    </row>
    <row r="45" spans="1:17" s="41" customFormat="1" ht="25.5" customHeight="1" x14ac:dyDescent="0.2">
      <c r="A45" s="91"/>
      <c r="B45" s="162"/>
      <c r="C45" s="47"/>
      <c r="D45" s="169">
        <f>SUM(D28:D40)</f>
        <v>0.61666399999999999</v>
      </c>
      <c r="E45" s="167">
        <f>SUM(E28:E40)</f>
        <v>14520571.988115815</v>
      </c>
      <c r="F45" s="51"/>
      <c r="G45" s="51"/>
      <c r="H45" s="170"/>
      <c r="I45" s="170"/>
      <c r="J45" s="52"/>
      <c r="K45" s="168" t="e">
        <f>SUM(K28:K43)</f>
        <v>#N/A</v>
      </c>
      <c r="L45" s="96" t="e">
        <f>'July 7-14 - Second_old'!$K45/$K$2</f>
        <v>#N/A</v>
      </c>
      <c r="M45" s="166"/>
      <c r="N45" s="2"/>
    </row>
    <row r="46" spans="1:17" s="41" customFormat="1" ht="25.5" customHeight="1" x14ac:dyDescent="0.2">
      <c r="A46" s="91"/>
      <c r="B46" s="92"/>
      <c r="C46" s="65"/>
      <c r="D46" s="171">
        <f>SUM(D38:D44)</f>
        <v>1.1094400000000002</v>
      </c>
      <c r="E46" s="172">
        <f>SUM(E38:E44)</f>
        <v>26123956.297911365</v>
      </c>
      <c r="F46" s="35"/>
      <c r="G46" s="67"/>
      <c r="H46" s="33"/>
      <c r="I46" s="65"/>
      <c r="J46" s="59"/>
      <c r="K46" s="173" t="e">
        <f>SUM(K38:K44)</f>
        <v>#N/A</v>
      </c>
      <c r="L46" s="174" t="e">
        <f>'July 7-14 - Second_old'!$K46/$K$2</f>
        <v>#N/A</v>
      </c>
      <c r="M46" s="175"/>
      <c r="N46" s="2"/>
    </row>
    <row r="47" spans="1:17" s="41" customFormat="1" ht="12.75" x14ac:dyDescent="0.2">
      <c r="A47" s="91" t="s">
        <v>187</v>
      </c>
      <c r="B47" s="162"/>
      <c r="C47" s="47"/>
      <c r="D47" s="72">
        <f>SUM(D27:D45)</f>
        <v>2.2427679999999999</v>
      </c>
      <c r="E47" s="167">
        <f>SUM(E27:E45)</f>
        <v>52810402.742242992</v>
      </c>
      <c r="F47" s="35"/>
      <c r="G47" s="70"/>
      <c r="H47" s="33"/>
      <c r="I47" s="47"/>
      <c r="J47" s="59"/>
      <c r="K47" s="168" t="e">
        <f>SUM(K27:K45)</f>
        <v>#N/A</v>
      </c>
      <c r="L47" s="174" t="e">
        <f>'July 7-14 - Second_old'!$K47/$K$2</f>
        <v>#N/A</v>
      </c>
      <c r="M47" s="166"/>
      <c r="N47" s="2"/>
    </row>
    <row r="48" spans="1:17" s="41" customFormat="1" ht="12.75" x14ac:dyDescent="0.2">
      <c r="A48" s="91" t="s">
        <v>187</v>
      </c>
      <c r="B48" s="91"/>
      <c r="C48" s="33"/>
      <c r="D48" s="34"/>
      <c r="E48" s="139"/>
      <c r="F48" s="35"/>
      <c r="G48" s="36"/>
      <c r="H48" s="33"/>
      <c r="I48" s="33"/>
      <c r="J48" s="37"/>
      <c r="K48" s="98"/>
      <c r="L48" s="99"/>
      <c r="M48" s="100"/>
      <c r="N48" s="2"/>
    </row>
    <row r="49" spans="1:18" s="41" customFormat="1" ht="12.75" x14ac:dyDescent="0.2">
      <c r="A49" s="91" t="s">
        <v>187</v>
      </c>
      <c r="B49" s="91"/>
      <c r="C49" s="33"/>
      <c r="D49" s="34"/>
      <c r="E49" s="139"/>
      <c r="F49" s="35"/>
      <c r="G49" s="36"/>
      <c r="H49" s="33"/>
      <c r="I49" s="33"/>
      <c r="J49" s="37"/>
      <c r="K49" s="98"/>
      <c r="L49" s="99"/>
      <c r="M49" s="100"/>
      <c r="N49" s="2"/>
    </row>
    <row r="50" spans="1:18" s="41" customFormat="1" ht="12.75" x14ac:dyDescent="0.2">
      <c r="A50" s="91" t="s">
        <v>187</v>
      </c>
      <c r="B50" s="91"/>
      <c r="C50" s="33"/>
      <c r="D50" s="34"/>
      <c r="E50" s="139"/>
      <c r="F50" s="35"/>
      <c r="G50" s="36"/>
      <c r="H50" s="33"/>
      <c r="I50" s="33"/>
      <c r="J50" s="37"/>
      <c r="K50" s="98"/>
      <c r="L50" s="99"/>
      <c r="M50" s="100"/>
      <c r="N50" s="2"/>
    </row>
    <row r="51" spans="1:18" s="41" customFormat="1" ht="12.75" x14ac:dyDescent="0.2">
      <c r="A51" s="91"/>
      <c r="B51" s="91"/>
      <c r="C51" s="33"/>
      <c r="D51" s="73"/>
      <c r="E51" s="139"/>
      <c r="F51" s="35"/>
      <c r="G51" s="36"/>
      <c r="H51" s="36"/>
      <c r="I51" s="33"/>
      <c r="J51" s="45"/>
      <c r="K51" s="176"/>
      <c r="L51" s="177"/>
      <c r="M51" s="178"/>
      <c r="N51" s="2"/>
    </row>
    <row r="52" spans="1:18" s="41" customFormat="1" ht="12.75" x14ac:dyDescent="0.2">
      <c r="A52" s="91" t="s">
        <v>187</v>
      </c>
      <c r="B52" s="91"/>
      <c r="C52" s="33"/>
      <c r="D52" s="73"/>
      <c r="E52" s="139"/>
      <c r="F52" s="35"/>
      <c r="G52" s="36"/>
      <c r="H52" s="36"/>
      <c r="I52" s="33"/>
      <c r="J52" s="45"/>
      <c r="K52" s="176"/>
      <c r="L52" s="177"/>
      <c r="M52" s="178"/>
      <c r="N52" s="2"/>
    </row>
    <row r="53" spans="1:18" s="41" customFormat="1" ht="12.75" x14ac:dyDescent="0.2">
      <c r="A53" s="91"/>
      <c r="B53" s="91"/>
      <c r="C53" s="33"/>
      <c r="D53" s="73"/>
      <c r="E53" s="139"/>
      <c r="F53" s="35"/>
      <c r="G53" s="36"/>
      <c r="H53" s="36"/>
      <c r="I53" s="33"/>
      <c r="J53" s="45"/>
      <c r="K53" s="98"/>
      <c r="L53" s="177"/>
      <c r="M53" s="178"/>
      <c r="N53" s="2"/>
    </row>
    <row r="54" spans="1:18" s="41" customFormat="1" ht="12.75" x14ac:dyDescent="0.2">
      <c r="A54" s="104"/>
      <c r="B54" s="91"/>
      <c r="C54" s="33"/>
      <c r="D54" s="73"/>
      <c r="E54" s="139"/>
      <c r="F54" s="35"/>
      <c r="G54" s="36"/>
      <c r="H54" s="36"/>
      <c r="I54" s="33"/>
      <c r="J54" s="45"/>
      <c r="K54" s="176"/>
      <c r="L54" s="177"/>
      <c r="M54" s="178"/>
      <c r="N54" s="2"/>
    </row>
    <row r="55" spans="1:18" s="41" customFormat="1" ht="12.75" x14ac:dyDescent="0.2">
      <c r="A55" s="33"/>
      <c r="B55" s="104"/>
      <c r="C55" s="105"/>
      <c r="D55" s="179"/>
      <c r="E55" s="139"/>
      <c r="F55" s="36"/>
      <c r="G55" s="112"/>
      <c r="H55" s="33"/>
      <c r="I55" s="105"/>
      <c r="J55" s="45"/>
      <c r="K55" s="176"/>
      <c r="L55" s="110"/>
      <c r="M55" s="180"/>
      <c r="N55" s="2"/>
    </row>
    <row r="56" spans="1:18" s="44" customFormat="1" ht="12.75" x14ac:dyDescent="0.2">
      <c r="A56" s="114"/>
      <c r="B56" s="114"/>
      <c r="C56" s="114"/>
      <c r="D56" s="181"/>
      <c r="E56" s="116"/>
      <c r="F56" s="35"/>
      <c r="G56" s="117"/>
      <c r="H56" s="33"/>
      <c r="I56" s="114"/>
      <c r="J56" s="182"/>
      <c r="K56" s="119"/>
      <c r="L56" s="120"/>
      <c r="M56" s="114"/>
      <c r="N56" s="64"/>
    </row>
    <row r="57" spans="1:18" s="54" customFormat="1" ht="12.75" x14ac:dyDescent="0.2">
      <c r="A57" s="47" t="s">
        <v>194</v>
      </c>
      <c r="B57" s="146"/>
      <c r="C57" s="147"/>
      <c r="D57" s="183"/>
      <c r="E57" s="184"/>
      <c r="F57" s="35"/>
      <c r="G57" s="149"/>
      <c r="H57" s="33"/>
      <c r="I57" s="147"/>
      <c r="J57" s="185"/>
      <c r="K57" s="125"/>
      <c r="L57" s="186"/>
      <c r="M57" s="150"/>
      <c r="N57" s="15"/>
    </row>
    <row r="58" spans="1:18" s="44" customFormat="1" ht="12.75" x14ac:dyDescent="0.2">
      <c r="A58" s="114"/>
      <c r="B58" s="151"/>
      <c r="C58" s="151"/>
      <c r="D58" s="187"/>
      <c r="E58" s="188"/>
      <c r="F58" s="35"/>
      <c r="G58" s="153"/>
      <c r="H58" s="33"/>
      <c r="I58" s="151"/>
      <c r="J58" s="182"/>
      <c r="K58" s="116"/>
      <c r="L58" s="120"/>
      <c r="M58" s="154"/>
      <c r="N58" s="64"/>
    </row>
    <row r="59" spans="1:18" s="41" customFormat="1" ht="12.75" x14ac:dyDescent="0.2">
      <c r="A59" s="33"/>
      <c r="B59" s="161"/>
      <c r="C59" s="189"/>
      <c r="D59" s="190"/>
      <c r="E59" s="139"/>
      <c r="F59" s="35"/>
      <c r="G59" s="191"/>
      <c r="H59" s="33"/>
      <c r="I59" s="189"/>
      <c r="J59" s="37"/>
      <c r="K59" s="98"/>
      <c r="L59" s="159"/>
      <c r="M59" s="192"/>
      <c r="N59" s="2"/>
    </row>
    <row r="60" spans="1:18" s="41" customFormat="1" ht="12.75" x14ac:dyDescent="0.2">
      <c r="A60" s="161" t="s">
        <v>195</v>
      </c>
      <c r="B60" s="91"/>
      <c r="C60" s="33"/>
      <c r="D60" s="34"/>
      <c r="E60" s="139"/>
      <c r="F60" s="35"/>
      <c r="G60" s="36"/>
      <c r="H60" s="33"/>
      <c r="I60" s="33"/>
      <c r="J60" s="37"/>
      <c r="K60" s="98"/>
      <c r="L60" s="99"/>
      <c r="M60" s="100"/>
      <c r="N60" s="2"/>
    </row>
    <row r="61" spans="1:18" s="41" customFormat="1" ht="12.75" x14ac:dyDescent="0.2">
      <c r="A61" s="91" t="s">
        <v>195</v>
      </c>
      <c r="B61" s="91"/>
      <c r="C61" s="33"/>
      <c r="D61" s="34"/>
      <c r="E61" s="139"/>
      <c r="F61" s="35"/>
      <c r="G61" s="36"/>
      <c r="H61" s="33"/>
      <c r="I61" s="33"/>
      <c r="J61" s="37"/>
      <c r="K61" s="98"/>
      <c r="L61" s="99"/>
      <c r="M61" s="100"/>
      <c r="N61" s="2"/>
      <c r="R61" s="41" t="s">
        <v>198</v>
      </c>
    </row>
    <row r="62" spans="1:18" s="41" customFormat="1" ht="12.75" x14ac:dyDescent="0.2">
      <c r="A62" s="91"/>
      <c r="B62" s="91"/>
      <c r="C62" s="33"/>
      <c r="D62" s="34"/>
      <c r="E62" s="139"/>
      <c r="F62" s="35"/>
      <c r="G62" s="36"/>
      <c r="H62" s="33"/>
      <c r="I62" s="33"/>
      <c r="J62" s="37"/>
      <c r="K62" s="98"/>
      <c r="L62" s="99"/>
      <c r="M62" s="100"/>
      <c r="N62" s="2"/>
    </row>
    <row r="63" spans="1:18" s="41" customFormat="1" ht="12.75" x14ac:dyDescent="0.2">
      <c r="A63" s="91"/>
      <c r="B63" s="91"/>
      <c r="C63" s="33"/>
      <c r="D63" s="34"/>
      <c r="E63" s="139"/>
      <c r="F63" s="35"/>
      <c r="G63" s="36"/>
      <c r="H63" s="33"/>
      <c r="I63" s="33"/>
      <c r="J63" s="37"/>
      <c r="K63" s="98"/>
      <c r="L63" s="99"/>
      <c r="M63" s="100"/>
      <c r="N63" s="2"/>
    </row>
    <row r="64" spans="1:18" s="41" customFormat="1" ht="12.75" x14ac:dyDescent="0.2">
      <c r="A64" s="91"/>
      <c r="B64" s="91"/>
      <c r="C64" s="33"/>
      <c r="D64" s="34"/>
      <c r="E64" s="139"/>
      <c r="F64" s="35"/>
      <c r="G64" s="36"/>
      <c r="H64" s="33"/>
      <c r="I64" s="33"/>
      <c r="J64" s="37"/>
      <c r="K64" s="98"/>
      <c r="L64" s="99"/>
      <c r="M64" s="100"/>
      <c r="N64" s="2"/>
    </row>
    <row r="65" spans="1:14" s="41" customFormat="1" ht="12.75" x14ac:dyDescent="0.2">
      <c r="A65" s="91"/>
      <c r="B65" s="91"/>
      <c r="C65" s="33"/>
      <c r="D65" s="34"/>
      <c r="E65" s="139"/>
      <c r="F65" s="35"/>
      <c r="G65" s="36"/>
      <c r="H65" s="33"/>
      <c r="I65" s="33"/>
      <c r="J65" s="37"/>
      <c r="K65" s="98"/>
      <c r="L65" s="99"/>
      <c r="M65" s="100"/>
      <c r="N65" s="2"/>
    </row>
    <row r="66" spans="1:14" s="41" customFormat="1" ht="12.75" x14ac:dyDescent="0.2">
      <c r="A66" s="91"/>
      <c r="B66" s="91"/>
      <c r="C66" s="33"/>
      <c r="D66" s="34"/>
      <c r="E66" s="139"/>
      <c r="F66" s="35"/>
      <c r="G66" s="36"/>
      <c r="H66" s="33"/>
      <c r="I66" s="33"/>
      <c r="J66" s="37"/>
      <c r="K66" s="98"/>
      <c r="L66" s="99"/>
      <c r="M66" s="100"/>
      <c r="N66" s="2"/>
    </row>
    <row r="67" spans="1:14" s="41" customFormat="1" ht="12.75" x14ac:dyDescent="0.2">
      <c r="A67" s="91"/>
      <c r="B67" s="91"/>
      <c r="C67" s="33"/>
      <c r="D67" s="34"/>
      <c r="E67" s="139"/>
      <c r="F67" s="35"/>
      <c r="G67" s="36"/>
      <c r="H67" s="33"/>
      <c r="I67" s="33"/>
      <c r="J67" s="37"/>
      <c r="K67" s="98"/>
      <c r="L67" s="99"/>
      <c r="M67" s="100"/>
      <c r="N67" s="2"/>
    </row>
    <row r="68" spans="1:14" s="41" customFormat="1" ht="12.75" x14ac:dyDescent="0.2">
      <c r="A68" s="91" t="s">
        <v>195</v>
      </c>
      <c r="B68" s="91"/>
      <c r="C68" s="33"/>
      <c r="D68" s="34"/>
      <c r="E68" s="139"/>
      <c r="F68" s="35"/>
      <c r="G68" s="36"/>
      <c r="H68" s="33"/>
      <c r="I68" s="33"/>
      <c r="J68" s="37"/>
      <c r="K68" s="98"/>
      <c r="L68" s="99"/>
      <c r="M68" s="100"/>
      <c r="N68" s="2"/>
    </row>
    <row r="69" spans="1:14" s="41" customFormat="1" ht="12.75" x14ac:dyDescent="0.2">
      <c r="A69" s="91" t="s">
        <v>195</v>
      </c>
      <c r="B69" s="91"/>
      <c r="C69" s="33"/>
      <c r="D69" s="73"/>
      <c r="E69" s="139"/>
      <c r="F69" s="35"/>
      <c r="G69" s="36"/>
      <c r="H69" s="33"/>
      <c r="I69" s="33"/>
      <c r="J69" s="45"/>
      <c r="K69" s="176"/>
      <c r="L69" s="99"/>
      <c r="M69" s="178"/>
      <c r="N69" s="2"/>
    </row>
    <row r="70" spans="1:14" s="41" customFormat="1" ht="12.75" x14ac:dyDescent="0.2">
      <c r="A70" s="91" t="s">
        <v>195</v>
      </c>
      <c r="B70" s="91"/>
      <c r="C70" s="33"/>
      <c r="D70" s="73"/>
      <c r="E70" s="139"/>
      <c r="F70" s="35"/>
      <c r="G70" s="36"/>
      <c r="H70" s="33"/>
      <c r="I70" s="33"/>
      <c r="J70" s="45"/>
      <c r="K70" s="176"/>
      <c r="L70" s="99"/>
      <c r="M70" s="178"/>
      <c r="N70" s="2"/>
    </row>
    <row r="71" spans="1:14" s="41" customFormat="1" ht="12.75" x14ac:dyDescent="0.2">
      <c r="A71" s="91" t="s">
        <v>195</v>
      </c>
      <c r="B71" s="91"/>
      <c r="C71" s="33"/>
      <c r="D71" s="34"/>
      <c r="E71" s="139"/>
      <c r="F71" s="35"/>
      <c r="G71" s="71"/>
      <c r="H71" s="33"/>
      <c r="I71" s="33"/>
      <c r="J71" s="37"/>
      <c r="K71" s="98"/>
      <c r="L71" s="99"/>
      <c r="M71" s="100"/>
      <c r="N71" s="2"/>
    </row>
    <row r="72" spans="1:14" s="41" customFormat="1" ht="12.75" x14ac:dyDescent="0.2">
      <c r="A72" s="91"/>
      <c r="B72" s="91"/>
      <c r="C72" s="33"/>
      <c r="D72" s="34"/>
      <c r="E72" s="139"/>
      <c r="F72" s="35"/>
      <c r="G72" s="71"/>
      <c r="H72" s="33"/>
      <c r="I72" s="33"/>
      <c r="J72" s="37"/>
      <c r="K72" s="98"/>
      <c r="L72" s="99"/>
      <c r="M72" s="100"/>
      <c r="N72" s="2"/>
    </row>
    <row r="73" spans="1:14" s="41" customFormat="1" ht="12.75" x14ac:dyDescent="0.2">
      <c r="A73" s="91" t="s">
        <v>195</v>
      </c>
      <c r="B73" s="91"/>
      <c r="C73" s="33"/>
      <c r="D73" s="34"/>
      <c r="E73" s="139"/>
      <c r="F73" s="35"/>
      <c r="G73" s="71"/>
      <c r="H73" s="33"/>
      <c r="I73" s="33"/>
      <c r="J73" s="37"/>
      <c r="K73" s="98"/>
      <c r="L73" s="99"/>
      <c r="M73" s="100"/>
      <c r="N73" s="2"/>
    </row>
    <row r="74" spans="1:14" s="41" customFormat="1" ht="12.75" x14ac:dyDescent="0.2">
      <c r="A74" s="91"/>
      <c r="B74" s="91"/>
      <c r="C74" s="33"/>
      <c r="D74" s="34"/>
      <c r="E74" s="139"/>
      <c r="F74" s="35"/>
      <c r="G74" s="71"/>
      <c r="H74" s="33"/>
      <c r="I74" s="33"/>
      <c r="J74" s="37"/>
      <c r="K74" s="98"/>
      <c r="L74" s="99"/>
      <c r="M74" s="100"/>
      <c r="N74" s="2"/>
    </row>
    <row r="75" spans="1:14" s="41" customFormat="1" ht="12.75" x14ac:dyDescent="0.2">
      <c r="A75" s="91" t="s">
        <v>195</v>
      </c>
      <c r="B75" s="91"/>
      <c r="C75" s="33"/>
      <c r="D75" s="34"/>
      <c r="E75" s="139"/>
      <c r="F75" s="35"/>
      <c r="G75" s="71"/>
      <c r="H75" s="33"/>
      <c r="I75" s="33"/>
      <c r="J75" s="37"/>
      <c r="K75" s="98"/>
      <c r="L75" s="99"/>
      <c r="M75" s="100"/>
      <c r="N75" s="2"/>
    </row>
    <row r="76" spans="1:14" x14ac:dyDescent="0.25">
      <c r="A76" s="91"/>
      <c r="B76" s="91"/>
      <c r="C76" s="33"/>
      <c r="D76" s="34"/>
      <c r="E76" s="139"/>
      <c r="F76" s="35"/>
      <c r="G76" s="71"/>
      <c r="H76" s="33"/>
      <c r="I76" s="33"/>
      <c r="J76" s="37"/>
      <c r="K76" s="98"/>
      <c r="L76" s="99"/>
      <c r="M76" s="100"/>
    </row>
    <row r="77" spans="1:14" x14ac:dyDescent="0.25">
      <c r="A77" s="91" t="s">
        <v>195</v>
      </c>
      <c r="B77" s="91"/>
      <c r="C77" s="33"/>
      <c r="D77" s="34"/>
      <c r="E77" s="139"/>
      <c r="F77" s="35"/>
      <c r="G77" s="71"/>
      <c r="H77" s="33"/>
      <c r="I77" s="33"/>
      <c r="J77" s="37"/>
      <c r="K77" s="98"/>
      <c r="L77" s="99"/>
      <c r="M77" s="100"/>
    </row>
    <row r="78" spans="1:14" s="41" customFormat="1" ht="12.75" x14ac:dyDescent="0.2">
      <c r="A78" s="91" t="s">
        <v>195</v>
      </c>
      <c r="B78" s="91"/>
      <c r="C78" s="33"/>
      <c r="D78" s="34"/>
      <c r="E78" s="139"/>
      <c r="F78" s="35"/>
      <c r="G78" s="71"/>
      <c r="H78" s="33"/>
      <c r="I78" s="33"/>
      <c r="J78" s="37"/>
      <c r="K78" s="98"/>
      <c r="L78" s="99"/>
      <c r="M78" s="100"/>
      <c r="N78" s="2"/>
    </row>
    <row r="79" spans="1:14" s="41" customFormat="1" ht="12.75" x14ac:dyDescent="0.2">
      <c r="A79" s="91"/>
      <c r="B79" s="91"/>
      <c r="C79" s="33"/>
      <c r="D79" s="34"/>
      <c r="E79" s="139"/>
      <c r="F79" s="35"/>
      <c r="G79" s="71"/>
      <c r="H79" s="33"/>
      <c r="I79" s="33"/>
      <c r="J79" s="37"/>
      <c r="K79" s="98"/>
      <c r="L79" s="99"/>
      <c r="M79" s="100"/>
      <c r="N79" s="2"/>
    </row>
    <row r="80" spans="1:14" s="41" customFormat="1" ht="12.75" x14ac:dyDescent="0.2">
      <c r="A80" s="91"/>
      <c r="B80" s="101"/>
      <c r="C80" s="60"/>
      <c r="D80" s="34"/>
      <c r="E80" s="139"/>
      <c r="F80" s="35"/>
      <c r="G80" s="71"/>
      <c r="H80" s="33"/>
      <c r="I80" s="60"/>
      <c r="J80" s="37"/>
      <c r="K80" s="98"/>
      <c r="L80" s="99"/>
      <c r="M80" s="103"/>
      <c r="N80" s="2"/>
    </row>
    <row r="81" spans="1:14" s="41" customFormat="1" ht="12.75" x14ac:dyDescent="0.2">
      <c r="A81" s="91"/>
      <c r="B81" s="91"/>
      <c r="C81" s="33"/>
      <c r="D81" s="34"/>
      <c r="E81" s="139"/>
      <c r="F81" s="35"/>
      <c r="G81" s="36"/>
      <c r="H81" s="33"/>
      <c r="I81" s="33"/>
      <c r="J81" s="37"/>
      <c r="K81" s="98"/>
      <c r="L81" s="99"/>
      <c r="M81" s="100"/>
      <c r="N81" s="2"/>
    </row>
    <row r="82" spans="1:14" s="41" customFormat="1" ht="12.75" x14ac:dyDescent="0.2">
      <c r="A82" s="91"/>
      <c r="B82" s="91"/>
      <c r="C82" s="33"/>
      <c r="D82" s="34"/>
      <c r="E82" s="139"/>
      <c r="F82" s="35"/>
      <c r="G82" s="36"/>
      <c r="H82" s="33"/>
      <c r="I82" s="33"/>
      <c r="J82" s="37"/>
      <c r="K82" s="98"/>
      <c r="L82" s="99"/>
      <c r="M82" s="100"/>
      <c r="N82" s="2"/>
    </row>
    <row r="83" spans="1:14" s="41" customFormat="1" ht="12.75" x14ac:dyDescent="0.2">
      <c r="A83" s="91"/>
      <c r="B83" s="91"/>
      <c r="C83" s="33"/>
      <c r="D83" s="34"/>
      <c r="E83" s="139"/>
      <c r="F83" s="35"/>
      <c r="G83" s="36"/>
      <c r="H83" s="33"/>
      <c r="I83" s="33"/>
      <c r="J83" s="37"/>
      <c r="K83" s="98"/>
      <c r="L83" s="99"/>
      <c r="M83" s="100"/>
      <c r="N83" s="2"/>
    </row>
    <row r="84" spans="1:14" s="41" customFormat="1" ht="12.75" x14ac:dyDescent="0.2">
      <c r="A84" s="91"/>
      <c r="B84" s="91"/>
      <c r="C84" s="33"/>
      <c r="D84" s="34"/>
      <c r="E84" s="139"/>
      <c r="F84" s="35"/>
      <c r="G84" s="36"/>
      <c r="H84" s="33"/>
      <c r="I84" s="33"/>
      <c r="J84" s="37"/>
      <c r="K84" s="98"/>
      <c r="L84" s="99"/>
      <c r="M84" s="100"/>
      <c r="N84" s="2"/>
    </row>
    <row r="85" spans="1:14" s="41" customFormat="1" ht="12.75" x14ac:dyDescent="0.2">
      <c r="A85" s="91"/>
      <c r="B85" s="91"/>
      <c r="C85" s="33"/>
      <c r="D85" s="34"/>
      <c r="E85" s="139"/>
      <c r="F85" s="35"/>
      <c r="G85" s="36"/>
      <c r="H85" s="33"/>
      <c r="I85" s="33"/>
      <c r="J85" s="37">
        <f>COUNTIF(J9:J80,"&gt;0")</f>
        <v>9</v>
      </c>
      <c r="K85" s="98"/>
      <c r="L85" s="99"/>
      <c r="M85" s="100"/>
      <c r="N85" s="2"/>
    </row>
    <row r="86" spans="1:14" s="15" customFormat="1" ht="12.75" x14ac:dyDescent="0.2">
      <c r="A86" s="47" t="s">
        <v>206</v>
      </c>
      <c r="B86" s="122"/>
      <c r="C86" s="123"/>
      <c r="D86" s="124"/>
      <c r="E86" s="125"/>
      <c r="F86" s="35"/>
      <c r="G86" s="126"/>
      <c r="H86" s="33"/>
      <c r="I86" s="123"/>
      <c r="J86" s="127"/>
      <c r="K86" s="128"/>
      <c r="L86" s="129"/>
      <c r="M86" s="130"/>
    </row>
    <row r="87" spans="1:14" x14ac:dyDescent="0.25">
      <c r="A87" s="114"/>
      <c r="B87" s="114"/>
      <c r="C87" s="114"/>
      <c r="D87" s="115"/>
      <c r="E87" s="116"/>
      <c r="F87" s="35"/>
      <c r="G87" s="117"/>
      <c r="H87" s="33"/>
      <c r="I87" s="114"/>
      <c r="J87" s="118"/>
      <c r="K87" s="119"/>
      <c r="L87" s="120"/>
      <c r="M87" s="121"/>
    </row>
    <row r="88" spans="1:14" s="41" customFormat="1" ht="12.75" x14ac:dyDescent="0.2">
      <c r="A88" s="104"/>
      <c r="B88" s="101"/>
      <c r="C88" s="60"/>
      <c r="D88" s="73"/>
      <c r="E88" s="35"/>
      <c r="F88" s="35"/>
      <c r="G88" s="36"/>
      <c r="H88" s="33"/>
      <c r="I88" s="60"/>
      <c r="J88" s="45"/>
      <c r="K88" s="176"/>
      <c r="L88" s="99"/>
      <c r="M88" s="103"/>
      <c r="N88" s="2"/>
    </row>
    <row r="89" spans="1:14" x14ac:dyDescent="0.25">
      <c r="A89" s="91"/>
      <c r="B89" s="104"/>
      <c r="C89" s="105"/>
      <c r="D89" s="106"/>
      <c r="E89" s="193"/>
      <c r="F89" s="35"/>
      <c r="G89" s="108"/>
      <c r="H89" s="33"/>
      <c r="I89" s="105"/>
      <c r="J89" s="37"/>
      <c r="K89" s="98"/>
      <c r="L89" s="110"/>
      <c r="M89" s="111"/>
    </row>
    <row r="90" spans="1:14" s="64" customFormat="1" ht="12.75" x14ac:dyDescent="0.2">
      <c r="A90" s="194"/>
      <c r="B90" s="151"/>
      <c r="C90" s="151"/>
      <c r="D90" s="115"/>
      <c r="E90" s="151"/>
      <c r="F90" s="116"/>
      <c r="G90" s="153"/>
      <c r="H90" s="114"/>
      <c r="I90" s="151"/>
      <c r="J90" s="118"/>
      <c r="K90" s="119"/>
      <c r="L90" s="120"/>
      <c r="M90" s="154"/>
    </row>
    <row r="91" spans="1:14" s="15" customFormat="1" ht="12.75" x14ac:dyDescent="0.2">
      <c r="A91" s="47" t="s">
        <v>229</v>
      </c>
      <c r="B91" s="146"/>
      <c r="C91" s="147"/>
      <c r="D91" s="195"/>
      <c r="E91" s="147"/>
      <c r="F91" s="146"/>
      <c r="G91" s="149"/>
      <c r="H91" s="196"/>
      <c r="I91" s="147"/>
      <c r="J91" s="197"/>
      <c r="K91" s="133"/>
      <c r="L91" s="186"/>
      <c r="M91" s="198"/>
    </row>
    <row r="92" spans="1:14" s="64" customFormat="1" ht="12.75" x14ac:dyDescent="0.2">
      <c r="A92" s="114"/>
      <c r="B92" s="151"/>
      <c r="C92" s="151"/>
      <c r="D92" s="187"/>
      <c r="E92" s="188"/>
      <c r="F92" s="188"/>
      <c r="G92" s="153"/>
      <c r="H92" s="151"/>
      <c r="I92" s="151"/>
      <c r="J92" s="182"/>
      <c r="K92" s="116"/>
      <c r="L92" s="120"/>
      <c r="M92" s="154"/>
    </row>
    <row r="93" spans="1:14" x14ac:dyDescent="0.25">
      <c r="A93" s="33"/>
      <c r="B93" s="155"/>
      <c r="C93" s="156"/>
      <c r="D93" s="199"/>
      <c r="E93" s="200"/>
      <c r="F93" s="200"/>
      <c r="G93" s="158"/>
      <c r="H93" s="156"/>
      <c r="I93" s="156"/>
      <c r="J93" s="201"/>
      <c r="K93" s="202"/>
      <c r="L93" s="159"/>
      <c r="M93" s="160"/>
    </row>
    <row r="94" spans="1:14" x14ac:dyDescent="0.25">
      <c r="A94" s="194" t="s">
        <v>207</v>
      </c>
      <c r="B94" s="203"/>
      <c r="C94" s="62"/>
      <c r="D94" s="76">
        <f>SUM(D86,D57,D35,D23,D25)</f>
        <v>0.08</v>
      </c>
      <c r="E94" s="62"/>
      <c r="F94" s="62"/>
      <c r="G94" s="78"/>
      <c r="H94" s="62"/>
      <c r="I94" s="62"/>
      <c r="J94" s="204"/>
      <c r="K94" s="205"/>
      <c r="L94" s="99"/>
      <c r="M94" s="103"/>
    </row>
    <row r="95" spans="1:14" x14ac:dyDescent="0.25">
      <c r="A95" s="203"/>
      <c r="B95" s="203"/>
      <c r="C95" s="62"/>
      <c r="D95" s="76"/>
      <c r="E95" s="62"/>
      <c r="F95" s="62"/>
      <c r="G95" s="78"/>
      <c r="H95" s="62"/>
      <c r="I95" s="62"/>
      <c r="J95" s="204"/>
      <c r="K95" s="205"/>
      <c r="L95" s="99"/>
      <c r="M95" s="103"/>
    </row>
    <row r="96" spans="1:14" x14ac:dyDescent="0.25">
      <c r="A96" s="203"/>
      <c r="B96" s="203"/>
      <c r="C96" s="62"/>
      <c r="D96" s="76"/>
      <c r="E96" s="62"/>
      <c r="F96" s="62"/>
      <c r="G96" s="78"/>
      <c r="H96" s="62"/>
      <c r="I96" s="62"/>
      <c r="J96" s="204"/>
      <c r="K96" s="205"/>
      <c r="L96" s="99"/>
      <c r="M96" s="103"/>
    </row>
    <row r="97" spans="1:13" x14ac:dyDescent="0.25">
      <c r="A97" s="203"/>
      <c r="B97" s="203"/>
      <c r="C97" s="62"/>
      <c r="D97" s="76"/>
      <c r="E97" s="62"/>
      <c r="F97" s="62"/>
      <c r="G97" s="78"/>
      <c r="H97" s="62"/>
      <c r="I97" s="62"/>
      <c r="J97" s="204"/>
      <c r="K97" s="205"/>
      <c r="L97" s="99"/>
      <c r="M97" s="103"/>
    </row>
    <row r="98" spans="1:13" x14ac:dyDescent="0.25">
      <c r="A98" s="203"/>
      <c r="B98" s="203"/>
      <c r="C98" s="62"/>
      <c r="D98" s="76"/>
      <c r="E98" s="62"/>
      <c r="F98" s="62"/>
      <c r="G98" s="78"/>
      <c r="H98" s="62"/>
      <c r="I98" s="62"/>
      <c r="J98" s="204"/>
      <c r="K98" s="205"/>
      <c r="L98" s="99"/>
      <c r="M98" s="103"/>
    </row>
    <row r="99" spans="1:13" x14ac:dyDescent="0.25">
      <c r="A99" s="203"/>
      <c r="B99" s="203"/>
      <c r="C99" s="62"/>
      <c r="D99" s="76"/>
      <c r="E99" s="62"/>
      <c r="F99" s="62"/>
      <c r="G99" s="78"/>
      <c r="H99" s="62"/>
      <c r="I99" s="62"/>
      <c r="J99" s="204"/>
      <c r="K99" s="205"/>
      <c r="L99" s="99"/>
      <c r="M99" s="103"/>
    </row>
    <row r="100" spans="1:13" x14ac:dyDescent="0.25">
      <c r="A100" s="203"/>
      <c r="B100" s="203"/>
      <c r="C100" s="62"/>
      <c r="D100" s="76"/>
      <c r="E100" s="62"/>
      <c r="F100" s="62"/>
      <c r="G100" s="78"/>
      <c r="H100" s="62"/>
      <c r="I100" s="62"/>
      <c r="J100" s="204"/>
      <c r="K100" s="205"/>
      <c r="L100" s="99"/>
      <c r="M100" s="103"/>
    </row>
    <row r="101" spans="1:13" x14ac:dyDescent="0.25">
      <c r="A101" s="203"/>
      <c r="B101" s="203"/>
      <c r="C101" s="62"/>
      <c r="D101" s="76"/>
      <c r="E101" s="62"/>
      <c r="F101" s="62"/>
      <c r="G101" s="78"/>
      <c r="H101" s="62"/>
      <c r="I101" s="62"/>
      <c r="J101" s="204"/>
      <c r="K101" s="205"/>
      <c r="L101" s="99"/>
      <c r="M101" s="103"/>
    </row>
    <row r="102" spans="1:13" x14ac:dyDescent="0.25">
      <c r="A102" s="203"/>
      <c r="B102" s="203"/>
      <c r="C102" s="62"/>
      <c r="D102" s="76"/>
      <c r="E102" s="62"/>
      <c r="F102" s="62"/>
      <c r="G102" s="78"/>
      <c r="H102" s="62"/>
      <c r="I102" s="62"/>
      <c r="J102" s="204"/>
      <c r="K102" s="205"/>
      <c r="L102" s="99"/>
      <c r="M102" s="103"/>
    </row>
    <row r="103" spans="1:13" x14ac:dyDescent="0.25">
      <c r="A103" s="206"/>
      <c r="B103" s="206"/>
      <c r="C103" s="207"/>
      <c r="D103" s="208"/>
      <c r="E103" s="207"/>
      <c r="F103" s="207"/>
      <c r="G103" s="209"/>
      <c r="H103" s="207"/>
      <c r="I103" s="207"/>
      <c r="J103" s="210"/>
      <c r="K103" s="211"/>
      <c r="L103" s="99"/>
      <c r="M103" s="145"/>
    </row>
    <row r="104" spans="1:13" s="2" customFormat="1" ht="12.75" x14ac:dyDescent="0.2">
      <c r="J104" s="212"/>
    </row>
    <row r="105" spans="1:13" s="2" customFormat="1" ht="12.75" x14ac:dyDescent="0.2">
      <c r="J105" s="212"/>
    </row>
    <row r="107" spans="1:13" s="2" customFormat="1" ht="12.75" x14ac:dyDescent="0.2">
      <c r="A107" s="79"/>
      <c r="B107" s="79"/>
      <c r="E107" s="79"/>
      <c r="F107" s="79"/>
      <c r="G107" s="79"/>
      <c r="H107" s="80"/>
      <c r="J107" s="212"/>
      <c r="M107" s="79"/>
    </row>
    <row r="108" spans="1:13" s="2" customFormat="1" ht="12.75" x14ac:dyDescent="0.2">
      <c r="A108" s="79"/>
      <c r="B108" s="79"/>
      <c r="E108" s="79"/>
      <c r="F108" s="79"/>
      <c r="G108" s="79"/>
      <c r="H108" s="80"/>
      <c r="J108" s="212"/>
      <c r="M108" s="79"/>
    </row>
    <row r="109" spans="1:13" s="2" customFormat="1" ht="12.75" x14ac:dyDescent="0.2">
      <c r="A109" s="81"/>
      <c r="B109" s="81"/>
      <c r="J109" s="212"/>
    </row>
    <row r="110" spans="1:13" s="2" customFormat="1" ht="12.75" x14ac:dyDescent="0.2">
      <c r="A110" s="82"/>
      <c r="B110" s="82"/>
      <c r="E110" s="82"/>
      <c r="F110" s="81"/>
      <c r="G110" s="81"/>
      <c r="J110" s="212"/>
      <c r="M110" s="83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5"/>
  <sheetViews>
    <sheetView topLeftCell="C1" zoomScaleNormal="100" workbookViewId="0">
      <selection activeCell="P7" sqref="P7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4" width="10.5703125" style="2" customWidth="1"/>
    <col min="15" max="15" width="13" style="2" customWidth="1"/>
    <col min="16" max="16" width="14.7109375" style="2" bestFit="1" customWidth="1"/>
    <col min="17" max="18" width="10.85546875" style="2" customWidth="1"/>
    <col min="19" max="19" width="11.28515625" style="2" customWidth="1"/>
    <col min="20" max="1024" width="9.140625" style="2"/>
  </cols>
  <sheetData>
    <row r="1" spans="1:19" s="2" customFormat="1" ht="25.5" x14ac:dyDescent="0.2">
      <c r="A1" s="3"/>
      <c r="B1" s="3" t="s">
        <v>137</v>
      </c>
      <c r="C1" s="4">
        <v>44050</v>
      </c>
      <c r="D1" s="5"/>
      <c r="E1" s="6" t="s">
        <v>138</v>
      </c>
      <c r="F1" s="7"/>
      <c r="G1" s="8"/>
      <c r="K1" s="9" t="s">
        <v>139</v>
      </c>
      <c r="L1" s="9" t="s">
        <v>140</v>
      </c>
      <c r="M1" s="10" t="s">
        <v>141</v>
      </c>
    </row>
    <row r="2" spans="1:19" x14ac:dyDescent="0.25">
      <c r="A2" s="3"/>
      <c r="B2" s="3" t="s">
        <v>142</v>
      </c>
      <c r="C2" s="11">
        <v>9.5500000000000007</v>
      </c>
      <c r="D2" s="12"/>
      <c r="E2" s="13">
        <f>SUM(E23,E35,E46,E66,E25)</f>
        <v>81380635.475257441</v>
      </c>
      <c r="F2" s="14"/>
      <c r="G2" s="15"/>
      <c r="H2" s="12"/>
      <c r="I2" s="12"/>
      <c r="J2" s="12"/>
      <c r="K2" s="13">
        <f>SUM(K23,K35,K46,K66,K25)</f>
        <v>81015612.088648722</v>
      </c>
      <c r="L2" s="16">
        <f>SUM(L46,L66,L35,L23,L25)</f>
        <v>0.99999999999999989</v>
      </c>
      <c r="M2" s="17">
        <f>K2/$C$6</f>
        <v>9.5071075414157082</v>
      </c>
      <c r="P2" s="18"/>
    </row>
    <row r="3" spans="1:19" ht="26.25" x14ac:dyDescent="0.25">
      <c r="A3" s="3"/>
      <c r="B3" s="3" t="s">
        <v>143</v>
      </c>
      <c r="C3" s="19">
        <v>8521583.6400000006</v>
      </c>
      <c r="D3" s="20"/>
      <c r="E3" s="6" t="s">
        <v>144</v>
      </c>
      <c r="F3" s="14"/>
      <c r="G3" s="15"/>
      <c r="H3" s="12"/>
      <c r="I3" s="12"/>
      <c r="J3" s="12"/>
      <c r="K3" s="9" t="s">
        <v>139</v>
      </c>
      <c r="L3" s="12"/>
      <c r="M3" s="10" t="s">
        <v>145</v>
      </c>
      <c r="P3" s="21"/>
    </row>
    <row r="4" spans="1:19" x14ac:dyDescent="0.25">
      <c r="A4" s="3"/>
      <c r="B4" s="3" t="s">
        <v>146</v>
      </c>
      <c r="C4" s="19">
        <v>0</v>
      </c>
      <c r="D4" s="20"/>
      <c r="E4" s="13">
        <f>SUM(E23,E66,E25)</f>
        <v>14241289.752731191</v>
      </c>
      <c r="F4" s="14"/>
      <c r="G4" s="15"/>
      <c r="H4" s="12"/>
      <c r="I4" s="12"/>
      <c r="J4" s="12"/>
      <c r="K4" s="13">
        <f>SUM(K23,K25,K66)</f>
        <v>14290080.114549207</v>
      </c>
      <c r="L4" s="12"/>
      <c r="M4" s="17">
        <f>K4/$C$6</f>
        <v>1.6769277540705105</v>
      </c>
      <c r="P4" s="21"/>
    </row>
    <row r="5" spans="1:19" x14ac:dyDescent="0.25">
      <c r="A5" s="3"/>
      <c r="B5" s="3" t="s">
        <v>147</v>
      </c>
      <c r="C5" s="19">
        <v>0</v>
      </c>
      <c r="D5" s="20"/>
      <c r="E5" s="14"/>
      <c r="F5" s="14"/>
      <c r="G5" s="15"/>
      <c r="H5" s="12"/>
      <c r="I5" s="12"/>
      <c r="J5" s="12"/>
      <c r="K5" s="12"/>
      <c r="L5" s="12"/>
      <c r="M5" s="12"/>
      <c r="P5" s="21"/>
    </row>
    <row r="6" spans="1:19" x14ac:dyDescent="0.25">
      <c r="A6" s="3"/>
      <c r="B6" s="3" t="s">
        <v>148</v>
      </c>
      <c r="C6" s="19">
        <f>C3+C4-C5</f>
        <v>8521583.6400000006</v>
      </c>
      <c r="D6" s="20"/>
      <c r="E6" s="14"/>
      <c r="F6" s="14"/>
      <c r="G6" s="15"/>
      <c r="H6" s="12"/>
      <c r="I6" s="12"/>
      <c r="J6" s="12"/>
      <c r="K6" s="12"/>
      <c r="L6" s="12"/>
      <c r="M6" s="12"/>
      <c r="P6" s="21"/>
    </row>
    <row r="7" spans="1:19" x14ac:dyDescent="0.25">
      <c r="A7" s="22"/>
      <c r="B7" s="23"/>
      <c r="C7" s="23"/>
      <c r="D7" s="24"/>
      <c r="E7" s="25"/>
      <c r="F7" s="25"/>
      <c r="G7" s="25"/>
      <c r="H7" s="26"/>
      <c r="I7" s="26"/>
      <c r="J7" s="26"/>
      <c r="K7" s="12"/>
      <c r="L7" s="12"/>
      <c r="M7" s="12"/>
      <c r="P7" s="219">
        <f>SUM(P9:P65)</f>
        <v>10544044.140449643</v>
      </c>
    </row>
    <row r="8" spans="1:19" s="30" customFormat="1" ht="38.25" x14ac:dyDescent="0.2">
      <c r="A8" s="27" t="s">
        <v>149</v>
      </c>
      <c r="B8" s="27" t="s">
        <v>150</v>
      </c>
      <c r="C8" s="28" t="s">
        <v>1</v>
      </c>
      <c r="D8" s="28" t="s">
        <v>151</v>
      </c>
      <c r="E8" s="28" t="s">
        <v>152</v>
      </c>
      <c r="F8" s="28" t="s">
        <v>153</v>
      </c>
      <c r="G8" s="28" t="s">
        <v>154</v>
      </c>
      <c r="H8" s="28" t="s">
        <v>155</v>
      </c>
      <c r="I8" s="28" t="s">
        <v>156</v>
      </c>
      <c r="J8" s="28" t="s">
        <v>157</v>
      </c>
      <c r="K8" s="29" t="s">
        <v>158</v>
      </c>
      <c r="L8" s="29" t="s">
        <v>159</v>
      </c>
      <c r="M8" s="29" t="s">
        <v>160</v>
      </c>
      <c r="P8" s="31"/>
      <c r="S8" s="32"/>
    </row>
    <row r="9" spans="1:19" s="41" customFormat="1" ht="12.75" x14ac:dyDescent="0.2">
      <c r="A9" s="33" t="s">
        <v>161</v>
      </c>
      <c r="B9" s="33" t="s">
        <v>41</v>
      </c>
      <c r="C9" s="33" t="s">
        <v>42</v>
      </c>
      <c r="D9" s="34">
        <v>9.6150000000000003E-3</v>
      </c>
      <c r="E9" s="35">
        <f>'Aug 7'!$D9*$C$6*$C$2</f>
        <v>782479.50497163017</v>
      </c>
      <c r="F9" s="35">
        <v>453</v>
      </c>
      <c r="G9" s="36">
        <f>'Aug 7'!$E9/'Aug 7'!$F9</f>
        <v>1727.3278255444375</v>
      </c>
      <c r="H9" s="33">
        <v>1603</v>
      </c>
      <c r="I9" s="33">
        <v>1727</v>
      </c>
      <c r="J9" s="37">
        <f t="shared" ref="J9:J21" si="0">I9-H9</f>
        <v>124</v>
      </c>
      <c r="K9" s="38">
        <f>'Aug 7'!$F9*'Aug 7'!$I9</f>
        <v>782331</v>
      </c>
      <c r="L9" s="39">
        <f>'Aug 7'!$K9/$K$2</f>
        <v>9.6565461869739314E-3</v>
      </c>
      <c r="M9" s="40"/>
      <c r="O9" s="2">
        <f>Table13895845[[#This Row],[Change]]*Table13895845[[#This Row],[Last price]]</f>
        <v>56172</v>
      </c>
      <c r="P9" s="42">
        <f>ABS(O9)</f>
        <v>56172</v>
      </c>
    </row>
    <row r="10" spans="1:19" s="41" customFormat="1" ht="25.5" customHeight="1" x14ac:dyDescent="0.2">
      <c r="A10" s="33" t="s">
        <v>161</v>
      </c>
      <c r="B10" s="33" t="s">
        <v>47</v>
      </c>
      <c r="C10" s="33" t="s">
        <v>48</v>
      </c>
      <c r="D10" s="34">
        <v>9.6150000000000003E-3</v>
      </c>
      <c r="E10" s="35">
        <f>'Aug 7'!$D10*$C$6*$C$2</f>
        <v>782479.50497163017</v>
      </c>
      <c r="F10" s="35">
        <v>618.79981718464398</v>
      </c>
      <c r="G10" s="36">
        <f>'Aug 7'!$E10/'Aug 7'!$F10</f>
        <v>1264.5115322297288</v>
      </c>
      <c r="H10" s="33">
        <v>1094</v>
      </c>
      <c r="I10" s="33">
        <v>1265</v>
      </c>
      <c r="J10" s="37">
        <f t="shared" si="0"/>
        <v>171</v>
      </c>
      <c r="K10" s="38">
        <f>'Aug 7'!$F10*'Aug 7'!$I10</f>
        <v>782781.7687385747</v>
      </c>
      <c r="L10" s="39">
        <f>'Aug 7'!$K10/$K$2</f>
        <v>9.6621101607186656E-3</v>
      </c>
      <c r="M10" s="40"/>
      <c r="O10" s="2">
        <f>Table13895845[[#This Row],[Change]]*Table13895845[[#This Row],[Last price]]</f>
        <v>105814.76873857412</v>
      </c>
      <c r="P10" s="42">
        <f t="shared" ref="P10:P65" si="1">ABS(O10)</f>
        <v>105814.76873857412</v>
      </c>
    </row>
    <row r="11" spans="1:19" s="41" customFormat="1" ht="12.75" customHeight="1" x14ac:dyDescent="0.2">
      <c r="A11" s="33" t="s">
        <v>161</v>
      </c>
      <c r="B11" s="33" t="s">
        <v>50</v>
      </c>
      <c r="C11" s="33" t="s">
        <v>51</v>
      </c>
      <c r="D11" s="34">
        <v>9.6150000000000003E-3</v>
      </c>
      <c r="E11" s="35">
        <f>'Aug 7'!$D11*$C$6*$C$2</f>
        <v>782479.50497163017</v>
      </c>
      <c r="F11" s="35">
        <v>1492.3995859213301</v>
      </c>
      <c r="G11" s="36">
        <f>'Aug 7'!$E11/'Aug 7'!$F11</f>
        <v>524.30965027946445</v>
      </c>
      <c r="H11" s="33">
        <v>483</v>
      </c>
      <c r="I11" s="33">
        <v>524</v>
      </c>
      <c r="J11" s="37">
        <f t="shared" si="0"/>
        <v>41</v>
      </c>
      <c r="K11" s="38">
        <f>'Aug 7'!$F11*'Aug 7'!$I11</f>
        <v>782017.38302277692</v>
      </c>
      <c r="L11" s="39">
        <f>'Aug 7'!$K11/$K$2</f>
        <v>9.6526751185571445E-3</v>
      </c>
      <c r="M11" s="40"/>
      <c r="O11" s="2">
        <f>Table13895845[[#This Row],[Change]]*Table13895845[[#This Row],[Last price]]</f>
        <v>61188.383022774535</v>
      </c>
      <c r="P11" s="42">
        <f t="shared" si="1"/>
        <v>61188.383022774535</v>
      </c>
    </row>
    <row r="12" spans="1:19" s="41" customFormat="1" ht="12.75" customHeight="1" x14ac:dyDescent="0.2">
      <c r="A12" s="33" t="s">
        <v>161</v>
      </c>
      <c r="B12" s="33" t="s">
        <v>61</v>
      </c>
      <c r="C12" s="33" t="s">
        <v>62</v>
      </c>
      <c r="D12" s="34">
        <v>9.6150000000000003E-3</v>
      </c>
      <c r="E12" s="35">
        <f>'Aug 7'!$D12*$C$6*$C$2</f>
        <v>782479.50497163017</v>
      </c>
      <c r="F12" s="35">
        <v>457</v>
      </c>
      <c r="G12" s="36">
        <f>'Aug 7'!$E12/'Aug 7'!$F12</f>
        <v>1712.2089824324512</v>
      </c>
      <c r="H12" s="33">
        <v>1641</v>
      </c>
      <c r="I12" s="33">
        <v>1712</v>
      </c>
      <c r="J12" s="37">
        <f t="shared" si="0"/>
        <v>71</v>
      </c>
      <c r="K12" s="38">
        <f>'Aug 7'!$F12*'Aug 7'!$I12</f>
        <v>782384</v>
      </c>
      <c r="L12" s="39">
        <f>'Aug 7'!$K12/$K$2</f>
        <v>9.6572003818708608E-3</v>
      </c>
      <c r="M12" s="40"/>
      <c r="O12" s="2">
        <f>Table13895845[[#This Row],[Change]]*Table13895845[[#This Row],[Last price]]</f>
        <v>32447</v>
      </c>
      <c r="P12" s="42">
        <f t="shared" si="1"/>
        <v>32447</v>
      </c>
    </row>
    <row r="13" spans="1:19" s="41" customFormat="1" ht="12.75" customHeight="1" x14ac:dyDescent="0.2">
      <c r="A13" s="33" t="s">
        <v>161</v>
      </c>
      <c r="B13" s="33" t="s">
        <v>164</v>
      </c>
      <c r="C13" s="33" t="s">
        <v>165</v>
      </c>
      <c r="D13" s="34">
        <v>9.6150000000000003E-3</v>
      </c>
      <c r="E13" s="35">
        <f>'Aug 7'!$D13*$C$6*$C$2</f>
        <v>782479.50497163017</v>
      </c>
      <c r="F13" s="35">
        <v>439</v>
      </c>
      <c r="G13" s="36">
        <f>'Aug 7'!$E13/'Aug 7'!$F13</f>
        <v>1782.4134509604332</v>
      </c>
      <c r="H13" s="33">
        <v>1629</v>
      </c>
      <c r="I13" s="33">
        <v>1782</v>
      </c>
      <c r="J13" s="37">
        <f t="shared" si="0"/>
        <v>153</v>
      </c>
      <c r="K13" s="38">
        <f>'Aug 7'!$F13*'Aug 7'!$I13</f>
        <v>782298</v>
      </c>
      <c r="L13" s="39">
        <f>'Aug 7'!$K13/$K$2</f>
        <v>9.6561388580758446E-3</v>
      </c>
      <c r="M13" s="40"/>
      <c r="O13" s="2">
        <f>Table13895845[[#This Row],[Change]]*Table13895845[[#This Row],[Last price]]</f>
        <v>67167</v>
      </c>
      <c r="P13" s="42">
        <f t="shared" si="1"/>
        <v>67167</v>
      </c>
    </row>
    <row r="14" spans="1:19" s="41" customFormat="1" ht="12.75" customHeight="1" x14ac:dyDescent="0.2">
      <c r="A14" s="33" t="s">
        <v>161</v>
      </c>
      <c r="B14" s="33" t="s">
        <v>53</v>
      </c>
      <c r="C14" s="33" t="s">
        <v>54</v>
      </c>
      <c r="D14" s="34">
        <v>9.6150000000000003E-3</v>
      </c>
      <c r="E14" s="35">
        <f>'Aug 7'!$D14*$C$6*$C$2</f>
        <v>782479.50497163017</v>
      </c>
      <c r="F14" s="35">
        <v>273.890202058711</v>
      </c>
      <c r="G14" s="36">
        <f>'Aug 7'!$E14/'Aug 7'!$F14</f>
        <v>2856.9094443323611</v>
      </c>
      <c r="H14" s="33">
        <v>2623</v>
      </c>
      <c r="I14" s="33">
        <v>2857</v>
      </c>
      <c r="J14" s="37">
        <f t="shared" si="0"/>
        <v>234</v>
      </c>
      <c r="K14" s="38">
        <f>'Aug 7'!$F14*'Aug 7'!$I14</f>
        <v>782504.30728173733</v>
      </c>
      <c r="L14" s="39">
        <f>'Aug 7'!$K14/$K$2</f>
        <v>9.6586853707345596E-3</v>
      </c>
      <c r="M14" s="40"/>
      <c r="O14" s="2">
        <f>Table13895845[[#This Row],[Change]]*Table13895845[[#This Row],[Last price]]</f>
        <v>64090.307281738373</v>
      </c>
      <c r="P14" s="42">
        <f t="shared" si="1"/>
        <v>64090.307281738373</v>
      </c>
    </row>
    <row r="15" spans="1:19" s="41" customFormat="1" ht="12.75" customHeight="1" x14ac:dyDescent="0.2">
      <c r="A15" s="33" t="s">
        <v>161</v>
      </c>
      <c r="B15" s="33" t="s">
        <v>35</v>
      </c>
      <c r="C15" s="33" t="s">
        <v>36</v>
      </c>
      <c r="D15" s="34">
        <v>9.6150000000000003E-3</v>
      </c>
      <c r="E15" s="35">
        <f>'Aug 7'!$D15*$C$6*$C$2</f>
        <v>782479.50497163017</v>
      </c>
      <c r="F15" s="35">
        <v>64.650013454121506</v>
      </c>
      <c r="G15" s="36">
        <f>'Aug 7'!$E15/'Aug 7'!$F15</f>
        <v>12103.315423544529</v>
      </c>
      <c r="H15" s="33">
        <v>11149</v>
      </c>
      <c r="I15" s="33">
        <v>12103</v>
      </c>
      <c r="J15" s="37">
        <f t="shared" si="0"/>
        <v>954</v>
      </c>
      <c r="K15" s="38">
        <f>'Aug 7'!$F15*'Aug 7'!$I15</f>
        <v>782459.11283523263</v>
      </c>
      <c r="L15" s="39">
        <f>'Aug 7'!$K15/$K$2</f>
        <v>9.6581275221256369E-3</v>
      </c>
      <c r="M15" s="40"/>
      <c r="O15" s="2">
        <f>Table13895845[[#This Row],[Change]]*Table13895845[[#This Row],[Last price]]</f>
        <v>61676.112835231914</v>
      </c>
      <c r="P15" s="42">
        <f t="shared" si="1"/>
        <v>61676.112835231914</v>
      </c>
    </row>
    <row r="16" spans="1:19" s="44" customFormat="1" ht="12.75" customHeight="1" x14ac:dyDescent="0.2">
      <c r="A16" s="33" t="s">
        <v>161</v>
      </c>
      <c r="B16" s="43" t="s">
        <v>17</v>
      </c>
      <c r="C16" s="33" t="s">
        <v>170</v>
      </c>
      <c r="D16" s="34">
        <v>9.6150000000000003E-3</v>
      </c>
      <c r="E16" s="35">
        <f>'Aug 7'!$D16*$C$6*$C$2</f>
        <v>782479.50497163017</v>
      </c>
      <c r="F16" s="35">
        <v>86.589952718676102</v>
      </c>
      <c r="G16" s="36">
        <f>'Aug 7'!$E16/'Aug 7'!$F16</f>
        <v>9036.6085256316528</v>
      </c>
      <c r="H16" s="33">
        <v>8460</v>
      </c>
      <c r="I16" s="33">
        <v>9037</v>
      </c>
      <c r="J16" s="37">
        <f t="shared" si="0"/>
        <v>577</v>
      </c>
      <c r="K16" s="38">
        <f>'Aug 7'!$F16*'Aug 7'!$I16</f>
        <v>782513.4027186759</v>
      </c>
      <c r="L16" s="39">
        <f>'Aug 7'!$K16/$K$2</f>
        <v>9.658797638440797E-3</v>
      </c>
      <c r="M16" s="33"/>
      <c r="O16" s="2">
        <f>Table13895845[[#This Row],[Change]]*Table13895845[[#This Row],[Last price]]</f>
        <v>49962.402718676109</v>
      </c>
      <c r="P16" s="42">
        <f t="shared" si="1"/>
        <v>49962.402718676109</v>
      </c>
    </row>
    <row r="17" spans="1:17" s="44" customFormat="1" ht="12.75" customHeight="1" x14ac:dyDescent="0.2">
      <c r="A17" s="33" t="s">
        <v>161</v>
      </c>
      <c r="B17" s="43" t="s">
        <v>172</v>
      </c>
      <c r="C17" s="33" t="s">
        <v>173</v>
      </c>
      <c r="D17" s="34">
        <v>9.6150000000000003E-3</v>
      </c>
      <c r="E17" s="35">
        <f>'Aug 7'!$D17*$C$6*$C$2</f>
        <v>782479.50497163017</v>
      </c>
      <c r="F17" s="35">
        <v>23.416455696202501</v>
      </c>
      <c r="G17" s="36">
        <f>'Aug 7'!$E17/'Aug 7'!$F17</f>
        <v>33415.795931001063</v>
      </c>
      <c r="H17" s="33">
        <v>31600</v>
      </c>
      <c r="I17" s="33">
        <v>33400</v>
      </c>
      <c r="J17" s="37">
        <f t="shared" si="0"/>
        <v>1800</v>
      </c>
      <c r="K17" s="38">
        <f>'Aug 7'!$F17*'Aug 7'!$I17</f>
        <v>782109.62025316351</v>
      </c>
      <c r="L17" s="39">
        <f>'Aug 7'!$K17/$K$2</f>
        <v>9.6538136303576313E-3</v>
      </c>
      <c r="M17" s="33"/>
      <c r="O17" s="2">
        <f>Table13895845[[#This Row],[Change]]*Table13895845[[#This Row],[Last price]]</f>
        <v>42149.620253164503</v>
      </c>
      <c r="P17" s="42">
        <f t="shared" si="1"/>
        <v>42149.620253164503</v>
      </c>
    </row>
    <row r="18" spans="1:17" s="44" customFormat="1" ht="12.75" customHeight="1" x14ac:dyDescent="0.2">
      <c r="A18" s="33" t="s">
        <v>161</v>
      </c>
      <c r="B18" s="43" t="s">
        <v>44</v>
      </c>
      <c r="C18" s="33" t="s">
        <v>45</v>
      </c>
      <c r="D18" s="34">
        <v>9.6150000000000003E-3</v>
      </c>
      <c r="E18" s="35">
        <f>'Aug 7'!$D18*$C$6*$C$2</f>
        <v>782479.50497163017</v>
      </c>
      <c r="F18" s="35">
        <v>204.20005526388499</v>
      </c>
      <c r="G18" s="36">
        <f>'Aug 7'!$E18/'Aug 7'!$F18</f>
        <v>3831.9260196107311</v>
      </c>
      <c r="H18" s="33">
        <v>3619</v>
      </c>
      <c r="I18" s="33">
        <v>3832</v>
      </c>
      <c r="J18" s="37">
        <f t="shared" si="0"/>
        <v>213</v>
      </c>
      <c r="K18" s="38">
        <f>'Aug 7'!$F18*'Aug 7'!$I18</f>
        <v>782494.6117712073</v>
      </c>
      <c r="L18" s="39">
        <f>'Aug 7'!$K18/$K$2</f>
        <v>9.6585656961399955E-3</v>
      </c>
      <c r="M18" s="33"/>
      <c r="O18" s="2">
        <f>Table13895845[[#This Row],[Change]]*Table13895845[[#This Row],[Last price]]</f>
        <v>43494.611771207507</v>
      </c>
      <c r="P18" s="42">
        <f t="shared" si="1"/>
        <v>43494.611771207507</v>
      </c>
    </row>
    <row r="19" spans="1:17" s="44" customFormat="1" ht="12.75" customHeight="1" x14ac:dyDescent="0.2">
      <c r="A19" s="33" t="s">
        <v>161</v>
      </c>
      <c r="B19" s="43" t="s">
        <v>56</v>
      </c>
      <c r="C19" s="33" t="s">
        <v>174</v>
      </c>
      <c r="D19" s="34">
        <v>9.6150000000000003E-3</v>
      </c>
      <c r="E19" s="35">
        <f>'Aug 7'!$D19*$C$6*$C$2</f>
        <v>782479.50497163017</v>
      </c>
      <c r="F19" s="35">
        <v>267.57015920029602</v>
      </c>
      <c r="G19" s="36">
        <f>'Aug 7'!$E19/'Aug 7'!$F19</f>
        <v>2924.3900265645339</v>
      </c>
      <c r="H19" s="33">
        <v>2701</v>
      </c>
      <c r="I19" s="33">
        <v>2924</v>
      </c>
      <c r="J19" s="37">
        <f t="shared" si="0"/>
        <v>223</v>
      </c>
      <c r="K19" s="38">
        <f>'Aug 7'!$F19*'Aug 7'!$I19</f>
        <v>782375.14550166554</v>
      </c>
      <c r="L19" s="39">
        <f>'Aug 7'!$K19/$K$2</f>
        <v>9.6570910881420818E-3</v>
      </c>
      <c r="M19" s="33"/>
      <c r="O19" s="2">
        <f>Table13895845[[#This Row],[Change]]*Table13895845[[#This Row],[Last price]]</f>
        <v>59668.145501666011</v>
      </c>
      <c r="P19" s="42">
        <f t="shared" si="1"/>
        <v>59668.145501666011</v>
      </c>
    </row>
    <row r="20" spans="1:17" s="44" customFormat="1" ht="12.75" customHeight="1" x14ac:dyDescent="0.2">
      <c r="A20" s="33" t="s">
        <v>161</v>
      </c>
      <c r="B20" s="43" t="s">
        <v>175</v>
      </c>
      <c r="C20" s="33" t="s">
        <v>176</v>
      </c>
      <c r="D20" s="34">
        <v>9.6150000000000003E-3</v>
      </c>
      <c r="E20" s="35">
        <f>'Aug 7'!$D20*$C$6*$C$2</f>
        <v>782479.50497163017</v>
      </c>
      <c r="F20" s="35">
        <v>1219.9008130081299</v>
      </c>
      <c r="G20" s="36">
        <f>'Aug 7'!$E20/'Aug 7'!$F20</f>
        <v>641.4287921016537</v>
      </c>
      <c r="H20" s="33">
        <v>615</v>
      </c>
      <c r="I20" s="33">
        <v>641</v>
      </c>
      <c r="J20" s="37">
        <f t="shared" si="0"/>
        <v>26</v>
      </c>
      <c r="K20" s="38">
        <f>'Aug 7'!$F20*'Aug 7'!$I20</f>
        <v>781956.42113821127</v>
      </c>
      <c r="L20" s="39">
        <f>'Aug 7'!$K20/$K$2</f>
        <v>9.6519226477309178E-3</v>
      </c>
      <c r="M20" s="33"/>
      <c r="O20" s="2">
        <f>Table13895845[[#This Row],[Change]]*Table13895845[[#This Row],[Last price]]</f>
        <v>31717.421138211379</v>
      </c>
      <c r="P20" s="42">
        <f t="shared" si="1"/>
        <v>31717.421138211379</v>
      </c>
    </row>
    <row r="21" spans="1:17" s="44" customFormat="1" ht="12.75" customHeight="1" x14ac:dyDescent="0.2">
      <c r="A21" s="33" t="s">
        <v>161</v>
      </c>
      <c r="B21" s="43" t="s">
        <v>20</v>
      </c>
      <c r="C21" s="33" t="s">
        <v>21</v>
      </c>
      <c r="D21" s="34">
        <v>9.6150000000000003E-3</v>
      </c>
      <c r="E21" s="35">
        <f>'Aug 7'!$D21*$C$6*$C$2</f>
        <v>782479.50497163017</v>
      </c>
      <c r="F21" s="35">
        <v>3223.7913043478302</v>
      </c>
      <c r="G21" s="36">
        <f>'Aug 7'!$E21/'Aug 7'!$F21</f>
        <v>242.72027284034289</v>
      </c>
      <c r="H21" s="33">
        <v>230</v>
      </c>
      <c r="I21" s="33">
        <v>243</v>
      </c>
      <c r="J21" s="37">
        <f t="shared" si="0"/>
        <v>13</v>
      </c>
      <c r="K21" s="38">
        <f>'Aug 7'!$F21*'Aug 7'!$I21</f>
        <v>783381.28695652273</v>
      </c>
      <c r="L21" s="39">
        <f>'Aug 7'!$K21/$K$2</f>
        <v>9.6695101939035279E-3</v>
      </c>
      <c r="M21" s="33"/>
      <c r="O21" s="2">
        <f>Table13895845[[#This Row],[Change]]*Table13895845[[#This Row],[Last price]]</f>
        <v>41909.286956521792</v>
      </c>
      <c r="P21" s="42">
        <f t="shared" si="1"/>
        <v>41909.286956521792</v>
      </c>
    </row>
    <row r="22" spans="1:17" s="44" customFormat="1" ht="12.75" customHeight="1" x14ac:dyDescent="0.2">
      <c r="A22" s="33"/>
      <c r="B22" s="33"/>
      <c r="C22" s="33"/>
      <c r="D22" s="34"/>
      <c r="E22" s="35"/>
      <c r="F22" s="35"/>
      <c r="G22" s="36"/>
      <c r="H22" s="33"/>
      <c r="I22" s="33"/>
      <c r="J22" s="45"/>
      <c r="K22" s="35"/>
      <c r="L22" s="46"/>
      <c r="M22" s="33"/>
      <c r="O22" s="2">
        <f>Table13895845[[#This Row],[Change]]*Table13895845[[#This Row],[Last price]]</f>
        <v>0</v>
      </c>
      <c r="P22" s="42">
        <f t="shared" si="1"/>
        <v>0</v>
      </c>
    </row>
    <row r="23" spans="1:17" s="54" customFormat="1" ht="12.75" customHeight="1" x14ac:dyDescent="0.2">
      <c r="A23" s="47" t="s">
        <v>177</v>
      </c>
      <c r="B23" s="47"/>
      <c r="C23" s="47"/>
      <c r="D23" s="48">
        <f>SUBTOTAL(9,D9:D22)</f>
        <v>0.12499499999999999</v>
      </c>
      <c r="E23" s="49">
        <f>'Aug 7'!$D23*$C$6*$C$2</f>
        <v>10172233.56463119</v>
      </c>
      <c r="F23" s="50"/>
      <c r="G23" s="51"/>
      <c r="H23" s="47"/>
      <c r="I23" s="47"/>
      <c r="J23" s="52"/>
      <c r="K23" s="49">
        <f>SUM(K9:K21)</f>
        <v>10171606.060217768</v>
      </c>
      <c r="L23" s="53">
        <f>'Aug 7'!$K23/$K$2</f>
        <v>0.12555118449377159</v>
      </c>
      <c r="M23" s="47"/>
      <c r="O23" s="2">
        <f>Table13895845[[#This Row],[Change]]*Table13895845[[#This Row],[Last price]]</f>
        <v>0</v>
      </c>
      <c r="P23" s="42">
        <f t="shared" si="1"/>
        <v>0</v>
      </c>
    </row>
    <row r="24" spans="1:17" s="44" customFormat="1" ht="12.75" customHeight="1" x14ac:dyDescent="0.2">
      <c r="A24" s="33"/>
      <c r="B24" s="33"/>
      <c r="C24" s="33"/>
      <c r="D24" s="34"/>
      <c r="E24" s="35"/>
      <c r="F24" s="35"/>
      <c r="G24" s="36"/>
      <c r="H24" s="33"/>
      <c r="I24" s="33"/>
      <c r="J24" s="45"/>
      <c r="K24" s="35"/>
      <c r="L24" s="39"/>
      <c r="M24" s="33"/>
      <c r="O24" s="2">
        <f>Table13895845[[#This Row],[Change]]*Table13895845[[#This Row],[Last price]]</f>
        <v>0</v>
      </c>
      <c r="P24" s="42">
        <f t="shared" si="1"/>
        <v>0</v>
      </c>
    </row>
    <row r="25" spans="1:17" s="41" customFormat="1" ht="12.75" customHeight="1" x14ac:dyDescent="0.2">
      <c r="A25" s="55"/>
      <c r="B25" s="47" t="s">
        <v>32</v>
      </c>
      <c r="C25" s="55" t="s">
        <v>33</v>
      </c>
      <c r="D25" s="56">
        <v>3.5000000000000003E-2</v>
      </c>
      <c r="E25" s="57">
        <f>'Aug 7'!$D25*$C$6*$C$2</f>
        <v>2848339.3316700007</v>
      </c>
      <c r="F25" s="57">
        <v>19.760002319378401</v>
      </c>
      <c r="G25" s="58">
        <f>'Aug 7'!$E25/'Aug 7'!$F25</f>
        <v>144146.71039166165</v>
      </c>
      <c r="H25" s="55">
        <v>137968</v>
      </c>
      <c r="I25" s="55">
        <v>144147</v>
      </c>
      <c r="J25" s="59">
        <f>I25-H25</f>
        <v>6179</v>
      </c>
      <c r="K25" s="50">
        <f>'Aug 7'!$F25*'Aug 7'!$I25</f>
        <v>2848345.0543314386</v>
      </c>
      <c r="L25" s="53">
        <f>'Aug 7'!$K25/$K$2</f>
        <v>3.5157977344104106E-2</v>
      </c>
      <c r="M25" s="47"/>
      <c r="O25" s="2">
        <f>Table13895845[[#This Row],[Change]]*Table13895845[[#This Row],[Last price]]</f>
        <v>122097.05433143914</v>
      </c>
      <c r="P25" s="42">
        <f t="shared" si="1"/>
        <v>122097.05433143914</v>
      </c>
      <c r="Q25" s="42"/>
    </row>
    <row r="26" spans="1:17" s="41" customFormat="1" ht="12.75" customHeight="1" x14ac:dyDescent="0.2">
      <c r="A26" s="33"/>
      <c r="B26" s="33"/>
      <c r="C26" s="33"/>
      <c r="D26" s="34"/>
      <c r="E26" s="35"/>
      <c r="F26" s="35"/>
      <c r="G26" s="36"/>
      <c r="H26" s="33"/>
      <c r="I26" s="33"/>
      <c r="J26" s="45"/>
      <c r="K26" s="38"/>
      <c r="L26" s="39"/>
      <c r="M26" s="33"/>
      <c r="O26" s="2">
        <f>Table13895845[[#This Row],[Change]]*Table13895845[[#This Row],[Last price]]</f>
        <v>0</v>
      </c>
      <c r="P26" s="42">
        <f t="shared" si="1"/>
        <v>0</v>
      </c>
      <c r="Q26" s="42"/>
    </row>
    <row r="27" spans="1:17" ht="26.25" x14ac:dyDescent="0.25">
      <c r="A27" s="33" t="s">
        <v>178</v>
      </c>
      <c r="B27" s="60" t="s">
        <v>179</v>
      </c>
      <c r="C27" s="60" t="s">
        <v>106</v>
      </c>
      <c r="D27" s="34">
        <v>3.6110999999999997E-2</v>
      </c>
      <c r="E27" s="35">
        <f>'Aug 7'!$D27*$C$6*$C$2</f>
        <v>2938753.760169582</v>
      </c>
      <c r="F27" s="35">
        <v>159453.136363636</v>
      </c>
      <c r="G27" s="61">
        <f>'Aug 7'!$E27/'Aug 7'!$F27</f>
        <v>18.430203551893118</v>
      </c>
      <c r="H27" s="33">
        <v>22</v>
      </c>
      <c r="I27" s="33">
        <v>18</v>
      </c>
      <c r="J27" s="37">
        <f t="shared" ref="J27:J33" si="2">I27-H27</f>
        <v>-4</v>
      </c>
      <c r="K27" s="38">
        <f>'Aug 7'!$F27*'Aug 7'!$I27</f>
        <v>2870156.4545454481</v>
      </c>
      <c r="L27" s="39">
        <f>'Aug 7'!$K27/$K$2</f>
        <v>3.5427201999102001E-2</v>
      </c>
      <c r="M27" s="62"/>
      <c r="O27" s="2">
        <f>Table13895845[[#This Row],[Change]]*Table13895845[[#This Row],[Last price]]</f>
        <v>-637812.54545454402</v>
      </c>
      <c r="P27" s="42">
        <f t="shared" si="1"/>
        <v>637812.54545454402</v>
      </c>
    </row>
    <row r="28" spans="1:17" ht="26.25" x14ac:dyDescent="0.25">
      <c r="A28" s="33" t="s">
        <v>178</v>
      </c>
      <c r="B28" s="60" t="s">
        <v>180</v>
      </c>
      <c r="C28" s="60" t="s">
        <v>110</v>
      </c>
      <c r="D28" s="34">
        <v>3.6110999999999997E-2</v>
      </c>
      <c r="E28" s="35">
        <f>'Aug 7'!$D28*$C$6*$C$2</f>
        <v>2938753.760169582</v>
      </c>
      <c r="F28" s="35">
        <v>228957.4</v>
      </c>
      <c r="G28" s="61">
        <f>'Aug 7'!$E28/'Aug 7'!$F28</f>
        <v>12.835373568050573</v>
      </c>
      <c r="H28" s="33">
        <v>15</v>
      </c>
      <c r="I28" s="33">
        <v>13</v>
      </c>
      <c r="J28" s="37">
        <f t="shared" si="2"/>
        <v>-2</v>
      </c>
      <c r="K28" s="38">
        <f>'Aug 7'!$F28*'Aug 7'!$I28</f>
        <v>2976446.1999999997</v>
      </c>
      <c r="L28" s="39">
        <f>'Aug 7'!$K28/$K$2</f>
        <v>3.6739168208013033E-2</v>
      </c>
      <c r="M28" s="62"/>
      <c r="O28" s="2">
        <f>Table13895845[[#This Row],[Change]]*Table13895845[[#This Row],[Last price]]</f>
        <v>-457914.8</v>
      </c>
      <c r="P28" s="42">
        <f t="shared" si="1"/>
        <v>457914.8</v>
      </c>
    </row>
    <row r="29" spans="1:17" ht="26.25" x14ac:dyDescent="0.25">
      <c r="A29" s="33" t="s">
        <v>178</v>
      </c>
      <c r="B29" s="60" t="s">
        <v>181</v>
      </c>
      <c r="C29" s="60" t="s">
        <v>113</v>
      </c>
      <c r="D29" s="34">
        <v>3.6110999999999997E-2</v>
      </c>
      <c r="E29" s="35">
        <f>'Aug 7'!$D29*$C$6*$C$2</f>
        <v>2938753.760169582</v>
      </c>
      <c r="F29" s="35">
        <v>182667.78947368401</v>
      </c>
      <c r="G29" s="61">
        <f>'Aug 7'!$E29/'Aug 7'!$F29</f>
        <v>16.087969141340885</v>
      </c>
      <c r="H29" s="33">
        <v>19</v>
      </c>
      <c r="I29" s="33">
        <v>16</v>
      </c>
      <c r="J29" s="37">
        <f t="shared" si="2"/>
        <v>-3</v>
      </c>
      <c r="K29" s="38">
        <f>'Aug 7'!$F29*'Aug 7'!$I29</f>
        <v>2922684.6315789442</v>
      </c>
      <c r="L29" s="39">
        <f>'Aug 7'!$K29/$K$2</f>
        <v>3.6075573043636212E-2</v>
      </c>
      <c r="M29" s="62"/>
      <c r="O29" s="2">
        <f>Table13895845[[#This Row],[Change]]*Table13895845[[#This Row],[Last price]]</f>
        <v>-548003.368421052</v>
      </c>
      <c r="P29" s="42">
        <f t="shared" si="1"/>
        <v>548003.368421052</v>
      </c>
    </row>
    <row r="30" spans="1:17" ht="26.25" x14ac:dyDescent="0.25">
      <c r="A30" s="33" t="s">
        <v>178</v>
      </c>
      <c r="B30" s="60" t="s">
        <v>182</v>
      </c>
      <c r="C30" s="60" t="s">
        <v>116</v>
      </c>
      <c r="D30" s="34">
        <v>3.6110999999999997E-2</v>
      </c>
      <c r="E30" s="35">
        <f>'Aug 7'!$D30*$C$6*$C$2</f>
        <v>2938753.760169582</v>
      </c>
      <c r="F30" s="35">
        <v>126150.444444444</v>
      </c>
      <c r="G30" s="61">
        <f>'Aug 7'!$E30/'Aug 7'!$F30</f>
        <v>23.295627479646289</v>
      </c>
      <c r="H30" s="33">
        <v>27</v>
      </c>
      <c r="I30" s="33">
        <v>23</v>
      </c>
      <c r="J30" s="37">
        <f t="shared" si="2"/>
        <v>-4</v>
      </c>
      <c r="K30" s="38">
        <f>'Aug 7'!$F30*'Aug 7'!$I30</f>
        <v>2901460.2222222122</v>
      </c>
      <c r="L30" s="39">
        <f>'Aug 7'!$K30/$K$2</f>
        <v>3.5813593792852948E-2</v>
      </c>
      <c r="M30" s="62"/>
      <c r="O30" s="2">
        <f>Table13895845[[#This Row],[Change]]*Table13895845[[#This Row],[Last price]]</f>
        <v>-504601.77777777601</v>
      </c>
      <c r="P30" s="42">
        <f t="shared" si="1"/>
        <v>504601.77777777601</v>
      </c>
    </row>
    <row r="31" spans="1:17" ht="26.25" x14ac:dyDescent="0.25">
      <c r="A31" s="33" t="s">
        <v>178</v>
      </c>
      <c r="B31" s="60" t="s">
        <v>183</v>
      </c>
      <c r="C31" s="60" t="s">
        <v>119</v>
      </c>
      <c r="D31" s="34">
        <v>3.6110999999999997E-2</v>
      </c>
      <c r="E31" s="35">
        <f>'Aug 7'!$D31*$C$6*$C$2</f>
        <v>2938753.760169582</v>
      </c>
      <c r="F31" s="35">
        <v>140234.35999999999</v>
      </c>
      <c r="G31" s="61">
        <f>'Aug 7'!$E31/'Aug 7'!$F31</f>
        <v>20.956017912939327</v>
      </c>
      <c r="H31" s="33">
        <v>25</v>
      </c>
      <c r="I31" s="33">
        <v>21</v>
      </c>
      <c r="J31" s="37">
        <f t="shared" si="2"/>
        <v>-4</v>
      </c>
      <c r="K31" s="38">
        <f>'Aug 7'!$F31*'Aug 7'!$I31</f>
        <v>2944921.5599999996</v>
      </c>
      <c r="L31" s="39">
        <f>'Aug 7'!$K31/$K$2</f>
        <v>3.6350050120927485E-2</v>
      </c>
      <c r="M31" s="62"/>
      <c r="O31" s="2">
        <f>Table13895845[[#This Row],[Change]]*Table13895845[[#This Row],[Last price]]</f>
        <v>-560937.43999999994</v>
      </c>
      <c r="P31" s="42">
        <f t="shared" si="1"/>
        <v>560937.43999999994</v>
      </c>
    </row>
    <row r="32" spans="1:17" ht="26.25" x14ac:dyDescent="0.25">
      <c r="A32" s="33" t="s">
        <v>178</v>
      </c>
      <c r="B32" s="60" t="s">
        <v>184</v>
      </c>
      <c r="C32" s="60" t="s">
        <v>122</v>
      </c>
      <c r="D32" s="34">
        <v>0.125</v>
      </c>
      <c r="E32" s="35">
        <f>'Aug 7'!$D32*$C$6*$C$2</f>
        <v>10172640.470250001</v>
      </c>
      <c r="F32" s="35">
        <v>416335.37037036999</v>
      </c>
      <c r="G32" s="61">
        <f>'Aug 7'!$E32/'Aug 7'!$F32</f>
        <v>24.433764686388447</v>
      </c>
      <c r="H32" s="33">
        <v>27</v>
      </c>
      <c r="I32" s="33">
        <v>24</v>
      </c>
      <c r="J32" s="37">
        <f t="shared" si="2"/>
        <v>-3</v>
      </c>
      <c r="K32" s="38">
        <f>'Aug 7'!$F32*'Aug 7'!$I32</f>
        <v>9992048.8888888806</v>
      </c>
      <c r="L32" s="39">
        <f>'Aug 7'!$K32/$K$2</f>
        <v>0.12333485647131077</v>
      </c>
      <c r="M32" s="62"/>
      <c r="O32" s="2">
        <f>Table13895845[[#This Row],[Change]]*Table13895845[[#This Row],[Last price]]</f>
        <v>-1249006.1111111101</v>
      </c>
      <c r="P32" s="42">
        <f t="shared" si="1"/>
        <v>1249006.1111111101</v>
      </c>
    </row>
    <row r="33" spans="1:17" ht="26.25" x14ac:dyDescent="0.25">
      <c r="A33" s="33" t="s">
        <v>178</v>
      </c>
      <c r="B33" s="60" t="s">
        <v>185</v>
      </c>
      <c r="C33" s="60" t="s">
        <v>127</v>
      </c>
      <c r="D33" s="34">
        <v>3.6110999999999997E-2</v>
      </c>
      <c r="E33" s="35">
        <f>'Aug 7'!$D33*$C$6*$C$2</f>
        <v>2938753.760169582</v>
      </c>
      <c r="F33" s="35">
        <v>220952.8125</v>
      </c>
      <c r="G33" s="61">
        <f>'Aug 7'!$E33/'Aug 7'!$F33</f>
        <v>13.300368195899665</v>
      </c>
      <c r="H33" s="33">
        <v>16</v>
      </c>
      <c r="I33" s="33">
        <v>13</v>
      </c>
      <c r="J33" s="37">
        <f t="shared" si="2"/>
        <v>-3</v>
      </c>
      <c r="K33" s="38">
        <f>'Aug 7'!$F33*'Aug 7'!$I33</f>
        <v>2872386.5625</v>
      </c>
      <c r="L33" s="39">
        <f>'Aug 7'!$K33/$K$2</f>
        <v>3.5454728890488216E-2</v>
      </c>
      <c r="M33" s="62"/>
      <c r="O33" s="2">
        <f>Table13895845[[#This Row],[Change]]*Table13895845[[#This Row],[Last price]]</f>
        <v>-662858.4375</v>
      </c>
      <c r="P33" s="42">
        <f t="shared" si="1"/>
        <v>662858.4375</v>
      </c>
    </row>
    <row r="34" spans="1:17" s="64" customFormat="1" ht="12.75" x14ac:dyDescent="0.2">
      <c r="A34" s="33"/>
      <c r="B34" s="60"/>
      <c r="C34" s="60"/>
      <c r="D34" s="34"/>
      <c r="E34" s="63"/>
      <c r="F34" s="35"/>
      <c r="G34" s="61"/>
      <c r="H34" s="33"/>
      <c r="I34" s="33"/>
      <c r="J34" s="45"/>
      <c r="K34" s="35"/>
      <c r="L34" s="46"/>
      <c r="M34" s="62"/>
      <c r="O34" s="2">
        <f>Table13895845[[#This Row],[Change]]*Table13895845[[#This Row],[Last price]]</f>
        <v>0</v>
      </c>
      <c r="P34" s="42">
        <f t="shared" si="1"/>
        <v>0</v>
      </c>
    </row>
    <row r="35" spans="1:17" s="15" customFormat="1" ht="12.75" x14ac:dyDescent="0.2">
      <c r="A35" s="47" t="s">
        <v>186</v>
      </c>
      <c r="B35" s="65"/>
      <c r="C35" s="65"/>
      <c r="D35" s="56">
        <f>SUBTOTAL(9,D27:D34)</f>
        <v>0.34166600000000003</v>
      </c>
      <c r="E35" s="66">
        <f>'Aug 7'!$D35*$C$6*$C$2</f>
        <v>27805163.031267498</v>
      </c>
      <c r="F35" s="57"/>
      <c r="G35" s="67"/>
      <c r="H35" s="55"/>
      <c r="I35" s="55"/>
      <c r="J35" s="59"/>
      <c r="K35" s="66">
        <f>SUM(K27:K33)</f>
        <v>27480104.519735485</v>
      </c>
      <c r="L35" s="68">
        <f>'Aug 7'!$K35/$K$2</f>
        <v>0.33919517252633069</v>
      </c>
      <c r="M35" s="69"/>
      <c r="O35" s="2">
        <f>Table13895845[[#This Row],[Change]]*Table13895845[[#This Row],[Last price]]</f>
        <v>0</v>
      </c>
      <c r="P35" s="42">
        <f t="shared" si="1"/>
        <v>0</v>
      </c>
    </row>
    <row r="36" spans="1:17" s="64" customFormat="1" ht="12.75" x14ac:dyDescent="0.2">
      <c r="A36" s="33"/>
      <c r="B36" s="60"/>
      <c r="C36" s="60"/>
      <c r="D36" s="34"/>
      <c r="E36" s="63"/>
      <c r="F36" s="35"/>
      <c r="G36" s="61"/>
      <c r="H36" s="33"/>
      <c r="I36" s="33"/>
      <c r="J36" s="45"/>
      <c r="K36" s="35"/>
      <c r="L36" s="39"/>
      <c r="M36" s="62"/>
      <c r="O36" s="2">
        <f>Table13895845[[#This Row],[Change]]*Table13895845[[#This Row],[Last price]]</f>
        <v>0</v>
      </c>
      <c r="P36" s="42">
        <f t="shared" si="1"/>
        <v>0</v>
      </c>
    </row>
    <row r="37" spans="1:17" s="41" customFormat="1" ht="25.5" customHeight="1" x14ac:dyDescent="0.2">
      <c r="A37" s="33" t="s">
        <v>187</v>
      </c>
      <c r="B37" s="33" t="s">
        <v>63</v>
      </c>
      <c r="C37" s="33" t="s">
        <v>64</v>
      </c>
      <c r="D37" s="34">
        <v>3.6110999999999997E-2</v>
      </c>
      <c r="E37" s="35">
        <f>'Aug 7'!$D37*$C$6*$C$2</f>
        <v>2938753.760169582</v>
      </c>
      <c r="F37" s="35">
        <v>94669.270270270295</v>
      </c>
      <c r="G37" s="36">
        <f>'Aug 7'!$E37/'Aug 7'!$F37</f>
        <v>31.042319770499603</v>
      </c>
      <c r="H37" s="33">
        <v>37</v>
      </c>
      <c r="I37" s="33">
        <v>31</v>
      </c>
      <c r="J37" s="37">
        <f t="shared" ref="J37:J42" si="3">I37-H37</f>
        <v>-6</v>
      </c>
      <c r="K37" s="38">
        <f>'Aug 7'!$F37*'Aug 7'!$I37</f>
        <v>2934747.3783783792</v>
      </c>
      <c r="L37" s="39">
        <f>'Aug 7'!$K37/$K$2</f>
        <v>3.6224467145506797E-2</v>
      </c>
      <c r="M37" s="40"/>
      <c r="N37" s="2"/>
      <c r="O37" s="2">
        <f>Table13895845[[#This Row],[Change]]*Table13895845[[#This Row],[Last price]]</f>
        <v>-568015.62162162177</v>
      </c>
      <c r="P37" s="42">
        <f t="shared" si="1"/>
        <v>568015.62162162177</v>
      </c>
      <c r="Q37" s="42"/>
    </row>
    <row r="38" spans="1:17" s="41" customFormat="1" ht="25.5" customHeight="1" x14ac:dyDescent="0.2">
      <c r="A38" s="33" t="s">
        <v>187</v>
      </c>
      <c r="B38" s="33" t="s">
        <v>188</v>
      </c>
      <c r="C38" s="33" t="s">
        <v>73</v>
      </c>
      <c r="D38" s="34">
        <v>3.6110999999999997E-2</v>
      </c>
      <c r="E38" s="35">
        <f>'Aug 7'!$D38*$C$6*$C$2</f>
        <v>2938753.760169582</v>
      </c>
      <c r="F38" s="35">
        <v>116000.53333333301</v>
      </c>
      <c r="G38" s="36">
        <f>'Aug 7'!$E38/'Aug 7'!$F38</f>
        <v>25.333967661380782</v>
      </c>
      <c r="H38" s="33">
        <v>30</v>
      </c>
      <c r="I38" s="33">
        <v>25</v>
      </c>
      <c r="J38" s="37">
        <f t="shared" si="3"/>
        <v>-5</v>
      </c>
      <c r="K38" s="38">
        <f>'Aug 7'!$F38*'Aug 7'!$I38</f>
        <v>2900013.3333333251</v>
      </c>
      <c r="L38" s="39">
        <f>'Aug 7'!$K38/$K$2</f>
        <v>3.5795734409314578E-2</v>
      </c>
      <c r="M38" s="40"/>
      <c r="N38" s="2"/>
      <c r="O38" s="2">
        <f>Table13895845[[#This Row],[Change]]*Table13895845[[#This Row],[Last price]]</f>
        <v>-580002.666666665</v>
      </c>
      <c r="P38" s="42">
        <f t="shared" si="1"/>
        <v>580002.666666665</v>
      </c>
    </row>
    <row r="39" spans="1:17" s="41" customFormat="1" ht="25.5" customHeight="1" x14ac:dyDescent="0.2">
      <c r="A39" s="33" t="s">
        <v>187</v>
      </c>
      <c r="B39" s="33" t="s">
        <v>76</v>
      </c>
      <c r="C39" s="33" t="s">
        <v>77</v>
      </c>
      <c r="D39" s="34">
        <v>3.6110999999999997E-2</v>
      </c>
      <c r="E39" s="35">
        <f>'Aug 7'!$D39*$C$6*$C$2</f>
        <v>2938753.760169582</v>
      </c>
      <c r="F39" s="35">
        <v>113498.32258064501</v>
      </c>
      <c r="G39" s="36">
        <f>'Aug 7'!$E39/'Aug 7'!$F39</f>
        <v>25.892486279534943</v>
      </c>
      <c r="H39" s="33">
        <v>31</v>
      </c>
      <c r="I39" s="33">
        <v>26</v>
      </c>
      <c r="J39" s="37">
        <f t="shared" si="3"/>
        <v>-5</v>
      </c>
      <c r="K39" s="38">
        <f>'Aug 7'!$F39*'Aug 7'!$I39</f>
        <v>2950956.3870967701</v>
      </c>
      <c r="L39" s="39">
        <f>'Aug 7'!$K39/$K$2</f>
        <v>3.6424539801881407E-2</v>
      </c>
      <c r="M39" s="40"/>
      <c r="N39" s="2"/>
      <c r="O39" s="2">
        <f>Table13895845[[#This Row],[Change]]*Table13895845[[#This Row],[Last price]]</f>
        <v>-567491.612903225</v>
      </c>
      <c r="P39" s="42">
        <f t="shared" si="1"/>
        <v>567491.612903225</v>
      </c>
    </row>
    <row r="40" spans="1:17" s="41" customFormat="1" ht="25.5" x14ac:dyDescent="0.2">
      <c r="A40" s="33" t="s">
        <v>187</v>
      </c>
      <c r="B40" s="33" t="s">
        <v>189</v>
      </c>
      <c r="C40" s="33" t="s">
        <v>79</v>
      </c>
      <c r="D40" s="34">
        <v>0.125</v>
      </c>
      <c r="E40" s="35">
        <f>'Aug 7'!$D40*$C$6*$C$2</f>
        <v>10172640.470250001</v>
      </c>
      <c r="F40" s="35">
        <v>249431.24444444399</v>
      </c>
      <c r="G40" s="36">
        <f>'Aug 7'!$E40/'Aug 7'!$F40</f>
        <v>40.783344896937166</v>
      </c>
      <c r="H40" s="33">
        <v>45</v>
      </c>
      <c r="I40" s="33">
        <v>41</v>
      </c>
      <c r="J40" s="37">
        <f t="shared" si="3"/>
        <v>-4</v>
      </c>
      <c r="K40" s="38">
        <f>'Aug 7'!$F40*'Aug 7'!$I40</f>
        <v>10226681.022222204</v>
      </c>
      <c r="L40" s="39">
        <f>'Aug 7'!$K40/$K$2</f>
        <v>0.12623099126909007</v>
      </c>
      <c r="M40" s="40"/>
      <c r="N40" s="2"/>
      <c r="O40" s="2">
        <f>Table13895845[[#This Row],[Change]]*Table13895845[[#This Row],[Last price]]</f>
        <v>-997724.97777777596</v>
      </c>
      <c r="P40" s="42">
        <f t="shared" si="1"/>
        <v>997724.97777777596</v>
      </c>
    </row>
    <row r="41" spans="1:17" s="41" customFormat="1" ht="25.5" x14ac:dyDescent="0.2">
      <c r="A41" s="33" t="s">
        <v>187</v>
      </c>
      <c r="B41" s="33" t="s">
        <v>193</v>
      </c>
      <c r="C41" s="33" t="s">
        <v>100</v>
      </c>
      <c r="D41" s="34">
        <v>0.125</v>
      </c>
      <c r="E41" s="35">
        <f>'Aug 7'!$D41*$C$6*$C$2</f>
        <v>10172640.470250001</v>
      </c>
      <c r="F41" s="35">
        <v>416340.703703704</v>
      </c>
      <c r="G41" s="36">
        <f>'Aug 7'!$E41/'Aug 7'!$F41</f>
        <v>24.433451689339353</v>
      </c>
      <c r="H41" s="33">
        <v>27</v>
      </c>
      <c r="I41" s="33">
        <v>24</v>
      </c>
      <c r="J41" s="37">
        <f t="shared" si="3"/>
        <v>-3</v>
      </c>
      <c r="K41" s="38">
        <f>'Aug 7'!$F41*'Aug 7'!$I41</f>
        <v>9992176.8888888955</v>
      </c>
      <c r="L41" s="39">
        <f>'Aug 7'!$K41/$K$2</f>
        <v>0.12333643641370355</v>
      </c>
      <c r="M41" s="40"/>
      <c r="N41" s="2"/>
      <c r="O41" s="2">
        <f>Table13895845[[#This Row],[Change]]*Table13895845[[#This Row],[Last price]]</f>
        <v>-1249022.1111111119</v>
      </c>
      <c r="P41" s="42">
        <f t="shared" si="1"/>
        <v>1249022.1111111119</v>
      </c>
    </row>
    <row r="42" spans="1:17" s="41" customFormat="1" ht="25.5" x14ac:dyDescent="0.2">
      <c r="A42" s="33" t="s">
        <v>187</v>
      </c>
      <c r="B42" s="33" t="s">
        <v>102</v>
      </c>
      <c r="C42" s="33" t="s">
        <v>103</v>
      </c>
      <c r="D42" s="34">
        <v>0.125</v>
      </c>
      <c r="E42" s="35">
        <f>'Aug 7'!$D42*$C$6*$C$2</f>
        <v>10172640.470250001</v>
      </c>
      <c r="F42" s="35">
        <v>249776.88888888899</v>
      </c>
      <c r="G42" s="36">
        <f>'Aug 7'!$E42/'Aug 7'!$F42</f>
        <v>40.726908384126801</v>
      </c>
      <c r="H42" s="33">
        <v>45</v>
      </c>
      <c r="I42" s="33">
        <v>41</v>
      </c>
      <c r="J42" s="37">
        <f t="shared" si="3"/>
        <v>-4</v>
      </c>
      <c r="K42" s="38">
        <f>'Aug 7'!$F42*'Aug 7'!$I42</f>
        <v>10240852.444444448</v>
      </c>
      <c r="L42" s="39">
        <f>'Aug 7'!$K42/$K$2</f>
        <v>0.12640591338418483</v>
      </c>
      <c r="M42" s="40"/>
      <c r="N42" s="2"/>
      <c r="O42" s="2">
        <f>Table13895845[[#This Row],[Change]]*Table13895845[[#This Row],[Last price]]</f>
        <v>-999107.55555555597</v>
      </c>
      <c r="P42" s="42">
        <f t="shared" si="1"/>
        <v>999107.55555555597</v>
      </c>
    </row>
    <row r="43" spans="1:17" s="41" customFormat="1" ht="12.75" x14ac:dyDescent="0.2">
      <c r="A43" s="33"/>
      <c r="B43" s="33"/>
      <c r="C43" s="33"/>
      <c r="D43" s="34"/>
      <c r="E43" s="35"/>
      <c r="F43" s="35"/>
      <c r="G43" s="36"/>
      <c r="H43" s="33"/>
      <c r="I43" s="33"/>
      <c r="J43" s="37"/>
      <c r="K43" s="38"/>
      <c r="L43" s="39"/>
      <c r="M43" s="40"/>
      <c r="N43" s="2"/>
      <c r="O43" s="2">
        <f>Table13895845[[#This Row],[Change]]*Table13895845[[#This Row],[Last price]]</f>
        <v>0</v>
      </c>
      <c r="P43" s="42">
        <f t="shared" si="1"/>
        <v>0</v>
      </c>
    </row>
    <row r="44" spans="1:17" s="41" customFormat="1" ht="12.75" x14ac:dyDescent="0.2">
      <c r="A44" s="33"/>
      <c r="B44" s="33"/>
      <c r="C44" s="33"/>
      <c r="D44" s="34"/>
      <c r="E44" s="35"/>
      <c r="F44" s="35"/>
      <c r="G44" s="36"/>
      <c r="H44" s="33"/>
      <c r="I44" s="33"/>
      <c r="J44" s="37"/>
      <c r="K44" s="38"/>
      <c r="L44" s="39"/>
      <c r="M44" s="40"/>
      <c r="N44" s="2"/>
      <c r="O44" s="2">
        <f>Table13895845[[#This Row],[Change]]*Table13895845[[#This Row],[Last price]]</f>
        <v>0</v>
      </c>
      <c r="P44" s="42">
        <f t="shared" si="1"/>
        <v>0</v>
      </c>
    </row>
    <row r="45" spans="1:17" s="44" customFormat="1" ht="12.75" x14ac:dyDescent="0.2">
      <c r="A45" s="33"/>
      <c r="B45" s="33"/>
      <c r="C45" s="33"/>
      <c r="D45" s="34"/>
      <c r="E45" s="35"/>
      <c r="F45" s="35"/>
      <c r="G45" s="36"/>
      <c r="H45" s="33"/>
      <c r="I45" s="33"/>
      <c r="J45" s="45"/>
      <c r="K45" s="35"/>
      <c r="L45" s="39"/>
      <c r="M45" s="33"/>
      <c r="N45" s="64"/>
      <c r="O45" s="2">
        <f>Table13895845[[#This Row],[Change]]*Table13895845[[#This Row],[Last price]]</f>
        <v>0</v>
      </c>
      <c r="P45" s="42">
        <f t="shared" si="1"/>
        <v>0</v>
      </c>
    </row>
    <row r="46" spans="1:17" s="54" customFormat="1" ht="12.75" x14ac:dyDescent="0.2">
      <c r="A46" s="47" t="s">
        <v>194</v>
      </c>
      <c r="B46" s="47"/>
      <c r="C46" s="47"/>
      <c r="D46" s="56">
        <f>SUBTOTAL(9,D37:D45)</f>
        <v>0.48333300000000001</v>
      </c>
      <c r="E46" s="49">
        <f>'Aug 7'!$D46*$C$6*$C$2</f>
        <v>39334182.691258751</v>
      </c>
      <c r="F46" s="57"/>
      <c r="G46" s="70"/>
      <c r="H46" s="55"/>
      <c r="I46" s="55"/>
      <c r="J46" s="59"/>
      <c r="K46" s="49">
        <f>SUM(K37:K44)</f>
        <v>39245427.454364024</v>
      </c>
      <c r="L46" s="68">
        <f>'Aug 7'!$K46/$K$2</f>
        <v>0.48441808242368128</v>
      </c>
      <c r="M46" s="47"/>
      <c r="N46" s="15"/>
      <c r="O46" s="2">
        <f>Table13895845[[#This Row],[Change]]*Table13895845[[#This Row],[Last price]]</f>
        <v>0</v>
      </c>
      <c r="P46" s="42">
        <f t="shared" si="1"/>
        <v>0</v>
      </c>
    </row>
    <row r="47" spans="1:17" s="44" customFormat="1" ht="12.75" x14ac:dyDescent="0.2">
      <c r="A47" s="33"/>
      <c r="B47" s="33"/>
      <c r="C47" s="33"/>
      <c r="D47" s="34"/>
      <c r="E47" s="35"/>
      <c r="F47" s="35"/>
      <c r="G47" s="36"/>
      <c r="H47" s="33"/>
      <c r="I47" s="33"/>
      <c r="J47" s="45"/>
      <c r="K47" s="35"/>
      <c r="L47" s="39"/>
      <c r="M47" s="33"/>
      <c r="N47" s="64"/>
      <c r="O47" s="2">
        <f>Table13895845[[#This Row],[Change]]*Table13895845[[#This Row],[Last price]]</f>
        <v>0</v>
      </c>
      <c r="P47" s="42">
        <f t="shared" si="1"/>
        <v>0</v>
      </c>
    </row>
    <row r="48" spans="1:17" s="41" customFormat="1" ht="12.75" x14ac:dyDescent="0.2">
      <c r="A48" s="33"/>
      <c r="B48" s="33"/>
      <c r="C48" s="33"/>
      <c r="D48" s="34"/>
      <c r="E48" s="35"/>
      <c r="F48" s="35"/>
      <c r="G48" s="71"/>
      <c r="H48" s="33"/>
      <c r="I48" s="33"/>
      <c r="J48" s="37"/>
      <c r="K48" s="38"/>
      <c r="L48" s="39"/>
      <c r="M48" s="40"/>
      <c r="N48" s="2"/>
      <c r="O48" s="2">
        <f>Table13895845[[#This Row],[Change]]*Table13895845[[#This Row],[Last price]]</f>
        <v>0</v>
      </c>
      <c r="P48" s="42">
        <f t="shared" si="1"/>
        <v>0</v>
      </c>
    </row>
    <row r="49" spans="1:18" s="41" customFormat="1" ht="25.5" x14ac:dyDescent="0.2">
      <c r="A49" s="33" t="s">
        <v>195</v>
      </c>
      <c r="B49" s="33" t="s">
        <v>196</v>
      </c>
      <c r="C49" s="33" t="s">
        <v>68</v>
      </c>
      <c r="D49" s="34">
        <v>1.5E-3</v>
      </c>
      <c r="E49" s="35">
        <f>'Aug 7'!$D49*$C$6*$C$2</f>
        <v>122071.68564300002</v>
      </c>
      <c r="F49" s="35">
        <v>43813.333333333299</v>
      </c>
      <c r="G49" s="71">
        <f>'Aug 7'!$E49/'Aug 7'!$F49</f>
        <v>2.7861766351871604</v>
      </c>
      <c r="H49" s="33">
        <v>3</v>
      </c>
      <c r="I49" s="33">
        <v>3</v>
      </c>
      <c r="J49" s="37">
        <f t="shared" ref="J49:J58" si="4">I49-H49</f>
        <v>0</v>
      </c>
      <c r="K49" s="38">
        <f>'Aug 7'!$F49*'Aug 7'!$I49</f>
        <v>131439.99999999988</v>
      </c>
      <c r="L49" s="39">
        <f>'Aug 7'!$K49/$K$2</f>
        <v>1.6224033443847329E-3</v>
      </c>
      <c r="M49" s="40"/>
      <c r="N49" s="2"/>
      <c r="O49" s="2">
        <f>Table13895845[[#This Row],[Change]]*Table13895845[[#This Row],[Last price]]</f>
        <v>0</v>
      </c>
      <c r="P49" s="42">
        <f t="shared" si="1"/>
        <v>0</v>
      </c>
    </row>
    <row r="50" spans="1:18" s="41" customFormat="1" ht="25.5" x14ac:dyDescent="0.2">
      <c r="A50" s="33" t="s">
        <v>195</v>
      </c>
      <c r="B50" s="33" t="s">
        <v>197</v>
      </c>
      <c r="C50" s="33" t="s">
        <v>71</v>
      </c>
      <c r="D50" s="34">
        <v>1.5E-3</v>
      </c>
      <c r="E50" s="35">
        <f>'Aug 7'!$D50*$C$6*$C$2</f>
        <v>122071.68564300002</v>
      </c>
      <c r="F50" s="35">
        <v>161257</v>
      </c>
      <c r="G50" s="71">
        <f>'Aug 7'!$E50/'Aug 7'!$F50</f>
        <v>0.75700084736166506</v>
      </c>
      <c r="H50" s="33">
        <v>1</v>
      </c>
      <c r="I50" s="33">
        <v>1</v>
      </c>
      <c r="J50" s="37">
        <f t="shared" si="4"/>
        <v>0</v>
      </c>
      <c r="K50" s="38">
        <f>'Aug 7'!$F50*'Aug 7'!$I50</f>
        <v>161257</v>
      </c>
      <c r="L50" s="39">
        <f>'Aug 7'!$K50/$K$2</f>
        <v>1.9904435187572209E-3</v>
      </c>
      <c r="M50" s="40"/>
      <c r="N50" s="2"/>
      <c r="O50" s="2">
        <f>Table13895845[[#This Row],[Change]]*Table13895845[[#This Row],[Last price]]</f>
        <v>0</v>
      </c>
      <c r="P50" s="42">
        <f t="shared" si="1"/>
        <v>0</v>
      </c>
      <c r="R50" s="41" t="s">
        <v>198</v>
      </c>
    </row>
    <row r="51" spans="1:18" s="41" customFormat="1" ht="25.5" x14ac:dyDescent="0.2">
      <c r="A51" s="33" t="s">
        <v>195</v>
      </c>
      <c r="B51" s="33" t="s">
        <v>199</v>
      </c>
      <c r="C51" s="33" t="s">
        <v>82</v>
      </c>
      <c r="D51" s="34">
        <v>1.5E-3</v>
      </c>
      <c r="E51" s="35">
        <f>'Aug 7'!$D51*$C$6*$C$2</f>
        <v>122071.68564300002</v>
      </c>
      <c r="F51" s="35">
        <v>86327</v>
      </c>
      <c r="G51" s="71">
        <f>'Aug 7'!$E51/'Aug 7'!$F51</f>
        <v>1.4140614830006837</v>
      </c>
      <c r="H51" s="33">
        <v>1</v>
      </c>
      <c r="I51" s="33">
        <v>1</v>
      </c>
      <c r="J51" s="37">
        <f t="shared" si="4"/>
        <v>0</v>
      </c>
      <c r="K51" s="38">
        <f>'Aug 7'!$F51*'Aug 7'!$I51</f>
        <v>86327</v>
      </c>
      <c r="L51" s="39">
        <f>'Aug 7'!$K51/$K$2</f>
        <v>1.0655600540984552E-3</v>
      </c>
      <c r="M51" s="40"/>
      <c r="N51" s="2"/>
      <c r="O51" s="2">
        <f>Table13895845[[#This Row],[Change]]*Table13895845[[#This Row],[Last price]]</f>
        <v>0</v>
      </c>
      <c r="P51" s="42">
        <f t="shared" si="1"/>
        <v>0</v>
      </c>
    </row>
    <row r="52" spans="1:18" s="41" customFormat="1" ht="25.5" x14ac:dyDescent="0.2">
      <c r="A52" s="33" t="s">
        <v>195</v>
      </c>
      <c r="B52" s="33" t="s">
        <v>200</v>
      </c>
      <c r="C52" s="33" t="s">
        <v>84</v>
      </c>
      <c r="D52" s="34">
        <v>1.5E-3</v>
      </c>
      <c r="E52" s="35">
        <f>'Aug 7'!$D52*$C$6*$C$2</f>
        <v>122071.68564300002</v>
      </c>
      <c r="F52" s="35">
        <v>224403</v>
      </c>
      <c r="G52" s="71">
        <f>'Aug 7'!$E52/'Aug 7'!$F52</f>
        <v>0.54398419648133056</v>
      </c>
      <c r="H52" s="33">
        <v>1</v>
      </c>
      <c r="I52" s="33">
        <v>1</v>
      </c>
      <c r="J52" s="37">
        <f t="shared" si="4"/>
        <v>0</v>
      </c>
      <c r="K52" s="38">
        <f>'Aug 7'!$F52*'Aug 7'!$I52</f>
        <v>224403</v>
      </c>
      <c r="L52" s="39">
        <f>'Aug 7'!$K52/$K$2</f>
        <v>2.7698735368987186E-3</v>
      </c>
      <c r="M52" s="40"/>
      <c r="N52" s="2"/>
      <c r="O52" s="2">
        <f>Table13895845[[#This Row],[Change]]*Table13895845[[#This Row],[Last price]]</f>
        <v>0</v>
      </c>
      <c r="P52" s="42">
        <f t="shared" si="1"/>
        <v>0</v>
      </c>
    </row>
    <row r="53" spans="1:18" s="41" customFormat="1" ht="25.5" x14ac:dyDescent="0.2">
      <c r="A53" s="33" t="s">
        <v>195</v>
      </c>
      <c r="B53" s="33" t="s">
        <v>201</v>
      </c>
      <c r="C53" s="33" t="s">
        <v>87</v>
      </c>
      <c r="D53" s="34">
        <v>1.5E-3</v>
      </c>
      <c r="E53" s="35">
        <f>'Aug 7'!$D53*$C$6*$C$2</f>
        <v>122071.68564300002</v>
      </c>
      <c r="F53" s="35">
        <v>48378.666666666701</v>
      </c>
      <c r="G53" s="71">
        <f>'Aug 7'!$E53/'Aug 7'!$F53</f>
        <v>2.5232544436183981</v>
      </c>
      <c r="H53" s="33">
        <v>3</v>
      </c>
      <c r="I53" s="33">
        <v>2</v>
      </c>
      <c r="J53" s="37">
        <f t="shared" si="4"/>
        <v>-1</v>
      </c>
      <c r="K53" s="38">
        <f>'Aug 7'!$F53*'Aug 7'!$I53</f>
        <v>96757.333333333401</v>
      </c>
      <c r="L53" s="39">
        <f>'Aug 7'!$K53/$K$2</f>
        <v>1.1943047869274852E-3</v>
      </c>
      <c r="M53" s="40"/>
      <c r="N53" s="2"/>
      <c r="O53" s="2">
        <f>Table13895845[[#This Row],[Change]]*Table13895845[[#This Row],[Last price]]</f>
        <v>-48378.666666666701</v>
      </c>
      <c r="P53" s="42">
        <f t="shared" si="1"/>
        <v>48378.666666666701</v>
      </c>
    </row>
    <row r="54" spans="1:18" s="41" customFormat="1" ht="25.5" x14ac:dyDescent="0.2">
      <c r="A54" s="33" t="s">
        <v>195</v>
      </c>
      <c r="B54" s="33" t="s">
        <v>89</v>
      </c>
      <c r="C54" s="33" t="s">
        <v>90</v>
      </c>
      <c r="D54" s="34">
        <v>1.5E-3</v>
      </c>
      <c r="E54" s="35">
        <f>'Aug 7'!$D54*$C$6*$C$2</f>
        <v>122071.68564300002</v>
      </c>
      <c r="F54" s="35">
        <v>50061.333333333299</v>
      </c>
      <c r="G54" s="71">
        <f>'Aug 7'!$E54/'Aug 7'!$F54</f>
        <v>2.438442556657169</v>
      </c>
      <c r="H54" s="33">
        <v>3</v>
      </c>
      <c r="I54" s="33">
        <v>2</v>
      </c>
      <c r="J54" s="37">
        <f t="shared" si="4"/>
        <v>-1</v>
      </c>
      <c r="K54" s="38">
        <f>'Aug 7'!$F54*'Aug 7'!$I54</f>
        <v>100122.6666666666</v>
      </c>
      <c r="L54" s="39">
        <f>'Aug 7'!$K54/$K$2</f>
        <v>1.2358441056658388E-3</v>
      </c>
      <c r="M54" s="40"/>
      <c r="N54" s="2"/>
      <c r="O54" s="2">
        <f>Table13895845[[#This Row],[Change]]*Table13895845[[#This Row],[Last price]]</f>
        <v>-50061.333333333299</v>
      </c>
      <c r="P54" s="42">
        <f t="shared" si="1"/>
        <v>50061.333333333299</v>
      </c>
    </row>
    <row r="55" spans="1:18" s="41" customFormat="1" ht="25.5" x14ac:dyDescent="0.2">
      <c r="A55" s="33" t="s">
        <v>195</v>
      </c>
      <c r="B55" s="33" t="s">
        <v>202</v>
      </c>
      <c r="C55" s="33" t="s">
        <v>92</v>
      </c>
      <c r="D55" s="34">
        <v>1.5E-3</v>
      </c>
      <c r="E55" s="35">
        <f>'Aug 7'!$D55*$C$6*$C$2</f>
        <v>122071.68564300002</v>
      </c>
      <c r="F55" s="35">
        <v>11775.5</v>
      </c>
      <c r="G55" s="71">
        <f>'Aug 7'!$E55/'Aug 7'!$F55</f>
        <v>10.366581940724387</v>
      </c>
      <c r="H55" s="33">
        <v>12</v>
      </c>
      <c r="I55" s="33">
        <v>10</v>
      </c>
      <c r="J55" s="37">
        <f t="shared" si="4"/>
        <v>-2</v>
      </c>
      <c r="K55" s="38">
        <f>'Aug 7'!$F55*'Aug 7'!$I55</f>
        <v>117755</v>
      </c>
      <c r="L55" s="39">
        <f>'Aug 7'!$K55/$K$2</f>
        <v>1.4534852846776049E-3</v>
      </c>
      <c r="M55" s="40"/>
      <c r="N55" s="2"/>
      <c r="O55" s="2">
        <f>Table13895845[[#This Row],[Change]]*Table13895845[[#This Row],[Last price]]</f>
        <v>-23551</v>
      </c>
      <c r="P55" s="42">
        <f t="shared" si="1"/>
        <v>23551</v>
      </c>
    </row>
    <row r="56" spans="1:18" s="41" customFormat="1" ht="25.5" x14ac:dyDescent="0.2">
      <c r="A56" s="33" t="s">
        <v>195</v>
      </c>
      <c r="B56" s="33" t="s">
        <v>203</v>
      </c>
      <c r="C56" s="33" t="s">
        <v>97</v>
      </c>
      <c r="D56" s="34">
        <v>1.5E-3</v>
      </c>
      <c r="E56" s="35">
        <f>'Aug 7'!$D56*$C$6*$C$2</f>
        <v>122071.68564300002</v>
      </c>
      <c r="F56" s="35">
        <v>89907</v>
      </c>
      <c r="G56" s="71">
        <f>'Aug 7'!$E56/'Aug 7'!$F56</f>
        <v>1.3577550762788217</v>
      </c>
      <c r="H56" s="33">
        <v>1</v>
      </c>
      <c r="I56" s="33">
        <v>1</v>
      </c>
      <c r="J56" s="37">
        <f t="shared" si="4"/>
        <v>0</v>
      </c>
      <c r="K56" s="38">
        <f>'Aug 7'!$F56*'Aug 7'!$I56</f>
        <v>89907</v>
      </c>
      <c r="L56" s="39">
        <f>'Aug 7'!$K56/$K$2</f>
        <v>1.1097490678910402E-3</v>
      </c>
      <c r="M56" s="40"/>
      <c r="N56" s="2"/>
      <c r="O56" s="2">
        <f>Table13895845[[#This Row],[Change]]*Table13895845[[#This Row],[Last price]]</f>
        <v>0</v>
      </c>
      <c r="P56" s="42">
        <f t="shared" si="1"/>
        <v>0</v>
      </c>
    </row>
    <row r="57" spans="1:18" ht="26.25" x14ac:dyDescent="0.25">
      <c r="A57" s="33" t="s">
        <v>195</v>
      </c>
      <c r="B57" s="60" t="s">
        <v>204</v>
      </c>
      <c r="C57" s="60" t="s">
        <v>124</v>
      </c>
      <c r="D57" s="34">
        <v>1.5E-3</v>
      </c>
      <c r="E57" s="35">
        <f>'Aug 7'!$D57*$C$6*$C$2</f>
        <v>122071.68564300002</v>
      </c>
      <c r="F57" s="35">
        <v>59920.5</v>
      </c>
      <c r="G57" s="71">
        <f>'Aug 7'!$E57/'Aug 7'!$F57</f>
        <v>2.0372274203820067</v>
      </c>
      <c r="H57" s="33">
        <v>2</v>
      </c>
      <c r="I57" s="33">
        <v>2</v>
      </c>
      <c r="J57" s="37">
        <f t="shared" si="4"/>
        <v>0</v>
      </c>
      <c r="K57" s="38">
        <f>'Aug 7'!$F57*'Aug 7'!$I57</f>
        <v>119841</v>
      </c>
      <c r="L57" s="39">
        <f>'Aug 7'!$K57/$K$2</f>
        <v>1.4792334083567479E-3</v>
      </c>
      <c r="M57" s="62"/>
      <c r="O57" s="2">
        <f>Table13895845[[#This Row],[Change]]*Table13895845[[#This Row],[Last price]]</f>
        <v>0</v>
      </c>
      <c r="P57" s="42">
        <f t="shared" si="1"/>
        <v>0</v>
      </c>
    </row>
    <row r="58" spans="1:18" s="41" customFormat="1" ht="25.5" x14ac:dyDescent="0.2">
      <c r="A58" s="33" t="s">
        <v>195</v>
      </c>
      <c r="B58" s="33" t="s">
        <v>205</v>
      </c>
      <c r="C58" s="33" t="s">
        <v>95</v>
      </c>
      <c r="D58" s="34">
        <v>1.5E-3</v>
      </c>
      <c r="E58" s="35">
        <f>'Aug 7'!$D58*$C$6*$C$2</f>
        <v>122071.68564300002</v>
      </c>
      <c r="F58" s="35">
        <v>142319</v>
      </c>
      <c r="G58" s="71">
        <f>'Aug 7'!$E58/'Aug 7'!$F58</f>
        <v>0.85773287925716191</v>
      </c>
      <c r="H58" s="33">
        <v>1</v>
      </c>
      <c r="I58" s="33">
        <v>1</v>
      </c>
      <c r="J58" s="37">
        <f t="shared" si="4"/>
        <v>0</v>
      </c>
      <c r="K58" s="38">
        <f>'Aug 7'!$F58*'Aug 7'!$I58</f>
        <v>142319</v>
      </c>
      <c r="L58" s="39">
        <f>'Aug 7'!$K58/$K$2</f>
        <v>1.7566861044544355E-3</v>
      </c>
      <c r="M58" s="40"/>
      <c r="N58" s="2"/>
      <c r="O58" s="2">
        <f>Table13895845[[#This Row],[Change]]*Table13895845[[#This Row],[Last price]]</f>
        <v>0</v>
      </c>
      <c r="P58" s="42">
        <f t="shared" si="1"/>
        <v>0</v>
      </c>
    </row>
    <row r="59" spans="1:18" s="41" customFormat="1" ht="12.75" x14ac:dyDescent="0.2">
      <c r="A59" s="33"/>
      <c r="B59" s="33"/>
      <c r="C59" s="33"/>
      <c r="D59" s="34"/>
      <c r="E59" s="35"/>
      <c r="F59" s="35"/>
      <c r="G59" s="36"/>
      <c r="H59" s="33"/>
      <c r="I59" s="33"/>
      <c r="J59" s="40"/>
      <c r="K59" s="38"/>
      <c r="L59" s="39"/>
      <c r="M59" s="40"/>
      <c r="N59" s="2"/>
      <c r="O59" s="2">
        <f>Table13895845[[#This Row],[Change]]*Table13895845[[#This Row],[Last price]]</f>
        <v>0</v>
      </c>
      <c r="P59" s="42">
        <f t="shared" si="1"/>
        <v>0</v>
      </c>
    </row>
    <row r="60" spans="1:18" s="41" customFormat="1" ht="12.75" x14ac:dyDescent="0.2">
      <c r="A60" s="33"/>
      <c r="B60" s="33"/>
      <c r="C60" s="33"/>
      <c r="D60" s="34"/>
      <c r="E60" s="35"/>
      <c r="F60" s="35"/>
      <c r="G60" s="36"/>
      <c r="H60" s="33"/>
      <c r="I60" s="33"/>
      <c r="J60" s="40"/>
      <c r="K60" s="38"/>
      <c r="L60" s="39"/>
      <c r="M60" s="40"/>
      <c r="N60" s="2"/>
      <c r="O60" s="2">
        <f>Table13895845[[#This Row],[Change]]*Table13895845[[#This Row],[Last price]]</f>
        <v>0</v>
      </c>
      <c r="P60" s="42">
        <f t="shared" si="1"/>
        <v>0</v>
      </c>
    </row>
    <row r="61" spans="1:18" s="41" customFormat="1" ht="12.75" x14ac:dyDescent="0.2">
      <c r="A61" s="33"/>
      <c r="B61" s="33"/>
      <c r="C61" s="33"/>
      <c r="D61" s="34"/>
      <c r="E61" s="35"/>
      <c r="F61" s="35"/>
      <c r="G61" s="36"/>
      <c r="H61" s="33"/>
      <c r="I61" s="33"/>
      <c r="J61" s="40"/>
      <c r="K61" s="38"/>
      <c r="L61" s="39"/>
      <c r="M61" s="40"/>
      <c r="N61" s="2"/>
      <c r="O61" s="2">
        <f>Table13895845[[#This Row],[Change]]*Table13895845[[#This Row],[Last price]]</f>
        <v>0</v>
      </c>
      <c r="P61" s="42">
        <f t="shared" si="1"/>
        <v>0</v>
      </c>
    </row>
    <row r="62" spans="1:18" s="41" customFormat="1" ht="12.75" x14ac:dyDescent="0.2">
      <c r="A62" s="33"/>
      <c r="B62" s="33"/>
      <c r="C62" s="33"/>
      <c r="D62" s="34"/>
      <c r="E62" s="35"/>
      <c r="F62" s="35"/>
      <c r="G62" s="36"/>
      <c r="H62" s="33"/>
      <c r="I62" s="33"/>
      <c r="J62" s="40"/>
      <c r="K62" s="38"/>
      <c r="L62" s="39"/>
      <c r="M62" s="40"/>
      <c r="N62" s="2"/>
      <c r="O62" s="2">
        <f>Table13895845[[#This Row],[Change]]*Table13895845[[#This Row],[Last price]]</f>
        <v>0</v>
      </c>
      <c r="P62" s="42">
        <f t="shared" si="1"/>
        <v>0</v>
      </c>
    </row>
    <row r="63" spans="1:18" s="41" customFormat="1" ht="12.75" x14ac:dyDescent="0.2">
      <c r="A63" s="33"/>
      <c r="B63" s="33"/>
      <c r="C63" s="33"/>
      <c r="D63" s="34"/>
      <c r="E63" s="35"/>
      <c r="F63" s="35"/>
      <c r="G63" s="36"/>
      <c r="H63" s="33"/>
      <c r="I63" s="33"/>
      <c r="J63" s="40"/>
      <c r="K63" s="38"/>
      <c r="L63" s="39"/>
      <c r="M63" s="40"/>
      <c r="N63" s="2"/>
      <c r="O63" s="2">
        <f>Table13895845[[#This Row],[Change]]*Table13895845[[#This Row],[Last price]]</f>
        <v>0</v>
      </c>
      <c r="P63" s="42">
        <f t="shared" si="1"/>
        <v>0</v>
      </c>
    </row>
    <row r="64" spans="1:18" s="41" customFormat="1" ht="12.75" x14ac:dyDescent="0.2">
      <c r="A64" s="33"/>
      <c r="B64" s="33"/>
      <c r="C64" s="33"/>
      <c r="D64" s="34"/>
      <c r="E64" s="35"/>
      <c r="F64" s="35"/>
      <c r="G64" s="36"/>
      <c r="H64" s="33"/>
      <c r="I64" s="33"/>
      <c r="J64" s="40"/>
      <c r="K64" s="38"/>
      <c r="L64" s="39"/>
      <c r="M64" s="40"/>
      <c r="N64" s="2"/>
      <c r="O64" s="2">
        <f>Table13895845[[#This Row],[Change]]*Table13895845[[#This Row],[Last price]]</f>
        <v>0</v>
      </c>
      <c r="P64" s="42">
        <f t="shared" si="1"/>
        <v>0</v>
      </c>
    </row>
    <row r="65" spans="1:16" s="41" customFormat="1" ht="12.75" x14ac:dyDescent="0.2">
      <c r="A65" s="33"/>
      <c r="B65" s="33"/>
      <c r="C65" s="33"/>
      <c r="D65" s="34"/>
      <c r="E65" s="35"/>
      <c r="F65" s="35"/>
      <c r="G65" s="36"/>
      <c r="H65" s="33"/>
      <c r="I65" s="33"/>
      <c r="J65" s="40"/>
      <c r="K65" s="38"/>
      <c r="L65" s="39"/>
      <c r="M65" s="40"/>
      <c r="N65" s="2"/>
      <c r="O65" s="2">
        <f>Table13895845[[#This Row],[Change]]*Table13895845[[#This Row],[Last price]]</f>
        <v>0</v>
      </c>
      <c r="P65" s="42">
        <f t="shared" si="1"/>
        <v>0</v>
      </c>
    </row>
    <row r="66" spans="1:16" s="15" customFormat="1" ht="12.75" x14ac:dyDescent="0.2">
      <c r="A66" s="47" t="s">
        <v>206</v>
      </c>
      <c r="B66" s="65"/>
      <c r="C66" s="65"/>
      <c r="D66" s="72">
        <f>SUM(D49:D65)</f>
        <v>1.4999999999999998E-2</v>
      </c>
      <c r="E66" s="49">
        <f>SUM(E48:E65)</f>
        <v>1220716.8564300004</v>
      </c>
      <c r="F66" s="70"/>
      <c r="G66" s="70"/>
      <c r="H66" s="65"/>
      <c r="I66" s="65"/>
      <c r="J66" s="47"/>
      <c r="K66" s="49">
        <f>SUM(K48:K65)</f>
        <v>1270129</v>
      </c>
      <c r="L66" s="53">
        <f>'Aug 7'!$K66/$K$2</f>
        <v>1.5677583212112281E-2</v>
      </c>
      <c r="M66" s="50"/>
      <c r="O66" s="41"/>
      <c r="P66" s="41"/>
    </row>
    <row r="67" spans="1:16" x14ac:dyDescent="0.25">
      <c r="A67" s="33"/>
      <c r="B67" s="60"/>
      <c r="C67" s="60"/>
      <c r="D67" s="73"/>
      <c r="E67" s="35"/>
      <c r="F67" s="35"/>
      <c r="G67" s="36"/>
      <c r="H67" s="60"/>
      <c r="I67" s="60"/>
      <c r="J67" s="33"/>
      <c r="K67" s="33"/>
      <c r="L67" s="39"/>
      <c r="M67" s="62"/>
      <c r="O67" s="41"/>
      <c r="P67" s="41"/>
    </row>
    <row r="68" spans="1:16" x14ac:dyDescent="0.25">
      <c r="A68" s="33"/>
      <c r="B68" s="60"/>
      <c r="C68" s="60"/>
      <c r="D68" s="74"/>
      <c r="E68" s="63"/>
      <c r="F68" s="35"/>
      <c r="G68" s="61"/>
      <c r="H68" s="60"/>
      <c r="I68" s="60"/>
      <c r="J68" s="33"/>
      <c r="K68" s="33"/>
      <c r="L68" s="39"/>
      <c r="M68" s="62"/>
      <c r="O68" s="41"/>
      <c r="P68" s="41"/>
    </row>
    <row r="69" spans="1:16" s="15" customFormat="1" ht="12.75" x14ac:dyDescent="0.2">
      <c r="A69" s="47" t="s">
        <v>207</v>
      </c>
      <c r="B69" s="65"/>
      <c r="C69" s="65"/>
      <c r="D69" s="65"/>
      <c r="E69" s="75"/>
      <c r="F69" s="65"/>
      <c r="G69" s="65"/>
      <c r="H69" s="65"/>
      <c r="I69" s="65"/>
      <c r="J69" s="65"/>
      <c r="K69" s="75">
        <f>SUM(K23,K25,K35,K46,K66)</f>
        <v>81015612.088648707</v>
      </c>
      <c r="L69" s="53">
        <f>'Aug 7'!$K69/$K$2</f>
        <v>0.99999999999999978</v>
      </c>
      <c r="M69" s="65"/>
      <c r="O69" s="41"/>
      <c r="P69" s="41"/>
    </row>
    <row r="70" spans="1:16" x14ac:dyDescent="0.25">
      <c r="A70" s="62"/>
      <c r="B70" s="62"/>
      <c r="C70" s="62"/>
      <c r="D70" s="76"/>
      <c r="E70" s="77"/>
      <c r="F70" s="35"/>
      <c r="G70" s="78"/>
      <c r="H70" s="62"/>
      <c r="I70" s="62"/>
      <c r="J70" s="62"/>
      <c r="K70" s="62"/>
      <c r="L70" s="39"/>
      <c r="M70" s="62"/>
      <c r="O70" s="41"/>
      <c r="P70" s="41"/>
    </row>
    <row r="71" spans="1:16" x14ac:dyDescent="0.25">
      <c r="A71" s="62"/>
      <c r="B71" s="62"/>
      <c r="C71" s="62"/>
      <c r="D71" s="76"/>
      <c r="E71" s="77"/>
      <c r="F71" s="35"/>
      <c r="G71" s="78"/>
      <c r="H71" s="62"/>
      <c r="I71" s="62"/>
      <c r="J71" s="62"/>
      <c r="K71" s="62"/>
      <c r="L71" s="39"/>
      <c r="M71" s="62"/>
      <c r="O71" s="41"/>
      <c r="P71" s="41"/>
    </row>
    <row r="72" spans="1:16" x14ac:dyDescent="0.25">
      <c r="A72" s="62"/>
      <c r="B72" s="62"/>
      <c r="C72" s="62"/>
      <c r="D72" s="76"/>
      <c r="E72" s="77"/>
      <c r="F72" s="35"/>
      <c r="G72" s="78"/>
      <c r="H72" s="62"/>
      <c r="I72" s="62"/>
      <c r="J72" s="62"/>
      <c r="K72" s="62"/>
      <c r="L72" s="39"/>
      <c r="M72" s="62"/>
      <c r="O72" s="41"/>
      <c r="P72" s="41"/>
    </row>
    <row r="73" spans="1:16" x14ac:dyDescent="0.25">
      <c r="A73" s="62"/>
      <c r="B73" s="62"/>
      <c r="C73" s="62"/>
      <c r="D73" s="76"/>
      <c r="E73" s="77"/>
      <c r="F73" s="35"/>
      <c r="G73" s="78"/>
      <c r="H73" s="62"/>
      <c r="I73" s="62"/>
      <c r="J73" s="62"/>
      <c r="K73" s="62"/>
      <c r="L73" s="39"/>
      <c r="M73" s="62"/>
      <c r="O73" s="15"/>
      <c r="P73" s="15"/>
    </row>
    <row r="74" spans="1:16" x14ac:dyDescent="0.25">
      <c r="A74" s="62"/>
      <c r="B74" s="62"/>
      <c r="C74" s="62"/>
      <c r="D74" s="76"/>
      <c r="E74" s="77"/>
      <c r="F74" s="35"/>
      <c r="G74" s="78"/>
      <c r="H74" s="62"/>
      <c r="I74" s="62"/>
      <c r="J74" s="62"/>
      <c r="K74" s="62"/>
      <c r="L74" s="39"/>
      <c r="M74" s="62"/>
    </row>
    <row r="75" spans="1:16" x14ac:dyDescent="0.25">
      <c r="A75" s="62"/>
      <c r="B75" s="62"/>
      <c r="C75" s="62"/>
      <c r="D75" s="76"/>
      <c r="E75" s="77"/>
      <c r="F75" s="35"/>
      <c r="G75" s="78"/>
      <c r="H75" s="62"/>
      <c r="I75" s="62"/>
      <c r="J75" s="62"/>
      <c r="K75" s="62"/>
      <c r="L75" s="39"/>
      <c r="M75" s="62"/>
    </row>
    <row r="76" spans="1:16" x14ac:dyDescent="0.25">
      <c r="A76" s="62"/>
      <c r="B76" s="62"/>
      <c r="C76" s="62"/>
      <c r="D76" s="76"/>
      <c r="E76" s="77"/>
      <c r="F76" s="35"/>
      <c r="G76" s="78"/>
      <c r="H76" s="62"/>
      <c r="I76" s="62"/>
      <c r="J76" s="62"/>
      <c r="K76" s="62"/>
      <c r="L76" s="39"/>
      <c r="M76" s="62"/>
      <c r="O76" s="15"/>
      <c r="P76" s="15"/>
    </row>
    <row r="77" spans="1:16" x14ac:dyDescent="0.25">
      <c r="A77" s="62"/>
      <c r="B77" s="62"/>
      <c r="C77" s="62"/>
      <c r="D77" s="76"/>
      <c r="E77" s="77"/>
      <c r="F77" s="35"/>
      <c r="G77" s="78"/>
      <c r="H77" s="62"/>
      <c r="I77" s="62"/>
      <c r="J77" s="62"/>
      <c r="K77" s="62"/>
      <c r="L77" s="39"/>
      <c r="M77" s="62"/>
    </row>
    <row r="78" spans="1:16" x14ac:dyDescent="0.25">
      <c r="A78" s="62"/>
      <c r="B78" s="62"/>
      <c r="C78" s="62"/>
      <c r="D78" s="76"/>
      <c r="E78" s="77"/>
      <c r="F78" s="35"/>
      <c r="G78" s="78"/>
      <c r="H78" s="62"/>
      <c r="I78" s="62"/>
      <c r="J78" s="62"/>
      <c r="K78" s="62"/>
      <c r="L78" s="39"/>
      <c r="M78" s="62"/>
    </row>
    <row r="79" spans="1:16" s="2" customFormat="1" ht="12.75" x14ac:dyDescent="0.2"/>
    <row r="80" spans="1:16" s="2" customFormat="1" ht="12.75" x14ac:dyDescent="0.2"/>
    <row r="82" spans="1:13" s="2" customFormat="1" ht="12.75" x14ac:dyDescent="0.2">
      <c r="A82" s="79"/>
      <c r="B82" s="79"/>
      <c r="E82" s="79"/>
      <c r="F82" s="79"/>
      <c r="G82" s="79"/>
      <c r="H82" s="80"/>
      <c r="M82" s="79"/>
    </row>
    <row r="83" spans="1:13" s="2" customFormat="1" ht="12.75" x14ac:dyDescent="0.2">
      <c r="A83" s="79"/>
      <c r="B83" s="79"/>
      <c r="E83" s="79"/>
      <c r="F83" s="79"/>
      <c r="G83" s="79"/>
      <c r="H83" s="80"/>
      <c r="M83" s="79"/>
    </row>
    <row r="84" spans="1:13" s="2" customFormat="1" ht="12.75" x14ac:dyDescent="0.2">
      <c r="A84" s="81"/>
      <c r="B84" s="81"/>
    </row>
    <row r="85" spans="1:13" s="2" customFormat="1" ht="12.75" x14ac:dyDescent="0.2">
      <c r="A85" s="82"/>
      <c r="B85" s="82"/>
      <c r="E85" s="82"/>
      <c r="F85" s="81"/>
      <c r="G85" s="81"/>
      <c r="M85" s="83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6"/>
  <sheetViews>
    <sheetView zoomScale="90" zoomScaleNormal="90" workbookViewId="0">
      <pane xSplit="2" topLeftCell="C1" activePane="topRight" state="frozen"/>
      <selection pane="topRight" activeCell="Q9" sqref="Q9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4" width="10.5703125" style="2" customWidth="1"/>
    <col min="15" max="15" width="13" style="2" customWidth="1"/>
    <col min="16" max="16" width="14.7109375" style="2" bestFit="1" customWidth="1"/>
    <col min="17" max="18" width="10.85546875" style="2" customWidth="1"/>
    <col min="19" max="19" width="11.28515625" style="2" customWidth="1"/>
    <col min="20" max="1024" width="9.140625" style="2"/>
  </cols>
  <sheetData>
    <row r="1" spans="1:19" s="2" customFormat="1" ht="25.5" x14ac:dyDescent="0.2">
      <c r="A1" s="3"/>
      <c r="B1" s="3" t="s">
        <v>137</v>
      </c>
      <c r="C1" s="4">
        <v>44053</v>
      </c>
      <c r="D1" s="5"/>
      <c r="E1" s="6" t="s">
        <v>138</v>
      </c>
      <c r="F1" s="7"/>
      <c r="G1" s="8"/>
      <c r="K1" s="9" t="s">
        <v>139</v>
      </c>
      <c r="L1" s="9" t="s">
        <v>140</v>
      </c>
      <c r="M1" s="10" t="s">
        <v>141</v>
      </c>
    </row>
    <row r="2" spans="1:19" x14ac:dyDescent="0.25">
      <c r="A2" s="3"/>
      <c r="B2" s="3" t="s">
        <v>142</v>
      </c>
      <c r="C2" s="11">
        <v>9</v>
      </c>
      <c r="D2" s="12"/>
      <c r="E2" s="13">
        <f>SUM(E24,E36,E47,E67,E26)</f>
        <v>73826294.239576802</v>
      </c>
      <c r="F2" s="14"/>
      <c r="G2" s="15"/>
      <c r="H2" s="12"/>
      <c r="I2" s="12"/>
      <c r="J2" s="12"/>
      <c r="K2" s="13">
        <f>SUM(K24,K36,K47,K67,K26)</f>
        <v>73906116.534630418</v>
      </c>
      <c r="L2" s="16">
        <f>SUM(L47,L67,L36,L24,L26)</f>
        <v>1</v>
      </c>
      <c r="M2" s="17">
        <f>K2/$C$6</f>
        <v>9.0096769007918951</v>
      </c>
      <c r="P2" s="18"/>
    </row>
    <row r="3" spans="1:19" ht="26.25" x14ac:dyDescent="0.25">
      <c r="A3" s="3"/>
      <c r="B3" s="3" t="s">
        <v>143</v>
      </c>
      <c r="C3" s="19">
        <v>8202970.7999999998</v>
      </c>
      <c r="D3" s="20"/>
      <c r="E3" s="6" t="s">
        <v>144</v>
      </c>
      <c r="F3" s="14"/>
      <c r="G3" s="15"/>
      <c r="H3" s="12"/>
      <c r="I3" s="12"/>
      <c r="J3" s="12"/>
      <c r="K3" s="9" t="s">
        <v>139</v>
      </c>
      <c r="L3" s="12"/>
      <c r="M3" s="10" t="s">
        <v>145</v>
      </c>
      <c r="P3" s="21"/>
    </row>
    <row r="4" spans="1:19" x14ac:dyDescent="0.25">
      <c r="A4" s="3"/>
      <c r="B4" s="3" t="s">
        <v>146</v>
      </c>
      <c r="C4" s="19">
        <v>0</v>
      </c>
      <c r="D4" s="20"/>
      <c r="E4" s="13">
        <f>SUM(E24,E67,E26)</f>
        <v>12919309.876313999</v>
      </c>
      <c r="F4" s="14"/>
      <c r="G4" s="15"/>
      <c r="H4" s="12"/>
      <c r="I4" s="12"/>
      <c r="J4" s="12"/>
      <c r="K4" s="13">
        <f>SUM(K24,K26,K67)</f>
        <v>13005554.016371334</v>
      </c>
      <c r="L4" s="12"/>
      <c r="M4" s="17">
        <f>K4/$C$6</f>
        <v>1.585468768994196</v>
      </c>
      <c r="P4" s="21"/>
    </row>
    <row r="5" spans="1:19" x14ac:dyDescent="0.25">
      <c r="A5" s="3"/>
      <c r="B5" s="3" t="s">
        <v>147</v>
      </c>
      <c r="C5" s="19">
        <v>0</v>
      </c>
      <c r="D5" s="20"/>
      <c r="E5" s="14"/>
      <c r="F5" s="14"/>
      <c r="G5" s="15"/>
      <c r="H5" s="12"/>
      <c r="I5" s="12"/>
      <c r="J5" s="12"/>
      <c r="K5" s="12"/>
      <c r="L5" s="12"/>
      <c r="M5" s="12"/>
      <c r="P5" s="21"/>
    </row>
    <row r="6" spans="1:19" x14ac:dyDescent="0.25">
      <c r="A6" s="3"/>
      <c r="B6" s="3" t="s">
        <v>148</v>
      </c>
      <c r="C6" s="19">
        <f>C3+C4-C5</f>
        <v>8202970.7999999998</v>
      </c>
      <c r="D6" s="20"/>
      <c r="E6" s="14"/>
      <c r="F6" s="14"/>
      <c r="G6" s="15"/>
      <c r="H6" s="12"/>
      <c r="I6" s="12"/>
      <c r="J6" s="12"/>
      <c r="K6" s="12"/>
      <c r="L6" s="12"/>
      <c r="M6" s="12"/>
      <c r="P6" s="21"/>
    </row>
    <row r="7" spans="1:19" x14ac:dyDescent="0.25">
      <c r="A7" s="22"/>
      <c r="B7" s="23"/>
      <c r="C7" s="23"/>
      <c r="D7" s="24"/>
      <c r="E7" s="25"/>
      <c r="F7" s="25"/>
      <c r="G7" s="25"/>
      <c r="H7" s="26"/>
      <c r="I7" s="26"/>
      <c r="J7" s="26"/>
      <c r="K7" s="12"/>
      <c r="L7" s="12"/>
      <c r="M7" s="12"/>
      <c r="P7" s="219">
        <f>SUM(P9:P65)/2</f>
        <v>4504318.7326847855</v>
      </c>
    </row>
    <row r="8" spans="1:19" s="30" customFormat="1" ht="38.25" x14ac:dyDescent="0.2">
      <c r="A8" s="27" t="s">
        <v>149</v>
      </c>
      <c r="B8" s="27" t="s">
        <v>150</v>
      </c>
      <c r="C8" s="28" t="s">
        <v>1</v>
      </c>
      <c r="D8" s="28" t="s">
        <v>151</v>
      </c>
      <c r="E8" s="28" t="s">
        <v>152</v>
      </c>
      <c r="F8" s="28" t="s">
        <v>153</v>
      </c>
      <c r="G8" s="28" t="s">
        <v>154</v>
      </c>
      <c r="H8" s="28" t="s">
        <v>155</v>
      </c>
      <c r="I8" s="28" t="s">
        <v>156</v>
      </c>
      <c r="J8" s="28" t="s">
        <v>157</v>
      </c>
      <c r="K8" s="29" t="s">
        <v>158</v>
      </c>
      <c r="L8" s="29" t="s">
        <v>159</v>
      </c>
      <c r="M8" s="29" t="s">
        <v>160</v>
      </c>
      <c r="P8" s="31"/>
      <c r="S8" s="32"/>
    </row>
    <row r="9" spans="1:19" s="41" customFormat="1" ht="12.75" x14ac:dyDescent="0.2">
      <c r="A9" s="33" t="s">
        <v>161</v>
      </c>
      <c r="B9" s="33" t="s">
        <v>41</v>
      </c>
      <c r="C9" s="33" t="s">
        <v>42</v>
      </c>
      <c r="D9" s="34">
        <v>9.6150000000000003E-3</v>
      </c>
      <c r="E9" s="35">
        <f>'Aug 10'!$D9*$C$6*$C$2</f>
        <v>709844.07817800005</v>
      </c>
      <c r="F9" s="35">
        <v>448.50029708853202</v>
      </c>
      <c r="G9" s="36">
        <f>'Aug 10'!$E9/'Aug 10'!$F9</f>
        <v>1582.7059263639237</v>
      </c>
      <c r="H9" s="33">
        <v>1683</v>
      </c>
      <c r="I9" s="33">
        <v>1583</v>
      </c>
      <c r="J9" s="37">
        <f t="shared" ref="J9:J22" si="0">I9-H9</f>
        <v>-100</v>
      </c>
      <c r="K9" s="38">
        <f>'Aug 10'!$F9*'Aug 10'!$I9</f>
        <v>709975.97029114619</v>
      </c>
      <c r="L9" s="39">
        <f>'Aug 10'!$K9/$K$2</f>
        <v>9.6064575380370651E-3</v>
      </c>
      <c r="M9" s="40"/>
      <c r="O9" s="2">
        <f>Table138958456[[#This Row],[Change]]*Table138958456[[#This Row],[Last price]]</f>
        <v>-44850.029708853202</v>
      </c>
      <c r="P9" s="42">
        <f>ABS(O9)</f>
        <v>44850.029708853202</v>
      </c>
    </row>
    <row r="10" spans="1:19" s="41" customFormat="1" ht="25.5" customHeight="1" x14ac:dyDescent="0.2">
      <c r="A10" s="33" t="s">
        <v>161</v>
      </c>
      <c r="B10" s="33" t="s">
        <v>47</v>
      </c>
      <c r="C10" s="33" t="s">
        <v>48</v>
      </c>
      <c r="D10" s="34">
        <v>9.6150000000000003E-3</v>
      </c>
      <c r="E10" s="35">
        <f>'Aug 10'!$D10*$C$6*$C$2</f>
        <v>709844.07817800005</v>
      </c>
      <c r="F10" s="35">
        <v>620.21004942339403</v>
      </c>
      <c r="G10" s="36">
        <f>'Aug 10'!$E10/'Aug 10'!$F10</f>
        <v>1144.5220515822637</v>
      </c>
      <c r="H10" s="33">
        <v>1214</v>
      </c>
      <c r="I10" s="33">
        <v>1145</v>
      </c>
      <c r="J10" s="37">
        <f t="shared" si="0"/>
        <v>-69</v>
      </c>
      <c r="K10" s="38">
        <f>'Aug 10'!$F10*'Aug 10'!$I10</f>
        <v>710140.50658978615</v>
      </c>
      <c r="L10" s="39">
        <f>'Aug 10'!$K10/$K$2</f>
        <v>9.6086838260136895E-3</v>
      </c>
      <c r="M10" s="40"/>
      <c r="O10" s="2">
        <f>Table138958456[[#This Row],[Change]]*Table138958456[[#This Row],[Last price]]</f>
        <v>-42794.493410214185</v>
      </c>
      <c r="P10" s="42">
        <f t="shared" ref="P10:P65" si="1">ABS(O10)</f>
        <v>42794.493410214185</v>
      </c>
    </row>
    <row r="11" spans="1:19" s="41" customFormat="1" ht="12.75" customHeight="1" x14ac:dyDescent="0.2">
      <c r="A11" s="33" t="s">
        <v>161</v>
      </c>
      <c r="B11" s="33" t="s">
        <v>50</v>
      </c>
      <c r="C11" s="33" t="s">
        <v>51</v>
      </c>
      <c r="D11" s="34">
        <v>9.6150000000000003E-3</v>
      </c>
      <c r="E11" s="35">
        <f>'Aug 10'!$D11*$C$6*$C$2</f>
        <v>709844.07817800005</v>
      </c>
      <c r="F11" s="35">
        <v>1451</v>
      </c>
      <c r="G11" s="36">
        <f>'Aug 10'!$E11/'Aug 10'!$F11</f>
        <v>489.21025374086838</v>
      </c>
      <c r="H11" s="33">
        <v>513</v>
      </c>
      <c r="I11" s="33">
        <v>489</v>
      </c>
      <c r="J11" s="37">
        <f t="shared" si="0"/>
        <v>-24</v>
      </c>
      <c r="K11" s="38">
        <f>'Aug 10'!$F11*'Aug 10'!$I11</f>
        <v>709539</v>
      </c>
      <c r="L11" s="39">
        <f>'Aug 10'!$K11/$K$2</f>
        <v>9.6005450329341695E-3</v>
      </c>
      <c r="M11" s="40"/>
      <c r="O11" s="2">
        <f>Table138958456[[#This Row],[Change]]*Table138958456[[#This Row],[Last price]]</f>
        <v>-34824</v>
      </c>
      <c r="P11" s="42">
        <f t="shared" si="1"/>
        <v>34824</v>
      </c>
    </row>
    <row r="12" spans="1:19" s="41" customFormat="1" ht="12.75" customHeight="1" x14ac:dyDescent="0.2">
      <c r="A12" s="33" t="s">
        <v>161</v>
      </c>
      <c r="B12" s="33" t="s">
        <v>61</v>
      </c>
      <c r="C12" s="33" t="s">
        <v>62</v>
      </c>
      <c r="D12" s="34">
        <v>9.6150000000000003E-3</v>
      </c>
      <c r="E12" s="35">
        <f>'Aug 10'!$D12*$C$6*$C$2</f>
        <v>709844.07817800005</v>
      </c>
      <c r="F12" s="35">
        <v>445.49024246008298</v>
      </c>
      <c r="G12" s="36">
        <f>'Aug 10'!$E12/'Aug 10'!$F12</f>
        <v>1593.3998335364299</v>
      </c>
      <c r="H12" s="33">
        <v>1691</v>
      </c>
      <c r="I12" s="33">
        <v>1593</v>
      </c>
      <c r="J12" s="37">
        <f t="shared" si="0"/>
        <v>-98</v>
      </c>
      <c r="K12" s="38">
        <f>'Aug 10'!$F12*'Aug 10'!$I12</f>
        <v>709665.95623891219</v>
      </c>
      <c r="L12" s="39">
        <f>'Aug 10'!$K12/$K$2</f>
        <v>9.6022628371547816E-3</v>
      </c>
      <c r="M12" s="40"/>
      <c r="O12" s="2">
        <f>Table138958456[[#This Row],[Change]]*Table138958456[[#This Row],[Last price]]</f>
        <v>-43658.043761088134</v>
      </c>
      <c r="P12" s="42">
        <f t="shared" si="1"/>
        <v>43658.043761088134</v>
      </c>
    </row>
    <row r="13" spans="1:19" s="41" customFormat="1" ht="12.75" customHeight="1" x14ac:dyDescent="0.2">
      <c r="A13" s="33" t="s">
        <v>161</v>
      </c>
      <c r="B13" s="33" t="s">
        <v>164</v>
      </c>
      <c r="C13" s="33" t="s">
        <v>165</v>
      </c>
      <c r="D13" s="34">
        <v>9.6150000000000003E-3</v>
      </c>
      <c r="E13" s="35">
        <f>'Aug 10'!$D13*$C$6*$C$2</f>
        <v>709844.07817800005</v>
      </c>
      <c r="F13" s="35">
        <v>440.69982648929999</v>
      </c>
      <c r="G13" s="36">
        <f>'Aug 10'!$E13/'Aug 10'!$F13</f>
        <v>1610.7201217498887</v>
      </c>
      <c r="H13" s="33">
        <v>1729</v>
      </c>
      <c r="I13" s="33">
        <v>1611</v>
      </c>
      <c r="J13" s="37">
        <f t="shared" si="0"/>
        <v>-118</v>
      </c>
      <c r="K13" s="38">
        <f>'Aug 10'!$F13*'Aug 10'!$I13</f>
        <v>709967.42047426233</v>
      </c>
      <c r="L13" s="39">
        <f>'Aug 10'!$K13/$K$2</f>
        <v>9.6063418532022406E-3</v>
      </c>
      <c r="M13" s="40"/>
      <c r="O13" s="2">
        <f>Table138958456[[#This Row],[Change]]*Table138958456[[#This Row],[Last price]]</f>
        <v>-52002.579525737397</v>
      </c>
      <c r="P13" s="42">
        <f t="shared" si="1"/>
        <v>52002.579525737397</v>
      </c>
    </row>
    <row r="14" spans="1:19" s="41" customFormat="1" ht="12.75" customHeight="1" x14ac:dyDescent="0.2">
      <c r="A14" s="33" t="s">
        <v>161</v>
      </c>
      <c r="B14" s="33" t="s">
        <v>53</v>
      </c>
      <c r="C14" s="33" t="s">
        <v>54</v>
      </c>
      <c r="D14" s="34">
        <v>9.6150000000000003E-3</v>
      </c>
      <c r="E14" s="35">
        <f>'Aug 10'!$D14*$C$6*$C$2</f>
        <v>709844.07817800005</v>
      </c>
      <c r="F14" s="35">
        <v>273.55012667390503</v>
      </c>
      <c r="G14" s="36">
        <f>'Aug 10'!$E14/'Aug 10'!$F14</f>
        <v>2594.9323687361857</v>
      </c>
      <c r="H14" s="33">
        <v>2763</v>
      </c>
      <c r="I14" s="33">
        <v>2595</v>
      </c>
      <c r="J14" s="37">
        <f t="shared" si="0"/>
        <v>-168</v>
      </c>
      <c r="K14" s="38">
        <f>'Aug 10'!$F14*'Aug 10'!$I14</f>
        <v>709862.57871878357</v>
      </c>
      <c r="L14" s="39">
        <f>'Aug 10'!$K14/$K$2</f>
        <v>9.6049232729764795E-3</v>
      </c>
      <c r="M14" s="40"/>
      <c r="O14" s="2">
        <f>Table138958456[[#This Row],[Change]]*Table138958456[[#This Row],[Last price]]</f>
        <v>-45956.421281216048</v>
      </c>
      <c r="P14" s="42">
        <f t="shared" si="1"/>
        <v>45956.421281216048</v>
      </c>
    </row>
    <row r="15" spans="1:19" s="41" customFormat="1" ht="12.75" customHeight="1" x14ac:dyDescent="0.2">
      <c r="A15" s="33" t="s">
        <v>161</v>
      </c>
      <c r="B15" s="33" t="s">
        <v>35</v>
      </c>
      <c r="C15" s="33" t="s">
        <v>36</v>
      </c>
      <c r="D15" s="34">
        <v>9.6150000000000003E-3</v>
      </c>
      <c r="E15" s="35">
        <f>'Aug 10'!$D15*$C$6*$C$2</f>
        <v>709844.07817800005</v>
      </c>
      <c r="F15" s="35">
        <v>61.8300280874968</v>
      </c>
      <c r="G15" s="36">
        <f>'Aug 10'!$E15/'Aug 10'!$F15</f>
        <v>11480.571821405074</v>
      </c>
      <c r="H15" s="33">
        <v>11749</v>
      </c>
      <c r="I15" s="33">
        <v>11481</v>
      </c>
      <c r="J15" s="37">
        <f t="shared" si="0"/>
        <v>-268</v>
      </c>
      <c r="K15" s="38">
        <f>'Aug 10'!$F15*'Aug 10'!$I15</f>
        <v>709870.55247255077</v>
      </c>
      <c r="L15" s="39">
        <f>'Aug 10'!$K15/$K$2</f>
        <v>9.6050311632857148E-3</v>
      </c>
      <c r="M15" s="40"/>
      <c r="O15" s="2">
        <f>Table138958456[[#This Row],[Change]]*Table138958456[[#This Row],[Last price]]</f>
        <v>-16570.447527449141</v>
      </c>
      <c r="P15" s="42">
        <f t="shared" si="1"/>
        <v>16570.447527449141</v>
      </c>
    </row>
    <row r="16" spans="1:19" s="44" customFormat="1" ht="12.75" customHeight="1" x14ac:dyDescent="0.2">
      <c r="A16" s="33" t="s">
        <v>161</v>
      </c>
      <c r="B16" s="43" t="s">
        <v>17</v>
      </c>
      <c r="C16" s="33" t="s">
        <v>170</v>
      </c>
      <c r="D16" s="34">
        <v>9.6150000000000003E-3</v>
      </c>
      <c r="E16" s="35">
        <f>'Aug 10'!$D16*$C$6*$C$2</f>
        <v>709844.07817800005</v>
      </c>
      <c r="F16" s="35">
        <v>84.760045402951206</v>
      </c>
      <c r="G16" s="36">
        <f>'Aug 10'!$E16/'Aug 10'!$F16</f>
        <v>8374.7486779105056</v>
      </c>
      <c r="H16" s="33">
        <v>8810</v>
      </c>
      <c r="I16" s="33">
        <v>8375</v>
      </c>
      <c r="J16" s="37">
        <f t="shared" si="0"/>
        <v>-435</v>
      </c>
      <c r="K16" s="38">
        <f>'Aug 10'!$F16*'Aug 10'!$I16</f>
        <v>709865.38024971634</v>
      </c>
      <c r="L16" s="39">
        <f>'Aug 10'!$K16/$K$2</f>
        <v>9.6049611795945532E-3</v>
      </c>
      <c r="M16" s="33"/>
      <c r="O16" s="2">
        <f>Table138958456[[#This Row],[Change]]*Table138958456[[#This Row],[Last price]]</f>
        <v>-36870.619750283775</v>
      </c>
      <c r="P16" s="42">
        <f t="shared" si="1"/>
        <v>36870.619750283775</v>
      </c>
    </row>
    <row r="17" spans="1:17" s="44" customFormat="1" ht="12.75" customHeight="1" x14ac:dyDescent="0.2">
      <c r="A17" s="33" t="s">
        <v>161</v>
      </c>
      <c r="B17" s="43" t="s">
        <v>172</v>
      </c>
      <c r="C17" s="33" t="s">
        <v>173</v>
      </c>
      <c r="D17" s="34">
        <v>9.6150000000000003E-3</v>
      </c>
      <c r="E17" s="35">
        <f>'Aug 10'!$D17*$C$6*$C$2</f>
        <v>709844.07817800005</v>
      </c>
      <c r="F17" s="35">
        <v>23.401170886075899</v>
      </c>
      <c r="G17" s="36">
        <f>'Aug 10'!$E17/'Aug 10'!$F17</f>
        <v>30333.69918256396</v>
      </c>
      <c r="H17" s="33">
        <v>31600</v>
      </c>
      <c r="I17" s="33">
        <v>30300</v>
      </c>
      <c r="J17" s="37">
        <f t="shared" si="0"/>
        <v>-1300</v>
      </c>
      <c r="K17" s="38">
        <f>'Aug 10'!$F17*'Aug 10'!$I17</f>
        <v>709055.47784809978</v>
      </c>
      <c r="L17" s="39">
        <f>'Aug 10'!$K17/$K$2</f>
        <v>9.5940026495081147E-3</v>
      </c>
      <c r="M17" s="33"/>
      <c r="O17" s="2">
        <f>Table138958456[[#This Row],[Change]]*Table138958456[[#This Row],[Last price]]</f>
        <v>-30421.522151898669</v>
      </c>
      <c r="P17" s="42">
        <f t="shared" si="1"/>
        <v>30421.522151898669</v>
      </c>
    </row>
    <row r="18" spans="1:17" s="44" customFormat="1" ht="12.75" customHeight="1" x14ac:dyDescent="0.2">
      <c r="A18" s="33" t="s">
        <v>161</v>
      </c>
      <c r="B18" s="43" t="s">
        <v>44</v>
      </c>
      <c r="C18" s="33" t="s">
        <v>45</v>
      </c>
      <c r="D18" s="34">
        <v>9.6150000000000003E-3</v>
      </c>
      <c r="E18" s="35">
        <f>'Aug 10'!$D18*$C$6*$C$2</f>
        <v>709844.07817800005</v>
      </c>
      <c r="F18" s="35">
        <v>199.20005320563999</v>
      </c>
      <c r="G18" s="36">
        <f>'Aug 10'!$E18/'Aug 10'!$F18</f>
        <v>3563.4733362506054</v>
      </c>
      <c r="H18" s="33">
        <v>3759</v>
      </c>
      <c r="I18" s="33">
        <v>3563</v>
      </c>
      <c r="J18" s="37">
        <f t="shared" si="0"/>
        <v>-196</v>
      </c>
      <c r="K18" s="38">
        <f>'Aug 10'!$F18*'Aug 10'!$I18</f>
        <v>709749.78957169526</v>
      </c>
      <c r="L18" s="39">
        <f>'Aug 10'!$K18/$K$2</f>
        <v>9.6033971591394009E-3</v>
      </c>
      <c r="M18" s="33"/>
      <c r="O18" s="2">
        <f>Table138958456[[#This Row],[Change]]*Table138958456[[#This Row],[Last price]]</f>
        <v>-39043.210428305436</v>
      </c>
      <c r="P18" s="42">
        <f t="shared" si="1"/>
        <v>39043.210428305436</v>
      </c>
    </row>
    <row r="19" spans="1:17" s="44" customFormat="1" ht="12.75" customHeight="1" x14ac:dyDescent="0.2">
      <c r="A19" s="33" t="s">
        <v>161</v>
      </c>
      <c r="B19" s="43" t="s">
        <v>56</v>
      </c>
      <c r="C19" s="33" t="s">
        <v>174</v>
      </c>
      <c r="D19" s="34">
        <v>0</v>
      </c>
      <c r="E19" s="35">
        <f>'Aug 10'!$D19*$C$6*$C$2</f>
        <v>0</v>
      </c>
      <c r="F19" s="35">
        <v>259.009855684618</v>
      </c>
      <c r="G19" s="36">
        <f>'Aug 10'!$E19/'Aug 10'!$F19</f>
        <v>0</v>
      </c>
      <c r="H19" s="33">
        <v>2841</v>
      </c>
      <c r="I19" s="33">
        <v>0</v>
      </c>
      <c r="J19" s="37">
        <f t="shared" si="0"/>
        <v>-2841</v>
      </c>
      <c r="K19" s="38">
        <f>'Aug 10'!$F19*'Aug 10'!$I19</f>
        <v>0</v>
      </c>
      <c r="L19" s="39">
        <f>'Aug 10'!$K19/$K$2</f>
        <v>0</v>
      </c>
      <c r="M19" s="33"/>
      <c r="O19" s="2">
        <f>Table138958456[[#This Row],[Change]]*Table138958456[[#This Row],[Last price]]</f>
        <v>-735846.99999999977</v>
      </c>
      <c r="P19" s="42">
        <f t="shared" si="1"/>
        <v>735846.99999999977</v>
      </c>
    </row>
    <row r="20" spans="1:17" s="44" customFormat="1" ht="12.75" customHeight="1" x14ac:dyDescent="0.2">
      <c r="A20" s="33" t="s">
        <v>161</v>
      </c>
      <c r="B20" s="43" t="s">
        <v>175</v>
      </c>
      <c r="C20" s="33" t="s">
        <v>176</v>
      </c>
      <c r="D20" s="34">
        <v>9.6150000000000003E-3</v>
      </c>
      <c r="E20" s="35">
        <f>'Aug 10'!$D20*$C$6*$C$2</f>
        <v>709844.07817800005</v>
      </c>
      <c r="F20" s="35">
        <v>1203</v>
      </c>
      <c r="G20" s="36">
        <f>'Aug 10'!$E20/'Aug 10'!$F20</f>
        <v>590.06157787032419</v>
      </c>
      <c r="H20" s="33">
        <v>635</v>
      </c>
      <c r="I20" s="33">
        <v>590</v>
      </c>
      <c r="J20" s="37">
        <f t="shared" si="0"/>
        <v>-45</v>
      </c>
      <c r="K20" s="38">
        <f>'Aug 10'!$F20*'Aug 10'!$I20</f>
        <v>709770</v>
      </c>
      <c r="L20" s="39">
        <f>'Aug 10'!$K20/$K$2</f>
        <v>9.603670619973935E-3</v>
      </c>
      <c r="M20" s="33"/>
      <c r="O20" s="2">
        <f>Table138958456[[#This Row],[Change]]*Table138958456[[#This Row],[Last price]]</f>
        <v>-54135</v>
      </c>
      <c r="P20" s="42">
        <f t="shared" si="1"/>
        <v>54135</v>
      </c>
    </row>
    <row r="21" spans="1:17" s="44" customFormat="1" ht="12.75" customHeight="1" x14ac:dyDescent="0.2">
      <c r="A21" s="33" t="s">
        <v>161</v>
      </c>
      <c r="B21" s="43" t="s">
        <v>20</v>
      </c>
      <c r="C21" s="33" t="s">
        <v>21</v>
      </c>
      <c r="D21" s="34">
        <v>9.6150000000000003E-3</v>
      </c>
      <c r="E21" s="35">
        <f>'Aug 10'!$D21*$C$6*$C$2</f>
        <v>709844.07817800005</v>
      </c>
      <c r="F21" s="35">
        <v>3162</v>
      </c>
      <c r="G21" s="36">
        <f>'Aug 10'!$E21/'Aug 10'!$F21</f>
        <v>224.49211833586338</v>
      </c>
      <c r="H21" s="33">
        <v>240</v>
      </c>
      <c r="I21" s="33">
        <v>224</v>
      </c>
      <c r="J21" s="37">
        <f t="shared" si="0"/>
        <v>-16</v>
      </c>
      <c r="K21" s="38">
        <f>'Aug 10'!$F21*'Aug 10'!$I21</f>
        <v>708288</v>
      </c>
      <c r="L21" s="39">
        <f>'Aug 10'!$K21/$K$2</f>
        <v>9.5836181524720666E-3</v>
      </c>
      <c r="M21" s="33"/>
      <c r="O21" s="2">
        <f>Table138958456[[#This Row],[Change]]*Table138958456[[#This Row],[Last price]]</f>
        <v>-50592</v>
      </c>
      <c r="P21" s="42">
        <f t="shared" si="1"/>
        <v>50592</v>
      </c>
    </row>
    <row r="22" spans="1:17" s="44" customFormat="1" ht="12.75" customHeight="1" x14ac:dyDescent="0.2">
      <c r="A22" s="33" t="s">
        <v>161</v>
      </c>
      <c r="B22" s="33" t="s">
        <v>230</v>
      </c>
      <c r="C22" s="33" t="s">
        <v>231</v>
      </c>
      <c r="D22" s="34">
        <v>9.6150000000000003E-3</v>
      </c>
      <c r="E22" s="35">
        <f>'Aug 10'!$D22*$C$6*$C$2</f>
        <v>709844.07817800005</v>
      </c>
      <c r="F22" s="35">
        <v>9.3699999999999992</v>
      </c>
      <c r="G22" s="36">
        <f>'Aug 10'!$E22/'Aug 10'!$F22</f>
        <v>75757.105461899686</v>
      </c>
      <c r="H22" s="33">
        <v>0</v>
      </c>
      <c r="I22" s="33">
        <v>75800</v>
      </c>
      <c r="J22" s="37">
        <f t="shared" si="0"/>
        <v>75800</v>
      </c>
      <c r="K22" s="38">
        <f>'Aug 10'!$F22*'Aug 10'!$I22</f>
        <v>710245.99999999988</v>
      </c>
      <c r="L22" s="39">
        <f>'Aug 10'!$K22/$K$2</f>
        <v>9.6101112235710256E-3</v>
      </c>
      <c r="M22" s="33"/>
      <c r="O22" s="2">
        <f>Table138958456[[#This Row],[Change]]*Table138958456[[#This Row],[Last price]]</f>
        <v>710245.99999999988</v>
      </c>
      <c r="P22" s="42">
        <f t="shared" si="1"/>
        <v>710245.99999999988</v>
      </c>
    </row>
    <row r="23" spans="1:17" s="44" customFormat="1" ht="12.75" customHeight="1" x14ac:dyDescent="0.2">
      <c r="A23" s="33"/>
      <c r="B23" s="33"/>
      <c r="C23" s="33"/>
      <c r="D23" s="34"/>
      <c r="E23" s="35"/>
      <c r="F23" s="35"/>
      <c r="G23" s="36"/>
      <c r="H23" s="33"/>
      <c r="I23" s="33"/>
      <c r="J23" s="45"/>
      <c r="K23" s="35"/>
      <c r="L23" s="46"/>
      <c r="M23" s="33"/>
      <c r="O23" s="2">
        <f>Table138958456[[#This Row],[Change]]*Table138958456[[#This Row],[Last price]]</f>
        <v>0</v>
      </c>
      <c r="P23" s="42">
        <f t="shared" si="1"/>
        <v>0</v>
      </c>
    </row>
    <row r="24" spans="1:17" s="54" customFormat="1" ht="12.75" customHeight="1" x14ac:dyDescent="0.2">
      <c r="A24" s="47" t="s">
        <v>177</v>
      </c>
      <c r="B24" s="47"/>
      <c r="C24" s="47"/>
      <c r="D24" s="48">
        <f>SUBTOTAL(9,D9:D22)</f>
        <v>0.12499499999999999</v>
      </c>
      <c r="E24" s="49">
        <f>'Aug 10'!$D24*$C$6*$C$2</f>
        <v>9227973.0163139999</v>
      </c>
      <c r="F24" s="50"/>
      <c r="G24" s="51"/>
      <c r="H24" s="47"/>
      <c r="I24" s="47"/>
      <c r="J24" s="52"/>
      <c r="K24" s="49">
        <f>SUM(K9:K23)</f>
        <v>9225996.6324549522</v>
      </c>
      <c r="L24" s="53">
        <f>'Aug 10'!$K24/$K$2</f>
        <v>0.12483400650786323</v>
      </c>
      <c r="M24" s="47"/>
      <c r="O24" s="2">
        <f>Table138958456[[#This Row],[Change]]*Table138958456[[#This Row],[Last price]]</f>
        <v>0</v>
      </c>
      <c r="P24" s="42">
        <f t="shared" si="1"/>
        <v>0</v>
      </c>
    </row>
    <row r="25" spans="1:17" s="44" customFormat="1" ht="12.75" customHeight="1" x14ac:dyDescent="0.2">
      <c r="A25" s="33"/>
      <c r="B25" s="33"/>
      <c r="C25" s="33"/>
      <c r="D25" s="34"/>
      <c r="E25" s="35"/>
      <c r="F25" s="35"/>
      <c r="G25" s="36"/>
      <c r="H25" s="33"/>
      <c r="I25" s="33"/>
      <c r="J25" s="45"/>
      <c r="K25" s="35"/>
      <c r="L25" s="39"/>
      <c r="M25" s="33"/>
      <c r="O25" s="2">
        <f>Table138958456[[#This Row],[Change]]*Table138958456[[#This Row],[Last price]]</f>
        <v>0</v>
      </c>
      <c r="P25" s="42">
        <f t="shared" si="1"/>
        <v>0</v>
      </c>
    </row>
    <row r="26" spans="1:17" s="41" customFormat="1" ht="12.75" customHeight="1" x14ac:dyDescent="0.2">
      <c r="A26" s="55"/>
      <c r="B26" s="47" t="s">
        <v>32</v>
      </c>
      <c r="C26" s="55" t="s">
        <v>33</v>
      </c>
      <c r="D26" s="56">
        <v>3.5000000000000003E-2</v>
      </c>
      <c r="E26" s="57">
        <f>'Aug 10'!$D26*$C$6*$C$2</f>
        <v>2583935.8020000001</v>
      </c>
      <c r="F26" s="57">
        <v>19.380001129401101</v>
      </c>
      <c r="G26" s="58">
        <f>'Aug 10'!$E26/'Aug 10'!$F26</f>
        <v>133330.01297301013</v>
      </c>
      <c r="H26" s="55">
        <v>141668</v>
      </c>
      <c r="I26" s="55">
        <v>133330</v>
      </c>
      <c r="J26" s="59">
        <f>I26-H26</f>
        <v>-8338</v>
      </c>
      <c r="K26" s="50">
        <f>'Aug 10'!$F26*'Aug 10'!$I26</f>
        <v>2583935.5505830487</v>
      </c>
      <c r="L26" s="53">
        <f>'Aug 10'!$K26/$K$2</f>
        <v>3.4962404625499245E-2</v>
      </c>
      <c r="M26" s="47"/>
      <c r="O26" s="2">
        <f>Table138958456[[#This Row],[Change]]*Table138958456[[#This Row],[Last price]]</f>
        <v>-161590.44941694639</v>
      </c>
      <c r="P26" s="42">
        <f t="shared" si="1"/>
        <v>161590.44941694639</v>
      </c>
      <c r="Q26" s="42"/>
    </row>
    <row r="27" spans="1:17" s="41" customFormat="1" ht="12.75" customHeight="1" x14ac:dyDescent="0.2">
      <c r="A27" s="33"/>
      <c r="B27" s="33"/>
      <c r="C27" s="33"/>
      <c r="D27" s="34"/>
      <c r="E27" s="35"/>
      <c r="F27" s="35"/>
      <c r="G27" s="36"/>
      <c r="H27" s="33"/>
      <c r="I27" s="33"/>
      <c r="J27" s="45"/>
      <c r="K27" s="38"/>
      <c r="L27" s="39"/>
      <c r="M27" s="33"/>
      <c r="O27" s="2">
        <f>Table138958456[[#This Row],[Change]]*Table138958456[[#This Row],[Last price]]</f>
        <v>0</v>
      </c>
      <c r="P27" s="42">
        <f t="shared" si="1"/>
        <v>0</v>
      </c>
      <c r="Q27" s="42"/>
    </row>
    <row r="28" spans="1:17" ht="26.25" x14ac:dyDescent="0.25">
      <c r="A28" s="33" t="s">
        <v>178</v>
      </c>
      <c r="B28" s="60" t="s">
        <v>179</v>
      </c>
      <c r="C28" s="60" t="s">
        <v>106</v>
      </c>
      <c r="D28" s="34">
        <v>3.6110999999999997E-2</v>
      </c>
      <c r="E28" s="35">
        <f>'Aug 10'!$D28*$C$6*$C$2</f>
        <v>2665957.3070291998</v>
      </c>
      <c r="F28" s="35">
        <v>158850</v>
      </c>
      <c r="G28" s="61">
        <f>'Aug 10'!$E28/'Aug 10'!$F28</f>
        <v>16.782859975002832</v>
      </c>
      <c r="H28" s="33">
        <v>18</v>
      </c>
      <c r="I28" s="33">
        <v>17</v>
      </c>
      <c r="J28" s="37">
        <f t="shared" ref="J28:J34" si="2">I28-H28</f>
        <v>-1</v>
      </c>
      <c r="K28" s="38">
        <f>'Aug 10'!$F28*'Aug 10'!$I28</f>
        <v>2700450</v>
      </c>
      <c r="L28" s="39">
        <f>'Aug 10'!$K28/$K$2</f>
        <v>3.6538924335641987E-2</v>
      </c>
      <c r="M28" s="62"/>
      <c r="O28" s="2">
        <f>Table138958456[[#This Row],[Change]]*Table138958456[[#This Row],[Last price]]</f>
        <v>-158850</v>
      </c>
      <c r="P28" s="42">
        <f t="shared" si="1"/>
        <v>158850</v>
      </c>
    </row>
    <row r="29" spans="1:17" ht="26.25" x14ac:dyDescent="0.25">
      <c r="A29" s="33" t="s">
        <v>178</v>
      </c>
      <c r="B29" s="60" t="s">
        <v>180</v>
      </c>
      <c r="C29" s="60" t="s">
        <v>110</v>
      </c>
      <c r="D29" s="34">
        <v>3.6110999999999997E-2</v>
      </c>
      <c r="E29" s="35">
        <f>'Aug 10'!$D29*$C$6*$C$2</f>
        <v>2665957.3070291998</v>
      </c>
      <c r="F29" s="35">
        <v>226481</v>
      </c>
      <c r="G29" s="61">
        <f>'Aug 10'!$E29/'Aug 10'!$F29</f>
        <v>11.771218367232571</v>
      </c>
      <c r="H29" s="33">
        <v>13</v>
      </c>
      <c r="I29" s="33">
        <v>12</v>
      </c>
      <c r="J29" s="37">
        <f t="shared" si="2"/>
        <v>-1</v>
      </c>
      <c r="K29" s="38">
        <f>'Aug 10'!$F29*'Aug 10'!$I29</f>
        <v>2717772</v>
      </c>
      <c r="L29" s="39">
        <f>'Aug 10'!$K29/$K$2</f>
        <v>3.677330277158488E-2</v>
      </c>
      <c r="M29" s="62"/>
      <c r="O29" s="2">
        <f>Table138958456[[#This Row],[Change]]*Table138958456[[#This Row],[Last price]]</f>
        <v>-226481</v>
      </c>
      <c r="P29" s="42">
        <f t="shared" si="1"/>
        <v>226481</v>
      </c>
    </row>
    <row r="30" spans="1:17" ht="26.25" x14ac:dyDescent="0.25">
      <c r="A30" s="33" t="s">
        <v>178</v>
      </c>
      <c r="B30" s="60" t="s">
        <v>181</v>
      </c>
      <c r="C30" s="60" t="s">
        <v>113</v>
      </c>
      <c r="D30" s="34">
        <v>3.6110999999999997E-2</v>
      </c>
      <c r="E30" s="35">
        <f>'Aug 10'!$D30*$C$6*$C$2</f>
        <v>2665957.3070291998</v>
      </c>
      <c r="F30" s="35">
        <v>181535</v>
      </c>
      <c r="G30" s="61">
        <f>'Aug 10'!$E30/'Aug 10'!$F30</f>
        <v>14.685638069954553</v>
      </c>
      <c r="H30" s="33">
        <v>16</v>
      </c>
      <c r="I30" s="33">
        <v>15</v>
      </c>
      <c r="J30" s="37">
        <f t="shared" si="2"/>
        <v>-1</v>
      </c>
      <c r="K30" s="38">
        <f>'Aug 10'!$F30*'Aug 10'!$I30</f>
        <v>2723025</v>
      </c>
      <c r="L30" s="39">
        <f>'Aug 10'!$K30/$K$2</f>
        <v>3.6844379432709927E-2</v>
      </c>
      <c r="M30" s="62"/>
      <c r="O30" s="2">
        <f>Table138958456[[#This Row],[Change]]*Table138958456[[#This Row],[Last price]]</f>
        <v>-181535</v>
      </c>
      <c r="P30" s="42">
        <f t="shared" si="1"/>
        <v>181535</v>
      </c>
    </row>
    <row r="31" spans="1:17" ht="26.25" x14ac:dyDescent="0.25">
      <c r="A31" s="33" t="s">
        <v>178</v>
      </c>
      <c r="B31" s="60" t="s">
        <v>182</v>
      </c>
      <c r="C31" s="60" t="s">
        <v>116</v>
      </c>
      <c r="D31" s="34">
        <v>3.6110999999999997E-2</v>
      </c>
      <c r="E31" s="35">
        <f>'Aug 10'!$D31*$C$6*$C$2</f>
        <v>2665957.3070291998</v>
      </c>
      <c r="F31" s="35">
        <v>126026</v>
      </c>
      <c r="G31" s="61">
        <f>'Aug 10'!$E31/'Aug 10'!$F31</f>
        <v>21.154026209109229</v>
      </c>
      <c r="H31" s="33">
        <v>23</v>
      </c>
      <c r="I31" s="33">
        <v>21</v>
      </c>
      <c r="J31" s="37">
        <f t="shared" si="2"/>
        <v>-2</v>
      </c>
      <c r="K31" s="38">
        <f>'Aug 10'!$F31*'Aug 10'!$I31</f>
        <v>2646546</v>
      </c>
      <c r="L31" s="39">
        <f>'Aug 10'!$K31/$K$2</f>
        <v>3.5809566570310855E-2</v>
      </c>
      <c r="M31" s="62"/>
      <c r="O31" s="2">
        <f>Table138958456[[#This Row],[Change]]*Table138958456[[#This Row],[Last price]]</f>
        <v>-252052</v>
      </c>
      <c r="P31" s="42">
        <f t="shared" si="1"/>
        <v>252052</v>
      </c>
    </row>
    <row r="32" spans="1:17" ht="26.25" x14ac:dyDescent="0.25">
      <c r="A32" s="33" t="s">
        <v>178</v>
      </c>
      <c r="B32" s="60" t="s">
        <v>183</v>
      </c>
      <c r="C32" s="60" t="s">
        <v>119</v>
      </c>
      <c r="D32" s="34">
        <v>3.6110999999999997E-2</v>
      </c>
      <c r="E32" s="35">
        <f>'Aug 10'!$D32*$C$6*$C$2</f>
        <v>2665957.3070291998</v>
      </c>
      <c r="F32" s="35">
        <v>139940</v>
      </c>
      <c r="G32" s="61">
        <f>'Aug 10'!$E32/'Aug 10'!$F32</f>
        <v>19.050716785973986</v>
      </c>
      <c r="H32" s="33">
        <v>21</v>
      </c>
      <c r="I32" s="33">
        <v>19</v>
      </c>
      <c r="J32" s="37">
        <f t="shared" si="2"/>
        <v>-2</v>
      </c>
      <c r="K32" s="38">
        <f>'Aug 10'!$F32*'Aug 10'!$I32</f>
        <v>2658860</v>
      </c>
      <c r="L32" s="39">
        <f>'Aug 10'!$K32/$K$2</f>
        <v>3.5976183361686037E-2</v>
      </c>
      <c r="M32" s="62"/>
      <c r="O32" s="2">
        <f>Table138958456[[#This Row],[Change]]*Table138958456[[#This Row],[Last price]]</f>
        <v>-279880</v>
      </c>
      <c r="P32" s="42">
        <f t="shared" si="1"/>
        <v>279880</v>
      </c>
    </row>
    <row r="33" spans="1:17" ht="26.25" x14ac:dyDescent="0.25">
      <c r="A33" s="33" t="s">
        <v>178</v>
      </c>
      <c r="B33" s="60" t="s">
        <v>184</v>
      </c>
      <c r="C33" s="60" t="s">
        <v>122</v>
      </c>
      <c r="D33" s="34">
        <v>0.125</v>
      </c>
      <c r="E33" s="35">
        <f>'Aug 10'!$D33*$C$6*$C$2</f>
        <v>9228342.1500000004</v>
      </c>
      <c r="F33" s="35">
        <v>416325</v>
      </c>
      <c r="G33" s="61">
        <f>'Aug 10'!$E33/'Aug 10'!$F33</f>
        <v>22.166197441902362</v>
      </c>
      <c r="H33" s="33">
        <v>24</v>
      </c>
      <c r="I33" s="33">
        <v>22</v>
      </c>
      <c r="J33" s="37">
        <f t="shared" si="2"/>
        <v>-2</v>
      </c>
      <c r="K33" s="38">
        <f>'Aug 10'!$F33*'Aug 10'!$I33</f>
        <v>9159150</v>
      </c>
      <c r="L33" s="39">
        <f>'Aug 10'!$K33/$K$2</f>
        <v>0.12392952612668084</v>
      </c>
      <c r="M33" s="62"/>
      <c r="O33" s="2">
        <f>Table138958456[[#This Row],[Change]]*Table138958456[[#This Row],[Last price]]</f>
        <v>-832650</v>
      </c>
      <c r="P33" s="42">
        <f t="shared" si="1"/>
        <v>832650</v>
      </c>
    </row>
    <row r="34" spans="1:17" ht="26.25" x14ac:dyDescent="0.25">
      <c r="A34" s="33" t="s">
        <v>178</v>
      </c>
      <c r="B34" s="60" t="s">
        <v>185</v>
      </c>
      <c r="C34" s="60" t="s">
        <v>127</v>
      </c>
      <c r="D34" s="34">
        <v>3.6110999999999997E-2</v>
      </c>
      <c r="E34" s="35">
        <f>'Aug 10'!$D34*$C$6*$C$2</f>
        <v>2665957.3070291998</v>
      </c>
      <c r="F34" s="35">
        <v>220888</v>
      </c>
      <c r="G34" s="61">
        <f>'Aug 10'!$E34/'Aug 10'!$F34</f>
        <v>12.069271789455289</v>
      </c>
      <c r="H34" s="33">
        <v>13</v>
      </c>
      <c r="I34" s="33">
        <v>12</v>
      </c>
      <c r="J34" s="37">
        <f t="shared" si="2"/>
        <v>-1</v>
      </c>
      <c r="K34" s="38">
        <f>'Aug 10'!$F34*'Aug 10'!$I34</f>
        <v>2650656</v>
      </c>
      <c r="L34" s="39">
        <f>'Aug 10'!$K34/$K$2</f>
        <v>3.5865177664394988E-2</v>
      </c>
      <c r="M34" s="62"/>
      <c r="O34" s="2">
        <f>Table138958456[[#This Row],[Change]]*Table138958456[[#This Row],[Last price]]</f>
        <v>-220888</v>
      </c>
      <c r="P34" s="42">
        <f t="shared" si="1"/>
        <v>220888</v>
      </c>
    </row>
    <row r="35" spans="1:17" s="64" customFormat="1" ht="12.75" x14ac:dyDescent="0.2">
      <c r="A35" s="33"/>
      <c r="B35" s="60"/>
      <c r="C35" s="60"/>
      <c r="D35" s="34"/>
      <c r="E35" s="63"/>
      <c r="F35" s="35"/>
      <c r="G35" s="61"/>
      <c r="H35" s="33"/>
      <c r="I35" s="33"/>
      <c r="J35" s="45"/>
      <c r="K35" s="35"/>
      <c r="L35" s="46"/>
      <c r="M35" s="62"/>
      <c r="O35" s="2">
        <f>Table138958456[[#This Row],[Change]]*Table138958456[[#This Row],[Last price]]</f>
        <v>0</v>
      </c>
      <c r="P35" s="42">
        <f t="shared" si="1"/>
        <v>0</v>
      </c>
    </row>
    <row r="36" spans="1:17" s="15" customFormat="1" ht="12.75" x14ac:dyDescent="0.2">
      <c r="A36" s="47" t="s">
        <v>186</v>
      </c>
      <c r="B36" s="65"/>
      <c r="C36" s="65"/>
      <c r="D36" s="56">
        <f>SUBTOTAL(9,D28:D35)</f>
        <v>0.34166600000000003</v>
      </c>
      <c r="E36" s="66">
        <f>'Aug 10'!$D36*$C$6*$C$2</f>
        <v>25224085.992175203</v>
      </c>
      <c r="F36" s="57"/>
      <c r="G36" s="67"/>
      <c r="H36" s="55"/>
      <c r="I36" s="55"/>
      <c r="J36" s="59"/>
      <c r="K36" s="66">
        <f>SUM(K28:K34)</f>
        <v>25256459</v>
      </c>
      <c r="L36" s="68">
        <f>'Aug 10'!$K36/$K$2</f>
        <v>0.34173706026300954</v>
      </c>
      <c r="M36" s="69"/>
      <c r="O36" s="2">
        <f>Table138958456[[#This Row],[Change]]*Table138958456[[#This Row],[Last price]]</f>
        <v>0</v>
      </c>
      <c r="P36" s="42">
        <f t="shared" si="1"/>
        <v>0</v>
      </c>
    </row>
    <row r="37" spans="1:17" s="64" customFormat="1" ht="12.75" x14ac:dyDescent="0.2">
      <c r="A37" s="33"/>
      <c r="B37" s="60"/>
      <c r="C37" s="60"/>
      <c r="D37" s="34"/>
      <c r="E37" s="63"/>
      <c r="F37" s="35"/>
      <c r="G37" s="61"/>
      <c r="H37" s="33"/>
      <c r="I37" s="33"/>
      <c r="J37" s="45"/>
      <c r="K37" s="35"/>
      <c r="L37" s="39"/>
      <c r="M37" s="62"/>
      <c r="O37" s="2">
        <f>Table138958456[[#This Row],[Change]]*Table138958456[[#This Row],[Last price]]</f>
        <v>0</v>
      </c>
      <c r="P37" s="42">
        <f t="shared" si="1"/>
        <v>0</v>
      </c>
    </row>
    <row r="38" spans="1:17" s="41" customFormat="1" ht="25.5" customHeight="1" x14ac:dyDescent="0.2">
      <c r="A38" s="33" t="s">
        <v>187</v>
      </c>
      <c r="B38" s="33" t="s">
        <v>63</v>
      </c>
      <c r="C38" s="33" t="s">
        <v>64</v>
      </c>
      <c r="D38" s="34">
        <v>3.6110999999999997E-2</v>
      </c>
      <c r="E38" s="35">
        <f>'Aug 10'!$D38*$C$6*$C$2</f>
        <v>2665957.3070291998</v>
      </c>
      <c r="F38" s="35">
        <v>94388.783783783801</v>
      </c>
      <c r="G38" s="36">
        <f>'Aug 10'!$E38/'Aug 10'!$F38</f>
        <v>28.24442905352084</v>
      </c>
      <c r="H38" s="33">
        <v>37</v>
      </c>
      <c r="I38" s="33">
        <v>28</v>
      </c>
      <c r="J38" s="37">
        <f t="shared" ref="J38:J43" si="3">I38-H38</f>
        <v>-9</v>
      </c>
      <c r="K38" s="38">
        <f>'Aug 10'!$F38*'Aug 10'!$I38</f>
        <v>2642885.9459459465</v>
      </c>
      <c r="L38" s="39">
        <f>'Aug 10'!$K38/$K$2</f>
        <v>3.5760043550760255E-2</v>
      </c>
      <c r="M38" s="40"/>
      <c r="N38" s="2"/>
      <c r="O38" s="2">
        <f>Table138958456[[#This Row],[Change]]*Table138958456[[#This Row],[Last price]]</f>
        <v>-849499.0540540542</v>
      </c>
      <c r="P38" s="42">
        <f t="shared" si="1"/>
        <v>849499.0540540542</v>
      </c>
      <c r="Q38" s="42"/>
    </row>
    <row r="39" spans="1:17" s="41" customFormat="1" ht="25.5" customHeight="1" x14ac:dyDescent="0.2">
      <c r="A39" s="33" t="s">
        <v>187</v>
      </c>
      <c r="B39" s="33" t="s">
        <v>188</v>
      </c>
      <c r="C39" s="33" t="s">
        <v>73</v>
      </c>
      <c r="D39" s="34">
        <v>3.6110999999999997E-2</v>
      </c>
      <c r="E39" s="35">
        <f>'Aug 10'!$D39*$C$6*$C$2</f>
        <v>2665957.3070291998</v>
      </c>
      <c r="F39" s="35">
        <v>115470.52</v>
      </c>
      <c r="G39" s="36">
        <f>'Aug 10'!$E39/'Aug 10'!$F39</f>
        <v>23.087774325682432</v>
      </c>
      <c r="H39" s="33">
        <v>25</v>
      </c>
      <c r="I39" s="33">
        <v>23</v>
      </c>
      <c r="J39" s="37">
        <f t="shared" si="3"/>
        <v>-2</v>
      </c>
      <c r="K39" s="38">
        <f>'Aug 10'!$F39*'Aug 10'!$I39</f>
        <v>2655821.96</v>
      </c>
      <c r="L39" s="39">
        <f>'Aug 10'!$K39/$K$2</f>
        <v>3.5935076615147991E-2</v>
      </c>
      <c r="M39" s="40"/>
      <c r="N39" s="2"/>
      <c r="O39" s="2">
        <f>Table138958456[[#This Row],[Change]]*Table138958456[[#This Row],[Last price]]</f>
        <v>-230941.04</v>
      </c>
      <c r="P39" s="42">
        <f t="shared" si="1"/>
        <v>230941.04</v>
      </c>
    </row>
    <row r="40" spans="1:17" s="41" customFormat="1" ht="25.5" customHeight="1" x14ac:dyDescent="0.2">
      <c r="A40" s="33" t="s">
        <v>187</v>
      </c>
      <c r="B40" s="33" t="s">
        <v>76</v>
      </c>
      <c r="C40" s="33" t="s">
        <v>77</v>
      </c>
      <c r="D40" s="34">
        <v>3.6110999999999997E-2</v>
      </c>
      <c r="E40" s="35">
        <f>'Aug 10'!$D40*$C$6*$C$2</f>
        <v>2665957.3070291998</v>
      </c>
      <c r="F40" s="35">
        <v>113161.580645161</v>
      </c>
      <c r="G40" s="36">
        <f>'Aug 10'!$E40/'Aug 10'!$F40</f>
        <v>23.558855327311136</v>
      </c>
      <c r="H40" s="33">
        <v>31</v>
      </c>
      <c r="I40" s="33">
        <v>24</v>
      </c>
      <c r="J40" s="37">
        <f t="shared" si="3"/>
        <v>-7</v>
      </c>
      <c r="K40" s="38">
        <f>'Aug 10'!$F40*'Aug 10'!$I40</f>
        <v>2715877.935483864</v>
      </c>
      <c r="L40" s="39">
        <f>'Aug 10'!$K40/$K$2</f>
        <v>3.6747674791047596E-2</v>
      </c>
      <c r="M40" s="40"/>
      <c r="N40" s="2"/>
      <c r="O40" s="2">
        <f>Table138958456[[#This Row],[Change]]*Table138958456[[#This Row],[Last price]]</f>
        <v>-792131.06451612699</v>
      </c>
      <c r="P40" s="42">
        <f t="shared" si="1"/>
        <v>792131.06451612699</v>
      </c>
    </row>
    <row r="41" spans="1:17" s="41" customFormat="1" ht="25.5" x14ac:dyDescent="0.2">
      <c r="A41" s="33" t="s">
        <v>187</v>
      </c>
      <c r="B41" s="33" t="s">
        <v>189</v>
      </c>
      <c r="C41" s="33" t="s">
        <v>79</v>
      </c>
      <c r="D41" s="34">
        <v>0.125</v>
      </c>
      <c r="E41" s="35">
        <f>'Aug 10'!$D41*$C$6*$C$2</f>
        <v>9228342.1500000004</v>
      </c>
      <c r="F41" s="35">
        <v>249409.268292683</v>
      </c>
      <c r="G41" s="36">
        <f>'Aug 10'!$E41/'Aug 10'!$F41</f>
        <v>37.000798780141942</v>
      </c>
      <c r="H41" s="33">
        <v>41</v>
      </c>
      <c r="I41" s="33">
        <v>37</v>
      </c>
      <c r="J41" s="37">
        <f t="shared" si="3"/>
        <v>-4</v>
      </c>
      <c r="K41" s="38">
        <f>'Aug 10'!$F41*'Aug 10'!$I41</f>
        <v>9228142.926829271</v>
      </c>
      <c r="L41" s="39">
        <f>'Aug 10'!$K41/$K$2</f>
        <v>0.12486304732985411</v>
      </c>
      <c r="M41" s="40"/>
      <c r="N41" s="2"/>
      <c r="O41" s="2">
        <f>Table138958456[[#This Row],[Change]]*Table138958456[[#This Row],[Last price]]</f>
        <v>-997637.07317073201</v>
      </c>
      <c r="P41" s="42">
        <f t="shared" si="1"/>
        <v>997637.07317073201</v>
      </c>
    </row>
    <row r="42" spans="1:17" s="41" customFormat="1" ht="25.5" x14ac:dyDescent="0.2">
      <c r="A42" s="33" t="s">
        <v>187</v>
      </c>
      <c r="B42" s="33" t="s">
        <v>193</v>
      </c>
      <c r="C42" s="33" t="s">
        <v>100</v>
      </c>
      <c r="D42" s="34">
        <v>0.125</v>
      </c>
      <c r="E42" s="35">
        <f>'Aug 10'!$D42*$C$6*$C$2</f>
        <v>9228342.1500000004</v>
      </c>
      <c r="F42" s="35">
        <v>416346.625</v>
      </c>
      <c r="G42" s="36">
        <f>'Aug 10'!$E42/'Aug 10'!$F42</f>
        <v>22.165046131933938</v>
      </c>
      <c r="H42" s="33">
        <v>24</v>
      </c>
      <c r="I42" s="33">
        <v>22</v>
      </c>
      <c r="J42" s="37">
        <f t="shared" si="3"/>
        <v>-2</v>
      </c>
      <c r="K42" s="38">
        <f>'Aug 10'!$F42*'Aug 10'!$I42</f>
        <v>9159625.75</v>
      </c>
      <c r="L42" s="39">
        <f>'Aug 10'!$K42/$K$2</f>
        <v>0.12393596334760798</v>
      </c>
      <c r="M42" s="40"/>
      <c r="N42" s="2"/>
      <c r="O42" s="2">
        <f>Table138958456[[#This Row],[Change]]*Table138958456[[#This Row],[Last price]]</f>
        <v>-832693.25</v>
      </c>
      <c r="P42" s="42">
        <f t="shared" si="1"/>
        <v>832693.25</v>
      </c>
    </row>
    <row r="43" spans="1:17" s="41" customFormat="1" ht="25.5" x14ac:dyDescent="0.2">
      <c r="A43" s="33" t="s">
        <v>187</v>
      </c>
      <c r="B43" s="33" t="s">
        <v>102</v>
      </c>
      <c r="C43" s="33" t="s">
        <v>103</v>
      </c>
      <c r="D43" s="34">
        <v>0.125</v>
      </c>
      <c r="E43" s="35">
        <f>'Aug 10'!$D43*$C$6*$C$2</f>
        <v>9228342.1500000004</v>
      </c>
      <c r="F43" s="35">
        <v>249777</v>
      </c>
      <c r="G43" s="36">
        <f>'Aug 10'!$E43/'Aug 10'!$F43</f>
        <v>36.946324721651713</v>
      </c>
      <c r="H43" s="33">
        <v>41</v>
      </c>
      <c r="I43" s="33">
        <v>37</v>
      </c>
      <c r="J43" s="37">
        <f t="shared" si="3"/>
        <v>-4</v>
      </c>
      <c r="K43" s="38">
        <f>'Aug 10'!$F43*'Aug 10'!$I43</f>
        <v>9241749</v>
      </c>
      <c r="L43" s="39">
        <f>'Aug 10'!$K43/$K$2</f>
        <v>0.12504714674961395</v>
      </c>
      <c r="M43" s="40"/>
      <c r="N43" s="2"/>
      <c r="O43" s="2">
        <f>Table138958456[[#This Row],[Change]]*Table138958456[[#This Row],[Last price]]</f>
        <v>-999108</v>
      </c>
      <c r="P43" s="42">
        <f t="shared" si="1"/>
        <v>999108</v>
      </c>
    </row>
    <row r="44" spans="1:17" s="41" customFormat="1" ht="12.75" x14ac:dyDescent="0.2">
      <c r="A44" s="33"/>
      <c r="B44" s="33"/>
      <c r="C44" s="33"/>
      <c r="D44" s="34"/>
      <c r="E44" s="35"/>
      <c r="F44" s="35"/>
      <c r="G44" s="36"/>
      <c r="H44" s="33"/>
      <c r="I44" s="33"/>
      <c r="J44" s="37"/>
      <c r="K44" s="38"/>
      <c r="L44" s="39"/>
      <c r="M44" s="40"/>
      <c r="N44" s="2"/>
      <c r="O44" s="2">
        <f>Table138958456[[#This Row],[Change]]*Table138958456[[#This Row],[Last price]]</f>
        <v>0</v>
      </c>
      <c r="P44" s="42">
        <f t="shared" si="1"/>
        <v>0</v>
      </c>
    </row>
    <row r="45" spans="1:17" s="41" customFormat="1" ht="12.75" x14ac:dyDescent="0.2">
      <c r="A45" s="33"/>
      <c r="B45" s="33"/>
      <c r="C45" s="33"/>
      <c r="D45" s="34"/>
      <c r="E45" s="35"/>
      <c r="F45" s="35"/>
      <c r="G45" s="36"/>
      <c r="H45" s="33"/>
      <c r="I45" s="33"/>
      <c r="J45" s="37"/>
      <c r="K45" s="38"/>
      <c r="L45" s="39"/>
      <c r="M45" s="40"/>
      <c r="N45" s="2"/>
      <c r="O45" s="2">
        <f>Table138958456[[#This Row],[Change]]*Table138958456[[#This Row],[Last price]]</f>
        <v>0</v>
      </c>
      <c r="P45" s="42">
        <f t="shared" si="1"/>
        <v>0</v>
      </c>
    </row>
    <row r="46" spans="1:17" s="44" customFormat="1" ht="12.75" x14ac:dyDescent="0.2">
      <c r="A46" s="33"/>
      <c r="B46" s="33"/>
      <c r="C46" s="33"/>
      <c r="D46" s="34"/>
      <c r="E46" s="35"/>
      <c r="F46" s="35"/>
      <c r="G46" s="36"/>
      <c r="H46" s="33"/>
      <c r="I46" s="33"/>
      <c r="J46" s="45"/>
      <c r="K46" s="35"/>
      <c r="L46" s="39"/>
      <c r="M46" s="33"/>
      <c r="N46" s="64"/>
      <c r="O46" s="2">
        <f>Table138958456[[#This Row],[Change]]*Table138958456[[#This Row],[Last price]]</f>
        <v>0</v>
      </c>
      <c r="P46" s="42">
        <f t="shared" si="1"/>
        <v>0</v>
      </c>
    </row>
    <row r="47" spans="1:17" s="54" customFormat="1" ht="12.75" x14ac:dyDescent="0.2">
      <c r="A47" s="47" t="s">
        <v>194</v>
      </c>
      <c r="B47" s="47"/>
      <c r="C47" s="47"/>
      <c r="D47" s="56">
        <f>SUBTOTAL(9,D38:D46)</f>
        <v>0.48333300000000001</v>
      </c>
      <c r="E47" s="49">
        <f>'Aug 10'!$D47*$C$6*$C$2</f>
        <v>35682898.371087596</v>
      </c>
      <c r="F47" s="57"/>
      <c r="G47" s="70"/>
      <c r="H47" s="55"/>
      <c r="I47" s="55"/>
      <c r="J47" s="59"/>
      <c r="K47" s="49">
        <f>SUM(K38:K45)</f>
        <v>35644103.518259078</v>
      </c>
      <c r="L47" s="68">
        <f>'Aug 10'!$K47/$K$2</f>
        <v>0.48228895238403185</v>
      </c>
      <c r="M47" s="47"/>
      <c r="N47" s="15"/>
      <c r="O47" s="2">
        <f>Table138958456[[#This Row],[Change]]*Table138958456[[#This Row],[Last price]]</f>
        <v>0</v>
      </c>
      <c r="P47" s="42">
        <f t="shared" si="1"/>
        <v>0</v>
      </c>
    </row>
    <row r="48" spans="1:17" s="44" customFormat="1" ht="12.75" x14ac:dyDescent="0.2">
      <c r="A48" s="33"/>
      <c r="B48" s="33"/>
      <c r="C48" s="33"/>
      <c r="D48" s="34"/>
      <c r="E48" s="35"/>
      <c r="F48" s="35"/>
      <c r="G48" s="36"/>
      <c r="H48" s="33"/>
      <c r="I48" s="33"/>
      <c r="J48" s="45"/>
      <c r="K48" s="35"/>
      <c r="L48" s="39"/>
      <c r="M48" s="33"/>
      <c r="N48" s="64"/>
      <c r="O48" s="2">
        <f>Table138958456[[#This Row],[Change]]*Table138958456[[#This Row],[Last price]]</f>
        <v>0</v>
      </c>
      <c r="P48" s="42">
        <f t="shared" si="1"/>
        <v>0</v>
      </c>
    </row>
    <row r="49" spans="1:18" s="41" customFormat="1" ht="12.75" x14ac:dyDescent="0.2">
      <c r="A49" s="33"/>
      <c r="B49" s="33"/>
      <c r="C49" s="33"/>
      <c r="D49" s="34"/>
      <c r="E49" s="35"/>
      <c r="F49" s="35"/>
      <c r="G49" s="71"/>
      <c r="H49" s="33"/>
      <c r="I49" s="33"/>
      <c r="J49" s="37"/>
      <c r="K49" s="38"/>
      <c r="L49" s="39"/>
      <c r="M49" s="40"/>
      <c r="N49" s="2"/>
      <c r="O49" s="2">
        <f>Table138958456[[#This Row],[Change]]*Table138958456[[#This Row],[Last price]]</f>
        <v>0</v>
      </c>
      <c r="P49" s="42">
        <f t="shared" si="1"/>
        <v>0</v>
      </c>
    </row>
    <row r="50" spans="1:18" s="41" customFormat="1" ht="25.5" x14ac:dyDescent="0.2">
      <c r="A50" s="33" t="s">
        <v>195</v>
      </c>
      <c r="B50" s="33" t="s">
        <v>196</v>
      </c>
      <c r="C50" s="33" t="s">
        <v>68</v>
      </c>
      <c r="D50" s="34">
        <v>1.5E-3</v>
      </c>
      <c r="E50" s="35">
        <f>'Aug 10'!$D50*$C$6*$C$2</f>
        <v>110740.1058</v>
      </c>
      <c r="F50" s="35">
        <v>43177.666666666701</v>
      </c>
      <c r="G50" s="71">
        <f>'Aug 10'!$E50/'Aug 10'!$F50</f>
        <v>2.5647542896404758</v>
      </c>
      <c r="H50" s="33">
        <v>3</v>
      </c>
      <c r="I50" s="33">
        <v>2</v>
      </c>
      <c r="J50" s="37">
        <f t="shared" ref="J50:J59" si="4">I50-H50</f>
        <v>-1</v>
      </c>
      <c r="K50" s="38">
        <f>'Aug 10'!$F50*'Aug 10'!$I50</f>
        <v>86355.333333333401</v>
      </c>
      <c r="L50" s="39">
        <f>'Aug 10'!$K50/$K$2</f>
        <v>1.1684463665854992E-3</v>
      </c>
      <c r="M50" s="40"/>
      <c r="N50" s="2"/>
      <c r="O50" s="2">
        <f>Table138958456[[#This Row],[Change]]*Table138958456[[#This Row],[Last price]]</f>
        <v>-43177.666666666701</v>
      </c>
      <c r="P50" s="42">
        <f t="shared" si="1"/>
        <v>43177.666666666701</v>
      </c>
    </row>
    <row r="51" spans="1:18" s="41" customFormat="1" ht="25.5" x14ac:dyDescent="0.2">
      <c r="A51" s="33" t="s">
        <v>195</v>
      </c>
      <c r="B51" s="33" t="s">
        <v>197</v>
      </c>
      <c r="C51" s="33" t="s">
        <v>71</v>
      </c>
      <c r="D51" s="34">
        <v>1.5E-3</v>
      </c>
      <c r="E51" s="35">
        <f>'Aug 10'!$D51*$C$6*$C$2</f>
        <v>110740.1058</v>
      </c>
      <c r="F51" s="35">
        <v>155975</v>
      </c>
      <c r="G51" s="71">
        <f>'Aug 10'!$E51/'Aug 10'!$F51</f>
        <v>0.70998625292514828</v>
      </c>
      <c r="H51" s="33">
        <v>1</v>
      </c>
      <c r="I51" s="33">
        <v>1</v>
      </c>
      <c r="J51" s="37">
        <f t="shared" si="4"/>
        <v>0</v>
      </c>
      <c r="K51" s="38">
        <f>'Aug 10'!$F51*'Aug 10'!$I51</f>
        <v>155975</v>
      </c>
      <c r="L51" s="39">
        <f>'Aug 10'!$K51/$K$2</f>
        <v>2.1104477858326421E-3</v>
      </c>
      <c r="M51" s="40"/>
      <c r="N51" s="2"/>
      <c r="O51" s="2">
        <f>Table138958456[[#This Row],[Change]]*Table138958456[[#This Row],[Last price]]</f>
        <v>0</v>
      </c>
      <c r="P51" s="42">
        <f t="shared" si="1"/>
        <v>0</v>
      </c>
      <c r="R51" s="41" t="s">
        <v>198</v>
      </c>
    </row>
    <row r="52" spans="1:18" s="41" customFormat="1" ht="25.5" x14ac:dyDescent="0.2">
      <c r="A52" s="33" t="s">
        <v>195</v>
      </c>
      <c r="B52" s="33" t="s">
        <v>199</v>
      </c>
      <c r="C52" s="33" t="s">
        <v>82</v>
      </c>
      <c r="D52" s="34">
        <v>1.5E-3</v>
      </c>
      <c r="E52" s="35">
        <f>'Aug 10'!$D52*$C$6*$C$2</f>
        <v>110740.1058</v>
      </c>
      <c r="F52" s="35">
        <v>85986</v>
      </c>
      <c r="G52" s="71">
        <f>'Aug 10'!$E52/'Aug 10'!$F52</f>
        <v>1.2878853045844674</v>
      </c>
      <c r="H52" s="33">
        <v>1</v>
      </c>
      <c r="I52" s="33">
        <v>1</v>
      </c>
      <c r="J52" s="37">
        <f t="shared" si="4"/>
        <v>0</v>
      </c>
      <c r="K52" s="38">
        <f>'Aug 10'!$F52*'Aug 10'!$I52</f>
        <v>85986</v>
      </c>
      <c r="L52" s="39">
        <f>'Aug 10'!$K52/$K$2</f>
        <v>1.1634490355031614E-3</v>
      </c>
      <c r="M52" s="40"/>
      <c r="N52" s="2"/>
      <c r="O52" s="2">
        <f>Table138958456[[#This Row],[Change]]*Table138958456[[#This Row],[Last price]]</f>
        <v>0</v>
      </c>
      <c r="P52" s="42">
        <f t="shared" si="1"/>
        <v>0</v>
      </c>
    </row>
    <row r="53" spans="1:18" s="41" customFormat="1" ht="25.5" x14ac:dyDescent="0.2">
      <c r="A53" s="33" t="s">
        <v>195</v>
      </c>
      <c r="B53" s="33" t="s">
        <v>200</v>
      </c>
      <c r="C53" s="33" t="s">
        <v>84</v>
      </c>
      <c r="D53" s="34">
        <v>1.5E-3</v>
      </c>
      <c r="E53" s="35">
        <f>'Aug 10'!$D53*$C$6*$C$2</f>
        <v>110740.1058</v>
      </c>
      <c r="F53" s="35">
        <v>219137</v>
      </c>
      <c r="G53" s="71">
        <f>'Aug 10'!$E53/'Aug 10'!$F53</f>
        <v>0.50534645358839447</v>
      </c>
      <c r="H53" s="33">
        <v>1</v>
      </c>
      <c r="I53" s="33">
        <v>1</v>
      </c>
      <c r="J53" s="37">
        <f t="shared" si="4"/>
        <v>0</v>
      </c>
      <c r="K53" s="38">
        <f>'Aug 10'!$F53*'Aug 10'!$I53</f>
        <v>219137</v>
      </c>
      <c r="L53" s="39">
        <f>'Aug 10'!$K53/$K$2</f>
        <v>2.9650725849912343E-3</v>
      </c>
      <c r="M53" s="40"/>
      <c r="N53" s="2"/>
      <c r="O53" s="2">
        <f>Table138958456[[#This Row],[Change]]*Table138958456[[#This Row],[Last price]]</f>
        <v>0</v>
      </c>
      <c r="P53" s="42">
        <f t="shared" si="1"/>
        <v>0</v>
      </c>
    </row>
    <row r="54" spans="1:18" s="41" customFormat="1" ht="25.5" x14ac:dyDescent="0.2">
      <c r="A54" s="33" t="s">
        <v>195</v>
      </c>
      <c r="B54" s="33" t="s">
        <v>201</v>
      </c>
      <c r="C54" s="33" t="s">
        <v>87</v>
      </c>
      <c r="D54" s="34">
        <v>1.5E-3</v>
      </c>
      <c r="E54" s="35">
        <f>'Aug 10'!$D54*$C$6*$C$2</f>
        <v>110740.1058</v>
      </c>
      <c r="F54" s="35">
        <v>47523.5</v>
      </c>
      <c r="G54" s="71">
        <f>'Aug 10'!$E54/'Aug 10'!$F54</f>
        <v>2.3302178038233716</v>
      </c>
      <c r="H54" s="33">
        <v>2</v>
      </c>
      <c r="I54" s="33">
        <v>2</v>
      </c>
      <c r="J54" s="37">
        <f t="shared" si="4"/>
        <v>0</v>
      </c>
      <c r="K54" s="38">
        <f>'Aug 10'!$F54*'Aug 10'!$I54</f>
        <v>95047</v>
      </c>
      <c r="L54" s="39">
        <f>'Aug 10'!$K54/$K$2</f>
        <v>1.2860505254049376E-3</v>
      </c>
      <c r="M54" s="40"/>
      <c r="N54" s="2"/>
      <c r="O54" s="2">
        <f>Table138958456[[#This Row],[Change]]*Table138958456[[#This Row],[Last price]]</f>
        <v>0</v>
      </c>
      <c r="P54" s="42">
        <f t="shared" si="1"/>
        <v>0</v>
      </c>
    </row>
    <row r="55" spans="1:18" s="41" customFormat="1" ht="25.5" x14ac:dyDescent="0.2">
      <c r="A55" s="33" t="s">
        <v>195</v>
      </c>
      <c r="B55" s="33" t="s">
        <v>89</v>
      </c>
      <c r="C55" s="33" t="s">
        <v>90</v>
      </c>
      <c r="D55" s="34">
        <v>1.5E-3</v>
      </c>
      <c r="E55" s="35">
        <f>'Aug 10'!$D55*$C$6*$C$2</f>
        <v>110740.1058</v>
      </c>
      <c r="F55" s="35">
        <v>49059.5</v>
      </c>
      <c r="G55" s="71">
        <f>'Aug 10'!$E55/'Aug 10'!$F55</f>
        <v>2.2572611991561269</v>
      </c>
      <c r="H55" s="33">
        <v>2</v>
      </c>
      <c r="I55" s="33">
        <v>2</v>
      </c>
      <c r="J55" s="37">
        <f t="shared" si="4"/>
        <v>0</v>
      </c>
      <c r="K55" s="38">
        <f>'Aug 10'!$F55*'Aug 10'!$I55</f>
        <v>98119</v>
      </c>
      <c r="L55" s="39">
        <f>'Aug 10'!$K55/$K$2</f>
        <v>1.3276167738298639E-3</v>
      </c>
      <c r="M55" s="40"/>
      <c r="N55" s="2"/>
      <c r="O55" s="2">
        <f>Table138958456[[#This Row],[Change]]*Table138958456[[#This Row],[Last price]]</f>
        <v>0</v>
      </c>
      <c r="P55" s="42">
        <f t="shared" si="1"/>
        <v>0</v>
      </c>
    </row>
    <row r="56" spans="1:18" s="41" customFormat="1" ht="25.5" x14ac:dyDescent="0.2">
      <c r="A56" s="33" t="s">
        <v>195</v>
      </c>
      <c r="B56" s="33" t="s">
        <v>202</v>
      </c>
      <c r="C56" s="33" t="s">
        <v>92</v>
      </c>
      <c r="D56" s="34">
        <v>1.5E-3</v>
      </c>
      <c r="E56" s="35">
        <f>'Aug 10'!$D56*$C$6*$C$2</f>
        <v>110740.1058</v>
      </c>
      <c r="F56" s="35">
        <v>11712.5</v>
      </c>
      <c r="G56" s="71">
        <f>'Aug 10'!$E56/'Aug 10'!$F56</f>
        <v>9.4548649562433305</v>
      </c>
      <c r="H56" s="33">
        <v>10</v>
      </c>
      <c r="I56" s="33">
        <v>9</v>
      </c>
      <c r="J56" s="37">
        <f t="shared" si="4"/>
        <v>-1</v>
      </c>
      <c r="K56" s="38">
        <f>'Aug 10'!$F56*'Aug 10'!$I56</f>
        <v>105412.5</v>
      </c>
      <c r="L56" s="39">
        <f>'Aug 10'!$K56/$K$2</f>
        <v>1.4263027871394994E-3</v>
      </c>
      <c r="M56" s="40"/>
      <c r="N56" s="2"/>
      <c r="O56" s="2">
        <f>Table138958456[[#This Row],[Change]]*Table138958456[[#This Row],[Last price]]</f>
        <v>-11712.5</v>
      </c>
      <c r="P56" s="42">
        <f t="shared" si="1"/>
        <v>11712.5</v>
      </c>
    </row>
    <row r="57" spans="1:18" s="41" customFormat="1" ht="25.5" x14ac:dyDescent="0.2">
      <c r="A57" s="33" t="s">
        <v>195</v>
      </c>
      <c r="B57" s="33" t="s">
        <v>203</v>
      </c>
      <c r="C57" s="33" t="s">
        <v>97</v>
      </c>
      <c r="D57" s="34">
        <v>1.5E-3</v>
      </c>
      <c r="E57" s="35">
        <f>'Aug 10'!$D57*$C$6*$C$2</f>
        <v>110740.1058</v>
      </c>
      <c r="F57" s="35">
        <v>88898</v>
      </c>
      <c r="G57" s="71">
        <f>'Aug 10'!$E57/'Aug 10'!$F57</f>
        <v>1.2456985061531194</v>
      </c>
      <c r="H57" s="33">
        <v>1</v>
      </c>
      <c r="I57" s="33">
        <v>1</v>
      </c>
      <c r="J57" s="37">
        <f t="shared" si="4"/>
        <v>0</v>
      </c>
      <c r="K57" s="38">
        <f>'Aug 10'!$F57*'Aug 10'!$I57</f>
        <v>88898</v>
      </c>
      <c r="L57" s="39">
        <f>'Aug 10'!$K57/$K$2</f>
        <v>1.2028503751559561E-3</v>
      </c>
      <c r="M57" s="40"/>
      <c r="N57" s="2"/>
      <c r="O57" s="2">
        <f>Table138958456[[#This Row],[Change]]*Table138958456[[#This Row],[Last price]]</f>
        <v>0</v>
      </c>
      <c r="P57" s="42">
        <f t="shared" si="1"/>
        <v>0</v>
      </c>
    </row>
    <row r="58" spans="1:18" ht="26.25" x14ac:dyDescent="0.25">
      <c r="A58" s="33" t="s">
        <v>195</v>
      </c>
      <c r="B58" s="60" t="s">
        <v>204</v>
      </c>
      <c r="C58" s="60" t="s">
        <v>124</v>
      </c>
      <c r="D58" s="34">
        <v>1.5E-3</v>
      </c>
      <c r="E58" s="35">
        <f>'Aug 10'!$D58*$C$6*$C$2</f>
        <v>110740.1058</v>
      </c>
      <c r="F58" s="35">
        <v>59389.5</v>
      </c>
      <c r="G58" s="71">
        <f>'Aug 10'!$E58/'Aug 10'!$F58</f>
        <v>1.8646411537392975</v>
      </c>
      <c r="H58" s="33">
        <v>2</v>
      </c>
      <c r="I58" s="33">
        <v>2</v>
      </c>
      <c r="J58" s="37">
        <f t="shared" si="4"/>
        <v>0</v>
      </c>
      <c r="K58" s="38">
        <f>'Aug 10'!$F58*'Aug 10'!$I58</f>
        <v>118779</v>
      </c>
      <c r="L58" s="39">
        <f>'Aug 10'!$K58/$K$2</f>
        <v>1.6071606190313538E-3</v>
      </c>
      <c r="M58" s="62"/>
      <c r="O58" s="2">
        <f>Table138958456[[#This Row],[Change]]*Table138958456[[#This Row],[Last price]]</f>
        <v>0</v>
      </c>
      <c r="P58" s="42">
        <f t="shared" si="1"/>
        <v>0</v>
      </c>
    </row>
    <row r="59" spans="1:18" s="41" customFormat="1" ht="25.5" x14ac:dyDescent="0.2">
      <c r="A59" s="33" t="s">
        <v>195</v>
      </c>
      <c r="B59" s="33" t="s">
        <v>205</v>
      </c>
      <c r="C59" s="33" t="s">
        <v>95</v>
      </c>
      <c r="D59" s="34">
        <v>1.5E-3</v>
      </c>
      <c r="E59" s="35">
        <f>'Aug 10'!$D59*$C$6*$C$2</f>
        <v>110740.1058</v>
      </c>
      <c r="F59" s="35">
        <v>141913</v>
      </c>
      <c r="G59" s="71">
        <f>'Aug 10'!$E59/'Aug 10'!$F59</f>
        <v>0.78033799440502283</v>
      </c>
      <c r="H59" s="33">
        <v>1</v>
      </c>
      <c r="I59" s="33">
        <v>1</v>
      </c>
      <c r="J59" s="37">
        <f t="shared" si="4"/>
        <v>0</v>
      </c>
      <c r="K59" s="38">
        <f>'Aug 10'!$F59*'Aug 10'!$I59</f>
        <v>141913</v>
      </c>
      <c r="L59" s="39">
        <f>'Aug 10'!$K59/$K$2</f>
        <v>1.9201793661219283E-3</v>
      </c>
      <c r="M59" s="40"/>
      <c r="N59" s="2"/>
      <c r="O59" s="2">
        <f>Table138958456[[#This Row],[Change]]*Table138958456[[#This Row],[Last price]]</f>
        <v>0</v>
      </c>
      <c r="P59" s="42">
        <f t="shared" si="1"/>
        <v>0</v>
      </c>
    </row>
    <row r="60" spans="1:18" s="41" customFormat="1" ht="12.75" x14ac:dyDescent="0.2">
      <c r="A60" s="33"/>
      <c r="B60" s="33"/>
      <c r="C60" s="33"/>
      <c r="D60" s="34"/>
      <c r="E60" s="35"/>
      <c r="F60" s="35"/>
      <c r="G60" s="36"/>
      <c r="H60" s="33"/>
      <c r="I60" s="33"/>
      <c r="J60" s="40"/>
      <c r="K60" s="38"/>
      <c r="L60" s="39"/>
      <c r="M60" s="40"/>
      <c r="N60" s="2"/>
      <c r="O60" s="2">
        <f>Table138958456[[#This Row],[Change]]*Table138958456[[#This Row],[Last price]]</f>
        <v>0</v>
      </c>
      <c r="P60" s="42">
        <f t="shared" si="1"/>
        <v>0</v>
      </c>
    </row>
    <row r="61" spans="1:18" s="41" customFormat="1" ht="12.75" x14ac:dyDescent="0.2">
      <c r="A61" s="33"/>
      <c r="B61" s="33"/>
      <c r="C61" s="33"/>
      <c r="D61" s="34"/>
      <c r="E61" s="35"/>
      <c r="F61" s="35"/>
      <c r="G61" s="36"/>
      <c r="H61" s="33"/>
      <c r="I61" s="33"/>
      <c r="J61" s="40"/>
      <c r="K61" s="38"/>
      <c r="L61" s="39"/>
      <c r="M61" s="40"/>
      <c r="N61" s="2"/>
      <c r="O61" s="2">
        <f>Table138958456[[#This Row],[Change]]*Table138958456[[#This Row],[Last price]]</f>
        <v>0</v>
      </c>
      <c r="P61" s="42">
        <f t="shared" si="1"/>
        <v>0</v>
      </c>
    </row>
    <row r="62" spans="1:18" s="41" customFormat="1" ht="12.75" x14ac:dyDescent="0.2">
      <c r="A62" s="33"/>
      <c r="B62" s="33"/>
      <c r="C62" s="33"/>
      <c r="D62" s="34"/>
      <c r="E62" s="35"/>
      <c r="F62" s="35"/>
      <c r="G62" s="36"/>
      <c r="H62" s="33"/>
      <c r="I62" s="33"/>
      <c r="J62" s="40"/>
      <c r="K62" s="38"/>
      <c r="L62" s="39"/>
      <c r="M62" s="40"/>
      <c r="N62" s="2"/>
      <c r="O62" s="2">
        <f>Table138958456[[#This Row],[Change]]*Table138958456[[#This Row],[Last price]]</f>
        <v>0</v>
      </c>
      <c r="P62" s="42">
        <f t="shared" si="1"/>
        <v>0</v>
      </c>
    </row>
    <row r="63" spans="1:18" s="41" customFormat="1" ht="12.75" x14ac:dyDescent="0.2">
      <c r="A63" s="33"/>
      <c r="B63" s="33"/>
      <c r="C63" s="33"/>
      <c r="D63" s="34"/>
      <c r="E63" s="35"/>
      <c r="F63" s="35"/>
      <c r="G63" s="36"/>
      <c r="H63" s="33"/>
      <c r="I63" s="33"/>
      <c r="J63" s="40"/>
      <c r="K63" s="38"/>
      <c r="L63" s="39"/>
      <c r="M63" s="40"/>
      <c r="N63" s="2"/>
      <c r="O63" s="2">
        <f>Table138958456[[#This Row],[Change]]*Table138958456[[#This Row],[Last price]]</f>
        <v>0</v>
      </c>
      <c r="P63" s="42">
        <f t="shared" si="1"/>
        <v>0</v>
      </c>
    </row>
    <row r="64" spans="1:18" s="41" customFormat="1" ht="12.75" x14ac:dyDescent="0.2">
      <c r="A64" s="33"/>
      <c r="B64" s="33"/>
      <c r="C64" s="33"/>
      <c r="D64" s="34"/>
      <c r="E64" s="35"/>
      <c r="F64" s="35"/>
      <c r="G64" s="36"/>
      <c r="H64" s="33"/>
      <c r="I64" s="33"/>
      <c r="J64" s="40"/>
      <c r="K64" s="38"/>
      <c r="L64" s="39"/>
      <c r="M64" s="40"/>
      <c r="N64" s="2"/>
      <c r="O64" s="2">
        <f>Table138958456[[#This Row],[Change]]*Table138958456[[#This Row],[Last price]]</f>
        <v>0</v>
      </c>
      <c r="P64" s="42">
        <f t="shared" si="1"/>
        <v>0</v>
      </c>
    </row>
    <row r="65" spans="1:16" s="41" customFormat="1" ht="12.75" x14ac:dyDescent="0.2">
      <c r="A65" s="33"/>
      <c r="B65" s="33"/>
      <c r="C65" s="33"/>
      <c r="D65" s="34"/>
      <c r="E65" s="35"/>
      <c r="F65" s="35"/>
      <c r="G65" s="36"/>
      <c r="H65" s="33"/>
      <c r="I65" s="33"/>
      <c r="J65" s="40"/>
      <c r="K65" s="38"/>
      <c r="L65" s="39"/>
      <c r="M65" s="40"/>
      <c r="N65" s="2"/>
      <c r="O65" s="2">
        <f>Table138958456[[#This Row],[Change]]*Table138958456[[#This Row],[Last price]]</f>
        <v>0</v>
      </c>
      <c r="P65" s="42">
        <f t="shared" si="1"/>
        <v>0</v>
      </c>
    </row>
    <row r="66" spans="1:16" s="41" customFormat="1" ht="12.75" x14ac:dyDescent="0.2">
      <c r="A66" s="33"/>
      <c r="B66" s="33"/>
      <c r="C66" s="33"/>
      <c r="D66" s="34"/>
      <c r="E66" s="35"/>
      <c r="F66" s="35"/>
      <c r="G66" s="36"/>
      <c r="H66" s="33"/>
      <c r="I66" s="33"/>
      <c r="J66" s="40"/>
      <c r="K66" s="38"/>
      <c r="L66" s="39"/>
      <c r="M66" s="40"/>
      <c r="N66" s="2"/>
    </row>
    <row r="67" spans="1:16" s="15" customFormat="1" ht="12.75" x14ac:dyDescent="0.2">
      <c r="A67" s="47" t="s">
        <v>206</v>
      </c>
      <c r="B67" s="65"/>
      <c r="C67" s="65"/>
      <c r="D67" s="72">
        <f>SUM(D50:D66)</f>
        <v>1.4999999999999998E-2</v>
      </c>
      <c r="E67" s="49">
        <f>SUM(E49:E66)</f>
        <v>1107401.058</v>
      </c>
      <c r="F67" s="70"/>
      <c r="G67" s="70"/>
      <c r="H67" s="65"/>
      <c r="I67" s="65"/>
      <c r="J67" s="47"/>
      <c r="K67" s="49">
        <f>SUM(K49:K66)</f>
        <v>1195621.8333333335</v>
      </c>
      <c r="L67" s="53">
        <f>'Aug 10'!$K67/$K$2</f>
        <v>1.6177576219596077E-2</v>
      </c>
      <c r="M67" s="50"/>
      <c r="O67" s="41"/>
      <c r="P67" s="41"/>
    </row>
    <row r="68" spans="1:16" x14ac:dyDescent="0.25">
      <c r="A68" s="33"/>
      <c r="B68" s="60"/>
      <c r="C68" s="60"/>
      <c r="D68" s="73"/>
      <c r="E68" s="35"/>
      <c r="F68" s="35"/>
      <c r="G68" s="36"/>
      <c r="H68" s="60"/>
      <c r="I68" s="60"/>
      <c r="J68" s="33"/>
      <c r="K68" s="33"/>
      <c r="L68" s="39"/>
      <c r="M68" s="62"/>
      <c r="O68" s="41"/>
      <c r="P68" s="41"/>
    </row>
    <row r="69" spans="1:16" x14ac:dyDescent="0.25">
      <c r="A69" s="33"/>
      <c r="B69" s="60"/>
      <c r="C69" s="60"/>
      <c r="D69" s="74"/>
      <c r="E69" s="63"/>
      <c r="F69" s="35"/>
      <c r="G69" s="61"/>
      <c r="H69" s="60"/>
      <c r="I69" s="60"/>
      <c r="J69" s="33"/>
      <c r="K69" s="33"/>
      <c r="L69" s="39"/>
      <c r="M69" s="62"/>
      <c r="O69" s="41"/>
      <c r="P69" s="41"/>
    </row>
    <row r="70" spans="1:16" s="15" customFormat="1" ht="12.75" x14ac:dyDescent="0.2">
      <c r="A70" s="47" t="s">
        <v>207</v>
      </c>
      <c r="B70" s="65"/>
      <c r="C70" s="65"/>
      <c r="D70" s="65"/>
      <c r="E70" s="75"/>
      <c r="F70" s="65"/>
      <c r="G70" s="65"/>
      <c r="H70" s="65"/>
      <c r="I70" s="65"/>
      <c r="J70" s="65"/>
      <c r="K70" s="75">
        <f>SUM(K24,K26,K36,K47,K67)</f>
        <v>73906116.534630403</v>
      </c>
      <c r="L70" s="53">
        <f>'Aug 10'!$K70/$K$2</f>
        <v>0.99999999999999978</v>
      </c>
      <c r="M70" s="65"/>
      <c r="O70" s="41"/>
      <c r="P70" s="41"/>
    </row>
    <row r="71" spans="1:16" x14ac:dyDescent="0.25">
      <c r="A71" s="62"/>
      <c r="B71" s="62"/>
      <c r="C71" s="62"/>
      <c r="D71" s="76"/>
      <c r="E71" s="77"/>
      <c r="F71" s="35"/>
      <c r="G71" s="78"/>
      <c r="H71" s="62"/>
      <c r="I71" s="62"/>
      <c r="J71" s="62"/>
      <c r="K71" s="62"/>
      <c r="L71" s="39"/>
      <c r="M71" s="62"/>
      <c r="O71" s="41"/>
      <c r="P71" s="41"/>
    </row>
    <row r="72" spans="1:16" x14ac:dyDescent="0.25">
      <c r="A72" s="62"/>
      <c r="B72" s="62"/>
      <c r="C72" s="62"/>
      <c r="D72" s="76"/>
      <c r="E72" s="77"/>
      <c r="F72" s="35"/>
      <c r="G72" s="78"/>
      <c r="H72" s="62"/>
      <c r="I72" s="62"/>
      <c r="J72" s="62"/>
      <c r="K72" s="62"/>
      <c r="L72" s="39"/>
      <c r="M72" s="62"/>
      <c r="O72" s="41"/>
      <c r="P72" s="41"/>
    </row>
    <row r="73" spans="1:16" x14ac:dyDescent="0.25">
      <c r="A73" s="62"/>
      <c r="B73" s="62"/>
      <c r="C73" s="62"/>
      <c r="D73" s="76"/>
      <c r="E73" s="77"/>
      <c r="F73" s="35"/>
      <c r="G73" s="78"/>
      <c r="H73" s="62"/>
      <c r="I73" s="62"/>
      <c r="J73" s="62"/>
      <c r="K73" s="62"/>
      <c r="L73" s="39"/>
      <c r="M73" s="62"/>
      <c r="O73" s="15"/>
      <c r="P73" s="15"/>
    </row>
    <row r="74" spans="1:16" x14ac:dyDescent="0.25">
      <c r="A74" s="62"/>
      <c r="B74" s="62"/>
      <c r="C74" s="62"/>
      <c r="D74" s="76"/>
      <c r="E74" s="77"/>
      <c r="F74" s="35"/>
      <c r="G74" s="78"/>
      <c r="H74" s="62"/>
      <c r="I74" s="62"/>
      <c r="J74" s="62"/>
      <c r="K74" s="62"/>
      <c r="L74" s="39"/>
      <c r="M74" s="62"/>
    </row>
    <row r="75" spans="1:16" x14ac:dyDescent="0.25">
      <c r="A75" s="62"/>
      <c r="B75" s="62"/>
      <c r="C75" s="62"/>
      <c r="D75" s="76"/>
      <c r="E75" s="77"/>
      <c r="F75" s="35"/>
      <c r="G75" s="78"/>
      <c r="H75" s="62"/>
      <c r="I75" s="62"/>
      <c r="J75" s="62"/>
      <c r="K75" s="62"/>
      <c r="L75" s="39"/>
      <c r="M75" s="62"/>
    </row>
    <row r="76" spans="1:16" x14ac:dyDescent="0.25">
      <c r="A76" s="62"/>
      <c r="B76" s="62"/>
      <c r="C76" s="62"/>
      <c r="D76" s="76"/>
      <c r="E76" s="77"/>
      <c r="F76" s="35"/>
      <c r="G76" s="78"/>
      <c r="H76" s="62"/>
      <c r="I76" s="62"/>
      <c r="J76" s="62"/>
      <c r="K76" s="62"/>
      <c r="L76" s="39"/>
      <c r="M76" s="62"/>
      <c r="O76" s="15"/>
      <c r="P76" s="15"/>
    </row>
    <row r="77" spans="1:16" x14ac:dyDescent="0.25">
      <c r="A77" s="62"/>
      <c r="B77" s="62"/>
      <c r="C77" s="62"/>
      <c r="D77" s="76"/>
      <c r="E77" s="77"/>
      <c r="F77" s="35"/>
      <c r="G77" s="78"/>
      <c r="H77" s="62"/>
      <c r="I77" s="62"/>
      <c r="J77" s="62"/>
      <c r="K77" s="62"/>
      <c r="L77" s="39"/>
      <c r="M77" s="62"/>
    </row>
    <row r="78" spans="1:16" x14ac:dyDescent="0.25">
      <c r="A78" s="62"/>
      <c r="B78" s="62"/>
      <c r="C78" s="62"/>
      <c r="D78" s="76"/>
      <c r="E78" s="77"/>
      <c r="F78" s="35"/>
      <c r="G78" s="78"/>
      <c r="H78" s="62"/>
      <c r="I78" s="62"/>
      <c r="J78" s="62"/>
      <c r="K78" s="62"/>
      <c r="L78" s="39"/>
      <c r="M78" s="62"/>
    </row>
    <row r="79" spans="1:16" x14ac:dyDescent="0.25">
      <c r="A79" s="62"/>
      <c r="B79" s="62"/>
      <c r="C79" s="62"/>
      <c r="D79" s="76"/>
      <c r="E79" s="77"/>
      <c r="F79" s="35"/>
      <c r="G79" s="78"/>
      <c r="H79" s="62"/>
      <c r="I79" s="62"/>
      <c r="J79" s="62"/>
      <c r="K79" s="62"/>
      <c r="L79" s="39"/>
      <c r="M79" s="62"/>
    </row>
    <row r="80" spans="1:16" s="2" customFormat="1" ht="12.75" x14ac:dyDescent="0.2"/>
    <row r="81" spans="1:13" s="2" customFormat="1" ht="12.75" x14ac:dyDescent="0.2"/>
    <row r="83" spans="1:13" s="2" customFormat="1" ht="12.75" x14ac:dyDescent="0.2">
      <c r="A83" s="79"/>
      <c r="B83" s="79"/>
      <c r="E83" s="79"/>
      <c r="F83" s="79"/>
      <c r="G83" s="79"/>
      <c r="H83" s="80"/>
      <c r="M83" s="79"/>
    </row>
    <row r="84" spans="1:13" s="2" customFormat="1" ht="12.75" x14ac:dyDescent="0.2">
      <c r="A84" s="79"/>
      <c r="B84" s="79"/>
      <c r="E84" s="79"/>
      <c r="F84" s="79"/>
      <c r="G84" s="79"/>
      <c r="H84" s="80"/>
      <c r="M84" s="79"/>
    </row>
    <row r="85" spans="1:13" s="2" customFormat="1" ht="12.75" x14ac:dyDescent="0.2">
      <c r="A85" s="81"/>
      <c r="B85" s="81"/>
    </row>
    <row r="86" spans="1:13" s="2" customFormat="1" ht="12.75" x14ac:dyDescent="0.2">
      <c r="A86" s="82"/>
      <c r="B86" s="82"/>
      <c r="E86" s="82"/>
      <c r="F86" s="81"/>
      <c r="G86" s="81"/>
      <c r="M86" s="83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8"/>
  <sheetViews>
    <sheetView zoomScaleNormal="100" workbookViewId="0">
      <pane xSplit="2" topLeftCell="E1" activePane="topRight" state="frozen"/>
      <selection activeCell="A13" sqref="A13"/>
      <selection pane="topRight" activeCell="Q6" sqref="Q6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4" width="10.5703125" style="2" customWidth="1"/>
    <col min="15" max="15" width="13" style="2" customWidth="1"/>
    <col min="16" max="16" width="14.7109375" style="2" bestFit="1" customWidth="1"/>
    <col min="17" max="18" width="10.85546875" style="2" customWidth="1"/>
    <col min="19" max="19" width="11.28515625" style="2" customWidth="1"/>
    <col min="20" max="1024" width="9.140625" style="2"/>
  </cols>
  <sheetData>
    <row r="1" spans="1:19" s="2" customFormat="1" ht="25.5" x14ac:dyDescent="0.2">
      <c r="A1" s="3"/>
      <c r="B1" s="3" t="s">
        <v>137</v>
      </c>
      <c r="C1" s="4">
        <v>44055</v>
      </c>
      <c r="D1" s="5"/>
      <c r="E1" s="6" t="s">
        <v>138</v>
      </c>
      <c r="F1" s="7"/>
      <c r="G1" s="8"/>
      <c r="K1" s="9" t="s">
        <v>139</v>
      </c>
      <c r="L1" s="9" t="s">
        <v>140</v>
      </c>
      <c r="M1" s="10" t="s">
        <v>141</v>
      </c>
    </row>
    <row r="2" spans="1:19" x14ac:dyDescent="0.25">
      <c r="A2" s="3"/>
      <c r="B2" s="3" t="s">
        <v>142</v>
      </c>
      <c r="C2" s="11">
        <v>7.2</v>
      </c>
      <c r="D2" s="12"/>
      <c r="E2" s="13">
        <f>SUM(E26,E38,E49,E69,E28)</f>
        <v>52876983.540484227</v>
      </c>
      <c r="F2" s="14"/>
      <c r="G2" s="15"/>
      <c r="H2" s="12"/>
      <c r="I2" s="12"/>
      <c r="J2" s="12"/>
      <c r="K2" s="13">
        <f>SUM(K26,K38,K49,K69,K28)</f>
        <v>53123204.826059483</v>
      </c>
      <c r="L2" s="16">
        <f>SUM(L49,L69,L38,L26,L28)</f>
        <v>0.99999999999999978</v>
      </c>
      <c r="M2" s="17">
        <f>K2/$C$6</f>
        <v>7.2335846153436529</v>
      </c>
      <c r="P2" s="18"/>
    </row>
    <row r="3" spans="1:19" ht="26.25" x14ac:dyDescent="0.25">
      <c r="A3" s="3"/>
      <c r="B3" s="3" t="s">
        <v>143</v>
      </c>
      <c r="C3" s="19">
        <v>7343966.7400000002</v>
      </c>
      <c r="D3" s="20"/>
      <c r="E3" s="6" t="s">
        <v>144</v>
      </c>
      <c r="F3" s="14"/>
      <c r="G3" s="15"/>
      <c r="H3" s="12"/>
      <c r="I3" s="12"/>
      <c r="J3" s="12"/>
      <c r="K3" s="9" t="s">
        <v>139</v>
      </c>
      <c r="L3" s="12"/>
      <c r="M3" s="10" t="s">
        <v>145</v>
      </c>
      <c r="P3" s="21"/>
    </row>
    <row r="4" spans="1:19" x14ac:dyDescent="0.25">
      <c r="A4" s="3"/>
      <c r="B4" s="3" t="s">
        <v>146</v>
      </c>
      <c r="C4" s="19">
        <v>0</v>
      </c>
      <c r="D4" s="20"/>
      <c r="E4" s="13">
        <f>SUM(E26,E69,E28)</f>
        <v>8989279.6725626402</v>
      </c>
      <c r="F4" s="14"/>
      <c r="G4" s="15"/>
      <c r="H4" s="12"/>
      <c r="I4" s="12"/>
      <c r="J4" s="12"/>
      <c r="K4" s="13">
        <f>SUM(K26,K28,K69)</f>
        <v>9139037.9238492586</v>
      </c>
      <c r="L4" s="12"/>
      <c r="M4" s="17">
        <f>K4/$C$6</f>
        <v>1.2444280111008861</v>
      </c>
      <c r="P4" s="21"/>
    </row>
    <row r="5" spans="1:19" x14ac:dyDescent="0.25">
      <c r="A5" s="3"/>
      <c r="B5" s="3" t="s">
        <v>147</v>
      </c>
      <c r="C5" s="19">
        <v>0</v>
      </c>
      <c r="D5" s="20"/>
      <c r="E5" s="14"/>
      <c r="F5" s="14"/>
      <c r="G5" s="15"/>
      <c r="H5" s="12"/>
      <c r="I5" s="12"/>
      <c r="J5" s="12"/>
      <c r="K5" s="12"/>
      <c r="L5" s="12"/>
      <c r="M5" s="12"/>
      <c r="P5" s="21"/>
    </row>
    <row r="6" spans="1:19" x14ac:dyDescent="0.25">
      <c r="A6" s="3"/>
      <c r="B6" s="3" t="s">
        <v>148</v>
      </c>
      <c r="C6" s="19">
        <f>C3+C4-C5</f>
        <v>7343966.7400000002</v>
      </c>
      <c r="D6" s="20"/>
      <c r="E6" s="14"/>
      <c r="F6" s="14"/>
      <c r="G6" s="15"/>
      <c r="H6" s="12"/>
      <c r="I6" s="12"/>
      <c r="J6" s="12"/>
      <c r="K6" s="12"/>
      <c r="L6" s="12"/>
      <c r="M6" s="12"/>
      <c r="P6" s="21"/>
    </row>
    <row r="7" spans="1:19" x14ac:dyDescent="0.25">
      <c r="A7" s="22"/>
      <c r="B7" s="23"/>
      <c r="C7" s="23"/>
      <c r="D7" s="24"/>
      <c r="E7" s="25"/>
      <c r="F7" s="25"/>
      <c r="G7" s="25"/>
      <c r="H7" s="26"/>
      <c r="I7" s="26"/>
      <c r="J7" s="26"/>
      <c r="K7" s="12"/>
      <c r="L7" s="12"/>
      <c r="M7" s="12"/>
      <c r="P7" s="219">
        <f>SUM(P9:P65)/2</f>
        <v>11939487.966970241</v>
      </c>
    </row>
    <row r="8" spans="1:19" s="30" customFormat="1" ht="38.25" x14ac:dyDescent="0.2">
      <c r="A8" s="27" t="s">
        <v>149</v>
      </c>
      <c r="B8" s="27" t="s">
        <v>150</v>
      </c>
      <c r="C8" s="28" t="s">
        <v>1</v>
      </c>
      <c r="D8" s="28" t="s">
        <v>151</v>
      </c>
      <c r="E8" s="28" t="s">
        <v>152</v>
      </c>
      <c r="F8" s="28" t="s">
        <v>153</v>
      </c>
      <c r="G8" s="28" t="s">
        <v>154</v>
      </c>
      <c r="H8" s="28" t="s">
        <v>155</v>
      </c>
      <c r="I8" s="28" t="s">
        <v>156</v>
      </c>
      <c r="J8" s="28" t="s">
        <v>157</v>
      </c>
      <c r="K8" s="29" t="s">
        <v>158</v>
      </c>
      <c r="L8" s="29" t="s">
        <v>159</v>
      </c>
      <c r="M8" s="29" t="s">
        <v>160</v>
      </c>
      <c r="P8" s="31"/>
      <c r="S8" s="32"/>
    </row>
    <row r="9" spans="1:19" s="41" customFormat="1" ht="12.75" x14ac:dyDescent="0.2">
      <c r="A9" s="33" t="s">
        <v>161</v>
      </c>
      <c r="B9" s="33" t="s">
        <v>41</v>
      </c>
      <c r="C9" s="33" t="s">
        <v>42</v>
      </c>
      <c r="D9" s="34">
        <v>5.2090000000000001E-3</v>
      </c>
      <c r="E9" s="35">
        <f>'Aug 12'!$D9*$C$6*$C$2</f>
        <v>275434.00379035203</v>
      </c>
      <c r="F9" s="35">
        <v>436.20025268477599</v>
      </c>
      <c r="G9" s="36">
        <f>'Aug 12'!$E9/'Aug 12'!$F9</f>
        <v>631.4393494618098</v>
      </c>
      <c r="H9" s="33">
        <v>1583</v>
      </c>
      <c r="I9" s="33">
        <v>631</v>
      </c>
      <c r="J9" s="37">
        <f t="shared" ref="J9:J24" si="0">I9-H9</f>
        <v>-952</v>
      </c>
      <c r="K9" s="38">
        <f>'Aug 12'!$F9*'Aug 12'!$I9</f>
        <v>275242.35944409366</v>
      </c>
      <c r="L9" s="39">
        <f>'Aug 12'!$K9/$K$2</f>
        <v>5.1812077291894494E-3</v>
      </c>
      <c r="M9" s="40"/>
      <c r="O9" s="2">
        <f>Table1389584567[[#This Row],[Change]]*Table1389584567[[#This Row],[Last price]]</f>
        <v>-415262.64055590675</v>
      </c>
      <c r="P9" s="42">
        <f>ABS(O9)</f>
        <v>415262.64055590675</v>
      </c>
    </row>
    <row r="10" spans="1:19" s="41" customFormat="1" ht="25.5" customHeight="1" x14ac:dyDescent="0.2">
      <c r="A10" s="33" t="s">
        <v>161</v>
      </c>
      <c r="B10" s="33" t="s">
        <v>47</v>
      </c>
      <c r="C10" s="33" t="s">
        <v>48</v>
      </c>
      <c r="D10" s="34">
        <v>1.0416999999999999E-2</v>
      </c>
      <c r="E10" s="35">
        <f>'Aug 12'!$D10*$C$6*$C$2</f>
        <v>550815.13102017599</v>
      </c>
      <c r="F10" s="35">
        <v>598.86026200873403</v>
      </c>
      <c r="G10" s="36">
        <f>'Aug 12'!$E10/'Aug 12'!$F10</f>
        <v>919.77238424970449</v>
      </c>
      <c r="H10" s="33">
        <v>1145</v>
      </c>
      <c r="I10" s="33">
        <v>912</v>
      </c>
      <c r="J10" s="37">
        <f t="shared" si="0"/>
        <v>-233</v>
      </c>
      <c r="K10" s="38">
        <f>'Aug 12'!$F10*'Aug 12'!$I10</f>
        <v>546160.55895196542</v>
      </c>
      <c r="L10" s="39">
        <f>'Aug 12'!$K10/$K$2</f>
        <v>1.0281016756053231E-2</v>
      </c>
      <c r="M10" s="40"/>
      <c r="O10" s="2">
        <f>Table1389584567[[#This Row],[Change]]*Table1389584567[[#This Row],[Last price]]</f>
        <v>-139534.44104803502</v>
      </c>
      <c r="P10" s="42">
        <f t="shared" ref="P10:P65" si="1">ABS(O10)</f>
        <v>139534.44104803502</v>
      </c>
    </row>
    <row r="11" spans="1:19" s="41" customFormat="1" ht="12.75" customHeight="1" x14ac:dyDescent="0.2">
      <c r="A11" s="33" t="s">
        <v>161</v>
      </c>
      <c r="B11" s="33" t="s">
        <v>50</v>
      </c>
      <c r="C11" s="33" t="s">
        <v>51</v>
      </c>
      <c r="D11" s="34">
        <v>1.0416999999999999E-2</v>
      </c>
      <c r="E11" s="35">
        <f>'Aug 12'!$D11*$C$6*$C$2</f>
        <v>550815.13102017599</v>
      </c>
      <c r="F11" s="35">
        <v>1448</v>
      </c>
      <c r="G11" s="36">
        <f>'Aug 12'!$E11/'Aug 12'!$F11</f>
        <v>380.39718993106078</v>
      </c>
      <c r="H11" s="33">
        <v>489</v>
      </c>
      <c r="I11" s="33">
        <v>380</v>
      </c>
      <c r="J11" s="37">
        <f t="shared" si="0"/>
        <v>-109</v>
      </c>
      <c r="K11" s="38">
        <f>'Aug 12'!$F11*'Aug 12'!$I11</f>
        <v>550240</v>
      </c>
      <c r="L11" s="39">
        <f>'Aug 12'!$K11/$K$2</f>
        <v>1.0357808829524548E-2</v>
      </c>
      <c r="M11" s="40"/>
      <c r="O11" s="2">
        <f>Table1389584567[[#This Row],[Change]]*Table1389584567[[#This Row],[Last price]]</f>
        <v>-157832</v>
      </c>
      <c r="P11" s="42">
        <f t="shared" si="1"/>
        <v>157832</v>
      </c>
    </row>
    <row r="12" spans="1:19" s="41" customFormat="1" ht="12.75" customHeight="1" x14ac:dyDescent="0.2">
      <c r="A12" s="33" t="s">
        <v>161</v>
      </c>
      <c r="B12" s="33" t="s">
        <v>61</v>
      </c>
      <c r="C12" s="33" t="s">
        <v>62</v>
      </c>
      <c r="D12" s="34">
        <v>1.0416999999999999E-2</v>
      </c>
      <c r="E12" s="35">
        <f>'Aug 12'!$D12*$C$6*$C$2</f>
        <v>550815.13102017599</v>
      </c>
      <c r="F12" s="35">
        <v>442.399874450722</v>
      </c>
      <c r="G12" s="36">
        <f>'Aug 12'!$E12/'Aug 12'!$F12</f>
        <v>1245.0616802368243</v>
      </c>
      <c r="H12" s="33">
        <v>1593</v>
      </c>
      <c r="I12" s="33">
        <v>1245</v>
      </c>
      <c r="J12" s="37">
        <f t="shared" si="0"/>
        <v>-348</v>
      </c>
      <c r="K12" s="38">
        <f>'Aug 12'!$F12*'Aug 12'!$I12</f>
        <v>550787.84369114891</v>
      </c>
      <c r="L12" s="39">
        <f>'Aug 12'!$K12/$K$2</f>
        <v>1.0368121529839651E-2</v>
      </c>
      <c r="M12" s="40"/>
      <c r="O12" s="2">
        <f>Table1389584567[[#This Row],[Change]]*Table1389584567[[#This Row],[Last price]]</f>
        <v>-153955.15630885126</v>
      </c>
      <c r="P12" s="42">
        <f t="shared" si="1"/>
        <v>153955.15630885126</v>
      </c>
    </row>
    <row r="13" spans="1:19" s="41" customFormat="1" ht="12.75" customHeight="1" x14ac:dyDescent="0.2">
      <c r="A13" s="33" t="s">
        <v>161</v>
      </c>
      <c r="B13" s="33" t="s">
        <v>164</v>
      </c>
      <c r="C13" s="33" t="s">
        <v>165</v>
      </c>
      <c r="D13" s="34">
        <v>1.0416999999999999E-2</v>
      </c>
      <c r="E13" s="35">
        <f>'Aug 12'!$D13*$C$6*$C$2</f>
        <v>550815.13102017599</v>
      </c>
      <c r="F13" s="35">
        <v>411.41030415890799</v>
      </c>
      <c r="G13" s="36">
        <f>'Aug 12'!$E13/'Aug 12'!$F13</f>
        <v>1338.8462210402554</v>
      </c>
      <c r="H13" s="33">
        <v>1611</v>
      </c>
      <c r="I13" s="33">
        <v>1339</v>
      </c>
      <c r="J13" s="37">
        <f t="shared" si="0"/>
        <v>-272</v>
      </c>
      <c r="K13" s="38">
        <f>'Aug 12'!$F13*'Aug 12'!$I13</f>
        <v>550878.39726877783</v>
      </c>
      <c r="L13" s="39">
        <f>'Aug 12'!$K13/$K$2</f>
        <v>1.0369826125372345E-2</v>
      </c>
      <c r="M13" s="40"/>
      <c r="O13" s="2">
        <f>Table1389584567[[#This Row],[Change]]*Table1389584567[[#This Row],[Last price]]</f>
        <v>-111903.60273122297</v>
      </c>
      <c r="P13" s="42">
        <f t="shared" si="1"/>
        <v>111903.60273122297</v>
      </c>
    </row>
    <row r="14" spans="1:19" s="41" customFormat="1" ht="12.75" customHeight="1" x14ac:dyDescent="0.2">
      <c r="A14" s="33" t="s">
        <v>161</v>
      </c>
      <c r="B14" s="33" t="s">
        <v>53</v>
      </c>
      <c r="C14" s="33" t="s">
        <v>54</v>
      </c>
      <c r="D14" s="34">
        <v>1.0416999999999999E-2</v>
      </c>
      <c r="E14" s="35">
        <f>'Aug 12'!$D14*$C$6*$C$2</f>
        <v>550815.13102017599</v>
      </c>
      <c r="F14" s="35">
        <v>264</v>
      </c>
      <c r="G14" s="36">
        <f>'Aug 12'!$E14/'Aug 12'!$F14</f>
        <v>2086.420950834</v>
      </c>
      <c r="H14" s="33">
        <v>2595</v>
      </c>
      <c r="I14" s="33">
        <v>2086</v>
      </c>
      <c r="J14" s="37">
        <f t="shared" si="0"/>
        <v>-509</v>
      </c>
      <c r="K14" s="38">
        <f>'Aug 12'!$F14*'Aug 12'!$I14</f>
        <v>550704</v>
      </c>
      <c r="L14" s="39">
        <f>'Aug 12'!$K14/$K$2</f>
        <v>1.03665432423206E-2</v>
      </c>
      <c r="M14" s="40"/>
      <c r="O14" s="2">
        <f>Table1389584567[[#This Row],[Change]]*Table1389584567[[#This Row],[Last price]]</f>
        <v>-134376</v>
      </c>
      <c r="P14" s="42">
        <f t="shared" si="1"/>
        <v>134376</v>
      </c>
    </row>
    <row r="15" spans="1:19" s="41" customFormat="1" ht="12.75" customHeight="1" x14ac:dyDescent="0.2">
      <c r="A15" s="33" t="s">
        <v>161</v>
      </c>
      <c r="B15" s="33" t="s">
        <v>35</v>
      </c>
      <c r="C15" s="33" t="s">
        <v>36</v>
      </c>
      <c r="D15" s="34">
        <v>1.0416999999999999E-2</v>
      </c>
      <c r="E15" s="35">
        <f>'Aug 12'!$D15*$C$6*$C$2</f>
        <v>550815.13102017599</v>
      </c>
      <c r="F15" s="35">
        <v>62.089974740876201</v>
      </c>
      <c r="G15" s="36">
        <f>'Aug 12'!$E15/'Aug 12'!$F15</f>
        <v>8871.2410227081855</v>
      </c>
      <c r="H15" s="33">
        <v>11481</v>
      </c>
      <c r="I15" s="33">
        <v>8871</v>
      </c>
      <c r="J15" s="37">
        <f t="shared" si="0"/>
        <v>-2610</v>
      </c>
      <c r="K15" s="38">
        <f>'Aug 12'!$F15*'Aug 12'!$I15</f>
        <v>550800.16592631279</v>
      </c>
      <c r="L15" s="39">
        <f>'Aug 12'!$K15/$K$2</f>
        <v>1.0368353485633813E-2</v>
      </c>
      <c r="M15" s="40"/>
      <c r="O15" s="2">
        <f>Table1389584567[[#This Row],[Change]]*Table1389584567[[#This Row],[Last price]]</f>
        <v>-162054.83407368688</v>
      </c>
      <c r="P15" s="42">
        <f t="shared" si="1"/>
        <v>162054.83407368688</v>
      </c>
    </row>
    <row r="16" spans="1:19" s="44" customFormat="1" ht="12.75" customHeight="1" x14ac:dyDescent="0.2">
      <c r="A16" s="33" t="s">
        <v>161</v>
      </c>
      <c r="B16" s="43" t="s">
        <v>17</v>
      </c>
      <c r="C16" s="33" t="s">
        <v>170</v>
      </c>
      <c r="D16" s="34">
        <v>5.2090000000000001E-3</v>
      </c>
      <c r="E16" s="35">
        <f>'Aug 12'!$D16*$C$6*$C$2</f>
        <v>275434.00379035203</v>
      </c>
      <c r="F16" s="35">
        <v>78.44</v>
      </c>
      <c r="G16" s="36">
        <f>'Aug 12'!$E16/'Aug 12'!$F16</f>
        <v>3511.3972946245799</v>
      </c>
      <c r="H16" s="33">
        <v>8375</v>
      </c>
      <c r="I16" s="33">
        <v>3511</v>
      </c>
      <c r="J16" s="37">
        <f t="shared" si="0"/>
        <v>-4864</v>
      </c>
      <c r="K16" s="38">
        <f>'Aug 12'!$F16*'Aug 12'!$I16</f>
        <v>275402.83999999997</v>
      </c>
      <c r="L16" s="39">
        <f>'Aug 12'!$K16/$K$2</f>
        <v>5.1842286417347633E-3</v>
      </c>
      <c r="M16" s="33"/>
      <c r="O16" s="2">
        <f>Table1389584567[[#This Row],[Change]]*Table1389584567[[#This Row],[Last price]]</f>
        <v>-381532.15999999997</v>
      </c>
      <c r="P16" s="42">
        <f t="shared" si="1"/>
        <v>381532.15999999997</v>
      </c>
    </row>
    <row r="17" spans="1:17" s="44" customFormat="1" ht="12.75" customHeight="1" x14ac:dyDescent="0.2">
      <c r="A17" s="33" t="s">
        <v>161</v>
      </c>
      <c r="B17" s="43" t="s">
        <v>44</v>
      </c>
      <c r="C17" s="33" t="s">
        <v>45</v>
      </c>
      <c r="D17" s="34">
        <v>0</v>
      </c>
      <c r="E17" s="35">
        <f>'Aug 12'!$D17*$C$6*$C$2</f>
        <v>0</v>
      </c>
      <c r="F17" s="35">
        <v>190.12012349144001</v>
      </c>
      <c r="G17" s="36">
        <f>'Aug 12'!$E17/'Aug 12'!$F17</f>
        <v>0</v>
      </c>
      <c r="H17" s="33">
        <v>3563</v>
      </c>
      <c r="I17" s="33">
        <v>0</v>
      </c>
      <c r="J17" s="37">
        <f t="shared" si="0"/>
        <v>-3563</v>
      </c>
      <c r="K17" s="38">
        <f>'Aug 12'!$F17*'Aug 12'!$I17</f>
        <v>0</v>
      </c>
      <c r="L17" s="39">
        <f>'Aug 12'!$K17/$K$2</f>
        <v>0</v>
      </c>
      <c r="M17" s="33"/>
      <c r="O17" s="2">
        <f>Table1389584567[[#This Row],[Change]]*Table1389584567[[#This Row],[Last price]]</f>
        <v>-677398.00000000081</v>
      </c>
      <c r="P17" s="42">
        <f t="shared" si="1"/>
        <v>677398.00000000081</v>
      </c>
    </row>
    <row r="18" spans="1:17" s="44" customFormat="1" ht="12.75" customHeight="1" x14ac:dyDescent="0.2">
      <c r="A18" s="33" t="s">
        <v>161</v>
      </c>
      <c r="B18" s="43" t="s">
        <v>175</v>
      </c>
      <c r="C18" s="33" t="s">
        <v>176</v>
      </c>
      <c r="D18" s="34">
        <v>0</v>
      </c>
      <c r="E18" s="35">
        <f>'Aug 12'!$D18*$C$6*$C$2</f>
        <v>0</v>
      </c>
      <c r="F18" s="35">
        <v>1100.00900900901</v>
      </c>
      <c r="G18" s="36">
        <f>'Aug 12'!$E18/'Aug 12'!$F18</f>
        <v>0</v>
      </c>
      <c r="H18" s="33">
        <v>222</v>
      </c>
      <c r="I18" s="33">
        <v>0</v>
      </c>
      <c r="J18" s="37">
        <f t="shared" si="0"/>
        <v>-222</v>
      </c>
      <c r="K18" s="38">
        <f>'Aug 12'!$F18*'Aug 12'!$I18</f>
        <v>0</v>
      </c>
      <c r="L18" s="39">
        <f>'Aug 12'!$K18/$K$2</f>
        <v>0</v>
      </c>
      <c r="M18" s="33"/>
      <c r="O18" s="2">
        <f>Table1389584567[[#This Row],[Change]]*Table1389584567[[#This Row],[Last price]]</f>
        <v>-244202.00000000023</v>
      </c>
      <c r="P18" s="42">
        <f t="shared" si="1"/>
        <v>244202.00000000023</v>
      </c>
    </row>
    <row r="19" spans="1:17" s="44" customFormat="1" ht="12.75" customHeight="1" x14ac:dyDescent="0.2">
      <c r="A19" s="33" t="s">
        <v>161</v>
      </c>
      <c r="B19" s="43" t="s">
        <v>20</v>
      </c>
      <c r="C19" s="33" t="s">
        <v>21</v>
      </c>
      <c r="D19" s="34">
        <v>0</v>
      </c>
      <c r="E19" s="35">
        <f>'Aug 12'!$D19*$C$6*$C$2</f>
        <v>0</v>
      </c>
      <c r="F19" s="35">
        <v>3100</v>
      </c>
      <c r="G19" s="36">
        <f>'Aug 12'!$E19/'Aug 12'!$F19</f>
        <v>0</v>
      </c>
      <c r="H19" s="33">
        <v>224</v>
      </c>
      <c r="I19" s="33">
        <v>0</v>
      </c>
      <c r="J19" s="37">
        <f t="shared" si="0"/>
        <v>-224</v>
      </c>
      <c r="K19" s="38">
        <f>'Aug 12'!$F19*'Aug 12'!$I19</f>
        <v>0</v>
      </c>
      <c r="L19" s="39">
        <f>'Aug 12'!$K19/$K$2</f>
        <v>0</v>
      </c>
      <c r="M19" s="33"/>
      <c r="O19" s="2">
        <f>Table1389584567[[#This Row],[Change]]*Table1389584567[[#This Row],[Last price]]</f>
        <v>-694400</v>
      </c>
      <c r="P19" s="42">
        <f t="shared" si="1"/>
        <v>694400</v>
      </c>
    </row>
    <row r="20" spans="1:17" s="44" customFormat="1" ht="12.75" customHeight="1" x14ac:dyDescent="0.2">
      <c r="A20" s="33" t="s">
        <v>161</v>
      </c>
      <c r="B20" s="43" t="s">
        <v>232</v>
      </c>
      <c r="C20" s="33" t="s">
        <v>233</v>
      </c>
      <c r="D20" s="34">
        <v>1.0416999999999999E-2</v>
      </c>
      <c r="E20" s="35">
        <f>'Aug 12'!$D20*$C$6*$C$2</f>
        <v>550815.13102017599</v>
      </c>
      <c r="F20" s="35">
        <v>15.69</v>
      </c>
      <c r="G20" s="36">
        <f>'Aug 12'!$E20/'Aug 12'!$F20</f>
        <v>35106.126897398091</v>
      </c>
      <c r="H20" s="33">
        <v>0</v>
      </c>
      <c r="I20" s="33">
        <v>35106</v>
      </c>
      <c r="J20" s="37">
        <f t="shared" si="0"/>
        <v>35106</v>
      </c>
      <c r="K20" s="38">
        <f>'Aug 12'!$F20*'Aug 12'!$I20</f>
        <v>550813.14</v>
      </c>
      <c r="L20" s="39">
        <f>'Aug 12'!$K20/$K$2</f>
        <v>1.0368597711744223E-2</v>
      </c>
      <c r="M20" s="33"/>
      <c r="O20" s="2">
        <f>Table1389584567[[#This Row],[Change]]*Table1389584567[[#This Row],[Last price]]</f>
        <v>550813.14</v>
      </c>
      <c r="P20" s="42">
        <f t="shared" si="1"/>
        <v>550813.14</v>
      </c>
    </row>
    <row r="21" spans="1:17" s="44" customFormat="1" ht="12.75" customHeight="1" x14ac:dyDescent="0.2">
      <c r="A21" s="33" t="s">
        <v>161</v>
      </c>
      <c r="B21" s="43" t="s">
        <v>234</v>
      </c>
      <c r="C21" s="33" t="s">
        <v>235</v>
      </c>
      <c r="D21" s="34">
        <v>1.0416999999999999E-2</v>
      </c>
      <c r="E21" s="35">
        <f>'Aug 12'!$D21*$C$6*$C$2</f>
        <v>550815.13102017599</v>
      </c>
      <c r="F21" s="35">
        <v>155.85</v>
      </c>
      <c r="G21" s="36">
        <f>'Aug 12'!$E21/'Aug 12'!$F21</f>
        <v>3534.2645557919541</v>
      </c>
      <c r="H21" s="33">
        <v>0</v>
      </c>
      <c r="I21" s="33">
        <v>3534</v>
      </c>
      <c r="J21" s="37">
        <f t="shared" si="0"/>
        <v>3534</v>
      </c>
      <c r="K21" s="38">
        <f>'Aug 12'!$F21*'Aug 12'!$I21</f>
        <v>550773.9</v>
      </c>
      <c r="L21" s="39">
        <f>'Aug 12'!$K21/$K$2</f>
        <v>1.036785905148966E-2</v>
      </c>
      <c r="M21" s="33"/>
      <c r="O21" s="2">
        <f>Table1389584567[[#This Row],[Change]]*Table1389584567[[#This Row],[Last price]]</f>
        <v>550773.9</v>
      </c>
      <c r="P21" s="42">
        <f t="shared" si="1"/>
        <v>550773.9</v>
      </c>
    </row>
    <row r="22" spans="1:17" s="44" customFormat="1" ht="12.75" customHeight="1" x14ac:dyDescent="0.2">
      <c r="A22" s="33" t="s">
        <v>161</v>
      </c>
      <c r="B22" s="33" t="s">
        <v>236</v>
      </c>
      <c r="C22" s="33" t="s">
        <v>237</v>
      </c>
      <c r="D22" s="34">
        <v>1.0416999999999999E-2</v>
      </c>
      <c r="E22" s="35">
        <f>'Aug 12'!$D22*$C$6*$C$2</f>
        <v>550815.13102017599</v>
      </c>
      <c r="F22" s="35">
        <v>34.26</v>
      </c>
      <c r="G22" s="36">
        <f>'Aug 12'!$E22/'Aug 12'!$F22</f>
        <v>16077.499446006306</v>
      </c>
      <c r="H22" s="33">
        <v>0</v>
      </c>
      <c r="I22" s="33">
        <v>16078</v>
      </c>
      <c r="J22" s="37">
        <f t="shared" si="0"/>
        <v>16078</v>
      </c>
      <c r="K22" s="38">
        <f>'Aug 12'!$F22*'Aug 12'!$I22</f>
        <v>550832.27999999991</v>
      </c>
      <c r="L22" s="39">
        <f>'Aug 12'!$K22/$K$2</f>
        <v>1.0368958006272059E-2</v>
      </c>
      <c r="M22" s="33"/>
      <c r="O22" s="2">
        <f>Table1389584567[[#This Row],[Change]]*Table1389584567[[#This Row],[Last price]]</f>
        <v>550832.27999999991</v>
      </c>
      <c r="P22" s="42">
        <f t="shared" si="1"/>
        <v>550832.27999999991</v>
      </c>
    </row>
    <row r="23" spans="1:17" s="44" customFormat="1" ht="12.75" customHeight="1" x14ac:dyDescent="0.2">
      <c r="A23" s="33" t="s">
        <v>161</v>
      </c>
      <c r="B23" s="33" t="s">
        <v>26</v>
      </c>
      <c r="C23" s="33" t="s">
        <v>27</v>
      </c>
      <c r="D23" s="34">
        <v>1.0416999999999999E-2</v>
      </c>
      <c r="E23" s="35">
        <f>'Aug 12'!$D23*$C$6*$C$2</f>
        <v>550815.13102017599</v>
      </c>
      <c r="F23" s="35">
        <v>222.3</v>
      </c>
      <c r="G23" s="36">
        <f>'Aug 12'!$E23/'Aug 12'!$F23</f>
        <v>2477.8008592900405</v>
      </c>
      <c r="H23" s="33">
        <v>0</v>
      </c>
      <c r="I23" s="33">
        <v>2478</v>
      </c>
      <c r="J23" s="37">
        <f t="shared" si="0"/>
        <v>2478</v>
      </c>
      <c r="K23" s="38">
        <f>'Aug 12'!$F23*'Aug 12'!$I23</f>
        <v>550859.4</v>
      </c>
      <c r="L23" s="39">
        <f>'Aug 12'!$K23/$K$2</f>
        <v>1.0369468517640658E-2</v>
      </c>
      <c r="M23" s="33"/>
      <c r="O23" s="2">
        <f>Table1389584567[[#This Row],[Change]]*Table1389584567[[#This Row],[Last price]]</f>
        <v>550859.4</v>
      </c>
      <c r="P23" s="42">
        <f t="shared" si="1"/>
        <v>550859.4</v>
      </c>
    </row>
    <row r="24" spans="1:17" s="44" customFormat="1" ht="12.75" customHeight="1" x14ac:dyDescent="0.2">
      <c r="A24" s="33" t="s">
        <v>161</v>
      </c>
      <c r="B24" s="33" t="s">
        <v>11</v>
      </c>
      <c r="C24" s="33" t="s">
        <v>12</v>
      </c>
      <c r="D24" s="34">
        <v>1.0416999999999999E-2</v>
      </c>
      <c r="E24" s="35">
        <f>'Aug 12'!$D24*$C$6*$C$2</f>
        <v>550815.13102017599</v>
      </c>
      <c r="F24" s="35">
        <v>294.87</v>
      </c>
      <c r="G24" s="36">
        <f>'Aug 12'!$E24/'Aug 12'!$F24</f>
        <v>1867.9931190700172</v>
      </c>
      <c r="H24" s="33">
        <v>0</v>
      </c>
      <c r="I24" s="33">
        <v>1868</v>
      </c>
      <c r="J24" s="37">
        <f t="shared" si="0"/>
        <v>1868</v>
      </c>
      <c r="K24" s="38">
        <f>'Aug 12'!$F24*'Aug 12'!$I24</f>
        <v>550817.16</v>
      </c>
      <c r="L24" s="39">
        <f>'Aug 12'!$K24/$K$2</f>
        <v>1.0368673384889568E-2</v>
      </c>
      <c r="M24" s="33"/>
      <c r="O24" s="2">
        <f>Table1389584567[[#This Row],[Change]]*Table1389584567[[#This Row],[Last price]]</f>
        <v>550817.16</v>
      </c>
      <c r="P24" s="42">
        <f t="shared" si="1"/>
        <v>550817.16</v>
      </c>
    </row>
    <row r="25" spans="1:17" s="44" customFormat="1" ht="12.75" customHeight="1" x14ac:dyDescent="0.2">
      <c r="A25" s="33"/>
      <c r="B25" s="33"/>
      <c r="C25" s="33"/>
      <c r="D25" s="34"/>
      <c r="E25" s="35"/>
      <c r="F25" s="35"/>
      <c r="G25" s="36"/>
      <c r="H25" s="33"/>
      <c r="I25" s="33"/>
      <c r="J25" s="45"/>
      <c r="K25" s="35"/>
      <c r="L25" s="46"/>
      <c r="M25" s="33"/>
      <c r="O25" s="2">
        <f>Table1389584567[[#This Row],[Change]]*Table1389584567[[#This Row],[Last price]]</f>
        <v>0</v>
      </c>
      <c r="P25" s="42">
        <f t="shared" si="1"/>
        <v>0</v>
      </c>
    </row>
    <row r="26" spans="1:17" s="54" customFormat="1" ht="12.75" customHeight="1" x14ac:dyDescent="0.2">
      <c r="A26" s="47" t="s">
        <v>177</v>
      </c>
      <c r="B26" s="47"/>
      <c r="C26" s="47"/>
      <c r="D26" s="48">
        <f>SUBTOTAL(9,D9:D24)</f>
        <v>0.12500499999999998</v>
      </c>
      <c r="E26" s="49">
        <f>'Aug 12'!$D26*$C$6*$C$2</f>
        <v>6609834.4488026397</v>
      </c>
      <c r="F26" s="50"/>
      <c r="G26" s="51"/>
      <c r="H26" s="47"/>
      <c r="I26" s="47"/>
      <c r="J26" s="52"/>
      <c r="K26" s="49">
        <f>SUM(K9:K25)</f>
        <v>6604312.0452822987</v>
      </c>
      <c r="L26" s="53">
        <f>'Aug 12'!$K26/$K$2</f>
        <v>0.12432066301170457</v>
      </c>
      <c r="M26" s="47"/>
      <c r="O26" s="2">
        <f>Table1389584567[[#This Row],[Change]]*Table1389584567[[#This Row],[Last price]]</f>
        <v>0</v>
      </c>
      <c r="P26" s="42">
        <f t="shared" si="1"/>
        <v>0</v>
      </c>
    </row>
    <row r="27" spans="1:17" s="44" customFormat="1" ht="12.75" customHeight="1" x14ac:dyDescent="0.2">
      <c r="A27" s="33"/>
      <c r="B27" s="33"/>
      <c r="C27" s="33"/>
      <c r="D27" s="34"/>
      <c r="E27" s="35"/>
      <c r="F27" s="35"/>
      <c r="G27" s="36"/>
      <c r="H27" s="33"/>
      <c r="I27" s="33"/>
      <c r="J27" s="45"/>
      <c r="K27" s="35"/>
      <c r="L27" s="39"/>
      <c r="M27" s="33"/>
      <c r="O27" s="2">
        <f>Table1389584567[[#This Row],[Change]]*Table1389584567[[#This Row],[Last price]]</f>
        <v>0</v>
      </c>
      <c r="P27" s="42">
        <f t="shared" si="1"/>
        <v>0</v>
      </c>
    </row>
    <row r="28" spans="1:17" s="41" customFormat="1" ht="12.75" customHeight="1" x14ac:dyDescent="0.2">
      <c r="A28" s="55"/>
      <c r="B28" s="47" t="s">
        <v>32</v>
      </c>
      <c r="C28" s="55" t="s">
        <v>33</v>
      </c>
      <c r="D28" s="56">
        <v>0.03</v>
      </c>
      <c r="E28" s="57">
        <f>'Aug 12'!$D28*$C$6*$C$2</f>
        <v>1586296.8158400001</v>
      </c>
      <c r="F28" s="57">
        <v>18.369999249981198</v>
      </c>
      <c r="G28" s="58">
        <f>'Aug 12'!$E28/'Aug 12'!$F28</f>
        <v>86352.579238217644</v>
      </c>
      <c r="H28" s="55">
        <v>133330</v>
      </c>
      <c r="I28" s="55">
        <v>86353</v>
      </c>
      <c r="J28" s="59">
        <f>I28-H28</f>
        <v>-46977</v>
      </c>
      <c r="K28" s="50">
        <f>'Aug 12'!$F28*'Aug 12'!$I28</f>
        <v>1586304.5452336264</v>
      </c>
      <c r="L28" s="53">
        <f>'Aug 12'!$K28/$K$2</f>
        <v>2.9860859306731206E-2</v>
      </c>
      <c r="M28" s="47"/>
      <c r="O28" s="2">
        <f>Table1389584567[[#This Row],[Change]]*Table1389584567[[#This Row],[Last price]]</f>
        <v>-862967.45476636675</v>
      </c>
      <c r="P28" s="42">
        <f t="shared" si="1"/>
        <v>862967.45476636675</v>
      </c>
      <c r="Q28" s="42"/>
    </row>
    <row r="29" spans="1:17" s="41" customFormat="1" ht="12.75" customHeight="1" x14ac:dyDescent="0.2">
      <c r="A29" s="33"/>
      <c r="B29" s="33"/>
      <c r="C29" s="33"/>
      <c r="D29" s="34"/>
      <c r="E29" s="35"/>
      <c r="F29" s="35"/>
      <c r="G29" s="36"/>
      <c r="H29" s="33"/>
      <c r="I29" s="33"/>
      <c r="J29" s="45"/>
      <c r="K29" s="38"/>
      <c r="L29" s="39"/>
      <c r="M29" s="33"/>
      <c r="O29" s="2">
        <f>Table1389584567[[#This Row],[Change]]*Table1389584567[[#This Row],[Last price]]</f>
        <v>0</v>
      </c>
      <c r="P29" s="42">
        <f t="shared" si="1"/>
        <v>0</v>
      </c>
      <c r="Q29" s="42"/>
    </row>
    <row r="30" spans="1:17" ht="26.25" x14ac:dyDescent="0.25">
      <c r="A30" s="33" t="s">
        <v>178</v>
      </c>
      <c r="B30" s="60" t="s">
        <v>179</v>
      </c>
      <c r="C30" s="60" t="s">
        <v>106</v>
      </c>
      <c r="D30" s="34">
        <v>3.6666999999999998E-2</v>
      </c>
      <c r="E30" s="35">
        <f>'Aug 12'!$D30*$C$6*$C$2</f>
        <v>1938824.8448801762</v>
      </c>
      <c r="F30" s="35">
        <v>157421.882352941</v>
      </c>
      <c r="G30" s="61">
        <f>'Aug 12'!$E30/'Aug 12'!$F30</f>
        <v>12.316107620497872</v>
      </c>
      <c r="H30" s="33">
        <v>17</v>
      </c>
      <c r="I30" s="33">
        <v>12</v>
      </c>
      <c r="J30" s="37">
        <f t="shared" ref="J30:J36" si="2">I30-H30</f>
        <v>-5</v>
      </c>
      <c r="K30" s="38">
        <f>'Aug 12'!$F30*'Aug 12'!$I30</f>
        <v>1889062.5882352921</v>
      </c>
      <c r="L30" s="39">
        <f>'Aug 12'!$K30/$K$2</f>
        <v>3.5560026817294282E-2</v>
      </c>
      <c r="M30" s="62"/>
      <c r="O30" s="2">
        <f>Table1389584567[[#This Row],[Change]]*Table1389584567[[#This Row],[Last price]]</f>
        <v>-787109.41176470497</v>
      </c>
      <c r="P30" s="42">
        <f t="shared" si="1"/>
        <v>787109.41176470497</v>
      </c>
    </row>
    <row r="31" spans="1:17" ht="26.25" x14ac:dyDescent="0.25">
      <c r="A31" s="33" t="s">
        <v>178</v>
      </c>
      <c r="B31" s="60" t="s">
        <v>180</v>
      </c>
      <c r="C31" s="60" t="s">
        <v>110</v>
      </c>
      <c r="D31" s="34">
        <v>3.6666999999999998E-2</v>
      </c>
      <c r="E31" s="35">
        <f>'Aug 12'!$D31*$C$6*$C$2</f>
        <v>1938824.8448801762</v>
      </c>
      <c r="F31" s="35">
        <v>220875</v>
      </c>
      <c r="G31" s="61">
        <f>'Aug 12'!$E31/'Aug 12'!$F31</f>
        <v>8.7779279904026097</v>
      </c>
      <c r="H31" s="33">
        <v>12</v>
      </c>
      <c r="I31" s="33">
        <v>9</v>
      </c>
      <c r="J31" s="37">
        <f t="shared" si="2"/>
        <v>-3</v>
      </c>
      <c r="K31" s="38">
        <f>'Aug 12'!$F31*'Aug 12'!$I31</f>
        <v>1987875</v>
      </c>
      <c r="L31" s="39">
        <f>'Aug 12'!$K31/$K$2</f>
        <v>3.7420088010670094E-2</v>
      </c>
      <c r="M31" s="62"/>
      <c r="O31" s="2">
        <f>Table1389584567[[#This Row],[Change]]*Table1389584567[[#This Row],[Last price]]</f>
        <v>-662625</v>
      </c>
      <c r="P31" s="42">
        <f t="shared" si="1"/>
        <v>662625</v>
      </c>
    </row>
    <row r="32" spans="1:17" ht="26.25" x14ac:dyDescent="0.25">
      <c r="A32" s="33" t="s">
        <v>178</v>
      </c>
      <c r="B32" s="60" t="s">
        <v>181</v>
      </c>
      <c r="C32" s="60" t="s">
        <v>113</v>
      </c>
      <c r="D32" s="34">
        <v>3.6666999999999998E-2</v>
      </c>
      <c r="E32" s="35">
        <f>'Aug 12'!$D32*$C$6*$C$2</f>
        <v>1938824.8448801762</v>
      </c>
      <c r="F32" s="35">
        <v>178814.46666666699</v>
      </c>
      <c r="G32" s="61">
        <f>'Aug 12'!$E32/'Aug 12'!$F32</f>
        <v>10.842662123609905</v>
      </c>
      <c r="H32" s="33">
        <v>15</v>
      </c>
      <c r="I32" s="33">
        <v>11</v>
      </c>
      <c r="J32" s="37">
        <f t="shared" si="2"/>
        <v>-4</v>
      </c>
      <c r="K32" s="38">
        <f>'Aug 12'!$F32*'Aug 12'!$I32</f>
        <v>1966959.133333337</v>
      </c>
      <c r="L32" s="39">
        <f>'Aug 12'!$K32/$K$2</f>
        <v>3.7026364274778262E-2</v>
      </c>
      <c r="M32" s="62"/>
      <c r="O32" s="2">
        <f>Table1389584567[[#This Row],[Change]]*Table1389584567[[#This Row],[Last price]]</f>
        <v>-715257.86666666798</v>
      </c>
      <c r="P32" s="42">
        <f t="shared" si="1"/>
        <v>715257.86666666798</v>
      </c>
    </row>
    <row r="33" spans="1:17" ht="26.25" x14ac:dyDescent="0.25">
      <c r="A33" s="33" t="s">
        <v>178</v>
      </c>
      <c r="B33" s="60" t="s">
        <v>182</v>
      </c>
      <c r="C33" s="60" t="s">
        <v>116</v>
      </c>
      <c r="D33" s="34">
        <v>3.6666999999999998E-2</v>
      </c>
      <c r="E33" s="35">
        <f>'Aug 12'!$D33*$C$6*$C$2</f>
        <v>1938824.8448801762</v>
      </c>
      <c r="F33" s="35">
        <v>125760.952380952</v>
      </c>
      <c r="G33" s="61">
        <f>'Aug 12'!$E33/'Aug 12'!$F33</f>
        <v>15.416747473469631</v>
      </c>
      <c r="H33" s="33">
        <v>21</v>
      </c>
      <c r="I33" s="33">
        <v>15</v>
      </c>
      <c r="J33" s="37">
        <f t="shared" si="2"/>
        <v>-6</v>
      </c>
      <c r="K33" s="38">
        <f>'Aug 12'!$F33*'Aug 12'!$I33</f>
        <v>1886414.2857142801</v>
      </c>
      <c r="L33" s="39">
        <f>'Aug 12'!$K33/$K$2</f>
        <v>3.5510174732321556E-2</v>
      </c>
      <c r="M33" s="62"/>
      <c r="O33" s="2">
        <f>Table1389584567[[#This Row],[Change]]*Table1389584567[[#This Row],[Last price]]</f>
        <v>-754565.71428571199</v>
      </c>
      <c r="P33" s="42">
        <f t="shared" si="1"/>
        <v>754565.71428571199</v>
      </c>
    </row>
    <row r="34" spans="1:17" ht="26.25" x14ac:dyDescent="0.25">
      <c r="A34" s="33" t="s">
        <v>178</v>
      </c>
      <c r="B34" s="60" t="s">
        <v>183</v>
      </c>
      <c r="C34" s="60" t="s">
        <v>119</v>
      </c>
      <c r="D34" s="34">
        <v>3.6666999999999998E-2</v>
      </c>
      <c r="E34" s="35">
        <f>'Aug 12'!$D34*$C$6*$C$2</f>
        <v>1938824.8448801762</v>
      </c>
      <c r="F34" s="35">
        <v>139218.73684210499</v>
      </c>
      <c r="G34" s="61">
        <f>'Aug 12'!$E34/'Aug 12'!$F34</f>
        <v>13.926464848471477</v>
      </c>
      <c r="H34" s="33">
        <v>19</v>
      </c>
      <c r="I34" s="33">
        <v>14</v>
      </c>
      <c r="J34" s="37">
        <f t="shared" si="2"/>
        <v>-5</v>
      </c>
      <c r="K34" s="38">
        <f>'Aug 12'!$F34*'Aug 12'!$I34</f>
        <v>1949062.31578947</v>
      </c>
      <c r="L34" s="39">
        <f>'Aug 12'!$K34/$K$2</f>
        <v>3.6689471619252935E-2</v>
      </c>
      <c r="M34" s="62"/>
      <c r="O34" s="2">
        <f>Table1389584567[[#This Row],[Change]]*Table1389584567[[#This Row],[Last price]]</f>
        <v>-696093.68421052489</v>
      </c>
      <c r="P34" s="42">
        <f t="shared" si="1"/>
        <v>696093.68421052489</v>
      </c>
    </row>
    <row r="35" spans="1:17" ht="26.25" x14ac:dyDescent="0.25">
      <c r="A35" s="33" t="s">
        <v>178</v>
      </c>
      <c r="B35" s="60" t="s">
        <v>184</v>
      </c>
      <c r="C35" s="60" t="s">
        <v>122</v>
      </c>
      <c r="D35" s="34">
        <v>0.125</v>
      </c>
      <c r="E35" s="35">
        <f>'Aug 12'!$D35*$C$6*$C$2</f>
        <v>6609570.0660000006</v>
      </c>
      <c r="F35" s="35">
        <v>416306.636363636</v>
      </c>
      <c r="G35" s="61">
        <f>'Aug 12'!$E35/'Aug 12'!$F35</f>
        <v>15.876686770437802</v>
      </c>
      <c r="H35" s="33">
        <v>22</v>
      </c>
      <c r="I35" s="33">
        <v>16</v>
      </c>
      <c r="J35" s="37">
        <f t="shared" si="2"/>
        <v>-6</v>
      </c>
      <c r="K35" s="38">
        <f>'Aug 12'!$F35*'Aug 12'!$I35</f>
        <v>6660906.1818181761</v>
      </c>
      <c r="L35" s="39">
        <f>'Aug 12'!$K35/$K$2</f>
        <v>0.12538600040467968</v>
      </c>
      <c r="M35" s="62"/>
      <c r="O35" s="2">
        <f>Table1389584567[[#This Row],[Change]]*Table1389584567[[#This Row],[Last price]]</f>
        <v>-2497839.818181816</v>
      </c>
      <c r="P35" s="42">
        <f t="shared" si="1"/>
        <v>2497839.818181816</v>
      </c>
    </row>
    <row r="36" spans="1:17" ht="26.25" x14ac:dyDescent="0.25">
      <c r="A36" s="33" t="s">
        <v>178</v>
      </c>
      <c r="B36" s="60" t="s">
        <v>185</v>
      </c>
      <c r="C36" s="60" t="s">
        <v>127</v>
      </c>
      <c r="D36" s="34">
        <v>3.6666999999999998E-2</v>
      </c>
      <c r="E36" s="35">
        <f>'Aug 12'!$D36*$C$6*$C$2</f>
        <v>1938824.8448801762</v>
      </c>
      <c r="F36" s="35">
        <v>220786.08333333299</v>
      </c>
      <c r="G36" s="61">
        <f>'Aug 12'!$E36/'Aug 12'!$F36</f>
        <v>8.7814631049594958</v>
      </c>
      <c r="H36" s="33">
        <v>12</v>
      </c>
      <c r="I36" s="33">
        <v>9</v>
      </c>
      <c r="J36" s="37">
        <f t="shared" si="2"/>
        <v>-3</v>
      </c>
      <c r="K36" s="38">
        <f>'Aug 12'!$F36*'Aug 12'!$I36</f>
        <v>1987074.749999997</v>
      </c>
      <c r="L36" s="39">
        <f>'Aug 12'!$K36/$K$2</f>
        <v>3.7405023972221674E-2</v>
      </c>
      <c r="M36" s="62"/>
      <c r="O36" s="2">
        <f>Table1389584567[[#This Row],[Change]]*Table1389584567[[#This Row],[Last price]]</f>
        <v>-662358.24999999895</v>
      </c>
      <c r="P36" s="42">
        <f t="shared" si="1"/>
        <v>662358.24999999895</v>
      </c>
    </row>
    <row r="37" spans="1:17" s="64" customFormat="1" ht="12.75" x14ac:dyDescent="0.2">
      <c r="A37" s="33"/>
      <c r="B37" s="60"/>
      <c r="C37" s="60"/>
      <c r="D37" s="34"/>
      <c r="E37" s="63"/>
      <c r="F37" s="35"/>
      <c r="G37" s="61"/>
      <c r="H37" s="33"/>
      <c r="I37" s="33"/>
      <c r="J37" s="45"/>
      <c r="K37" s="35"/>
      <c r="L37" s="46"/>
      <c r="M37" s="62"/>
      <c r="O37" s="2">
        <f>Table1389584567[[#This Row],[Change]]*Table1389584567[[#This Row],[Last price]]</f>
        <v>0</v>
      </c>
      <c r="P37" s="42">
        <f t="shared" si="1"/>
        <v>0</v>
      </c>
    </row>
    <row r="38" spans="1:17" s="15" customFormat="1" ht="12.75" x14ac:dyDescent="0.2">
      <c r="A38" s="47" t="s">
        <v>186</v>
      </c>
      <c r="B38" s="65"/>
      <c r="C38" s="65"/>
      <c r="D38" s="56">
        <f>SUBTOTAL(9,D30:D37)</f>
        <v>0.34500200000000003</v>
      </c>
      <c r="E38" s="66">
        <f>'Aug 12'!$D38*$C$6*$C$2</f>
        <v>18242519.13528106</v>
      </c>
      <c r="F38" s="57"/>
      <c r="G38" s="67"/>
      <c r="H38" s="55"/>
      <c r="I38" s="55"/>
      <c r="J38" s="59"/>
      <c r="K38" s="66">
        <f>SUM(K30:K36)</f>
        <v>18327354.254890554</v>
      </c>
      <c r="L38" s="68">
        <f>'Aug 12'!$K38/$K$2</f>
        <v>0.34499714983121849</v>
      </c>
      <c r="M38" s="69"/>
      <c r="O38" s="2">
        <f>Table1389584567[[#This Row],[Change]]*Table1389584567[[#This Row],[Last price]]</f>
        <v>0</v>
      </c>
      <c r="P38" s="42">
        <f t="shared" si="1"/>
        <v>0</v>
      </c>
    </row>
    <row r="39" spans="1:17" s="64" customFormat="1" ht="12.75" x14ac:dyDescent="0.2">
      <c r="A39" s="33"/>
      <c r="B39" s="60"/>
      <c r="C39" s="60"/>
      <c r="D39" s="34"/>
      <c r="E39" s="63"/>
      <c r="F39" s="35"/>
      <c r="G39" s="61"/>
      <c r="H39" s="33"/>
      <c r="I39" s="33"/>
      <c r="J39" s="45"/>
      <c r="K39" s="35"/>
      <c r="L39" s="39"/>
      <c r="M39" s="62"/>
      <c r="O39" s="2">
        <f>Table1389584567[[#This Row],[Change]]*Table1389584567[[#This Row],[Last price]]</f>
        <v>0</v>
      </c>
      <c r="P39" s="42">
        <f t="shared" si="1"/>
        <v>0</v>
      </c>
    </row>
    <row r="40" spans="1:17" s="41" customFormat="1" ht="25.5" customHeight="1" x14ac:dyDescent="0.2">
      <c r="A40" s="33" t="s">
        <v>187</v>
      </c>
      <c r="B40" s="33" t="s">
        <v>63</v>
      </c>
      <c r="C40" s="33" t="s">
        <v>64</v>
      </c>
      <c r="D40" s="34">
        <v>3.6666999999999998E-2</v>
      </c>
      <c r="E40" s="35">
        <f>'Aug 12'!$D40*$C$6*$C$2</f>
        <v>1938824.8448801762</v>
      </c>
      <c r="F40" s="35">
        <v>94637.428571428594</v>
      </c>
      <c r="G40" s="36">
        <f>'Aug 12'!$E40/'Aug 12'!$F40</f>
        <v>20.486871570235319</v>
      </c>
      <c r="H40" s="33">
        <v>28</v>
      </c>
      <c r="I40" s="33">
        <v>20</v>
      </c>
      <c r="J40" s="37">
        <f t="shared" ref="J40:J45" si="3">I40-H40</f>
        <v>-8</v>
      </c>
      <c r="K40" s="38">
        <f>'Aug 12'!$F40*'Aug 12'!$I40</f>
        <v>1892748.5714285718</v>
      </c>
      <c r="L40" s="39">
        <f>'Aug 12'!$K40/$K$2</f>
        <v>3.5629412374986978E-2</v>
      </c>
      <c r="M40" s="40"/>
      <c r="N40" s="2"/>
      <c r="O40" s="2">
        <f>Table1389584567[[#This Row],[Change]]*Table1389584567[[#This Row],[Last price]]</f>
        <v>-757099.42857142875</v>
      </c>
      <c r="P40" s="42">
        <f t="shared" si="1"/>
        <v>757099.42857142875</v>
      </c>
      <c r="Q40" s="42"/>
    </row>
    <row r="41" spans="1:17" s="41" customFormat="1" ht="25.5" customHeight="1" x14ac:dyDescent="0.2">
      <c r="A41" s="33" t="s">
        <v>187</v>
      </c>
      <c r="B41" s="33" t="s">
        <v>188</v>
      </c>
      <c r="C41" s="33" t="s">
        <v>73</v>
      </c>
      <c r="D41" s="34">
        <v>3.6666999999999998E-2</v>
      </c>
      <c r="E41" s="35">
        <f>'Aug 12'!$D41*$C$6*$C$2</f>
        <v>1938824.8448801762</v>
      </c>
      <c r="F41" s="35">
        <v>114918.17391304301</v>
      </c>
      <c r="G41" s="36">
        <f>'Aug 12'!$E41/'Aug 12'!$F41</f>
        <v>16.871350969666974</v>
      </c>
      <c r="H41" s="33">
        <v>23</v>
      </c>
      <c r="I41" s="33">
        <v>17</v>
      </c>
      <c r="J41" s="37">
        <f t="shared" si="3"/>
        <v>-6</v>
      </c>
      <c r="K41" s="38">
        <f>'Aug 12'!$F41*'Aug 12'!$I41</f>
        <v>1953608.9565217311</v>
      </c>
      <c r="L41" s="39">
        <f>'Aug 12'!$K41/$K$2</f>
        <v>3.677505833690576E-2</v>
      </c>
      <c r="M41" s="40"/>
      <c r="N41" s="2"/>
      <c r="O41" s="2">
        <f>Table1389584567[[#This Row],[Change]]*Table1389584567[[#This Row],[Last price]]</f>
        <v>-689509.04347825807</v>
      </c>
      <c r="P41" s="42">
        <f t="shared" si="1"/>
        <v>689509.04347825807</v>
      </c>
    </row>
    <row r="42" spans="1:17" s="41" customFormat="1" ht="25.5" customHeight="1" x14ac:dyDescent="0.2">
      <c r="A42" s="33" t="s">
        <v>187</v>
      </c>
      <c r="B42" s="33" t="s">
        <v>76</v>
      </c>
      <c r="C42" s="33" t="s">
        <v>77</v>
      </c>
      <c r="D42" s="34">
        <v>3.6666999999999998E-2</v>
      </c>
      <c r="E42" s="35">
        <f>'Aug 12'!$D42*$C$6*$C$2</f>
        <v>1938824.8448801762</v>
      </c>
      <c r="F42" s="35">
        <v>113007.08333333299</v>
      </c>
      <c r="G42" s="36">
        <f>'Aug 12'!$E42/'Aug 12'!$F42</f>
        <v>17.156666535329411</v>
      </c>
      <c r="H42" s="33">
        <v>24</v>
      </c>
      <c r="I42" s="33">
        <v>17</v>
      </c>
      <c r="J42" s="37">
        <f t="shared" si="3"/>
        <v>-7</v>
      </c>
      <c r="K42" s="38">
        <f>'Aug 12'!$F42*'Aug 12'!$I42</f>
        <v>1921120.4166666609</v>
      </c>
      <c r="L42" s="39">
        <f>'Aug 12'!$K42/$K$2</f>
        <v>3.6163488685536892E-2</v>
      </c>
      <c r="M42" s="40"/>
      <c r="N42" s="2"/>
      <c r="O42" s="2">
        <f>Table1389584567[[#This Row],[Change]]*Table1389584567[[#This Row],[Last price]]</f>
        <v>-791049.58333333093</v>
      </c>
      <c r="P42" s="42">
        <f t="shared" si="1"/>
        <v>791049.58333333093</v>
      </c>
    </row>
    <row r="43" spans="1:17" s="41" customFormat="1" ht="25.5" x14ac:dyDescent="0.2">
      <c r="A43" s="33" t="s">
        <v>187</v>
      </c>
      <c r="B43" s="33" t="s">
        <v>78</v>
      </c>
      <c r="C43" s="33" t="s">
        <v>79</v>
      </c>
      <c r="D43" s="34">
        <v>0.125</v>
      </c>
      <c r="E43" s="35">
        <f>'Aug 12'!$D43*$C$6*$C$2</f>
        <v>6609570.0660000006</v>
      </c>
      <c r="F43" s="35">
        <v>249400</v>
      </c>
      <c r="G43" s="36">
        <f>'Aug 12'!$E43/'Aug 12'!$F43</f>
        <v>26.501884787489978</v>
      </c>
      <c r="H43" s="33">
        <v>37</v>
      </c>
      <c r="I43" s="33">
        <v>27</v>
      </c>
      <c r="J43" s="37">
        <f t="shared" si="3"/>
        <v>-10</v>
      </c>
      <c r="K43" s="38">
        <f>'Aug 12'!$F43*'Aug 12'!$I43</f>
        <v>6733800</v>
      </c>
      <c r="L43" s="39">
        <f>'Aug 12'!$K43/$K$2</f>
        <v>0.12675816570269774</v>
      </c>
      <c r="M43" s="40"/>
      <c r="N43" s="2"/>
      <c r="O43" s="2">
        <f>Table1389584567[[#This Row],[Change]]*Table1389584567[[#This Row],[Last price]]</f>
        <v>-2494000</v>
      </c>
      <c r="P43" s="42">
        <f t="shared" si="1"/>
        <v>2494000</v>
      </c>
    </row>
    <row r="44" spans="1:17" s="41" customFormat="1" ht="25.5" x14ac:dyDescent="0.2">
      <c r="A44" s="33" t="s">
        <v>187</v>
      </c>
      <c r="B44" s="33" t="s">
        <v>193</v>
      </c>
      <c r="C44" s="33" t="s">
        <v>100</v>
      </c>
      <c r="D44" s="34">
        <v>0.125</v>
      </c>
      <c r="E44" s="35">
        <f>'Aug 12'!$D44*$C$6*$C$2</f>
        <v>6609570.0660000006</v>
      </c>
      <c r="F44" s="35">
        <v>416330</v>
      </c>
      <c r="G44" s="36">
        <f>'Aug 12'!$E44/'Aug 12'!$F44</f>
        <v>15.87579580140754</v>
      </c>
      <c r="H44" s="33">
        <v>22</v>
      </c>
      <c r="I44" s="33">
        <v>16</v>
      </c>
      <c r="J44" s="37">
        <f t="shared" si="3"/>
        <v>-6</v>
      </c>
      <c r="K44" s="38">
        <f>'Aug 12'!$F44*'Aug 12'!$I44</f>
        <v>6661280</v>
      </c>
      <c r="L44" s="39">
        <f>'Aug 12'!$K44/$K$2</f>
        <v>0.1253930372200045</v>
      </c>
      <c r="M44" s="40"/>
      <c r="N44" s="2"/>
      <c r="O44" s="2">
        <f>Table1389584567[[#This Row],[Change]]*Table1389584567[[#This Row],[Last price]]</f>
        <v>-2497980</v>
      </c>
      <c r="P44" s="42">
        <f t="shared" si="1"/>
        <v>2497980</v>
      </c>
    </row>
    <row r="45" spans="1:17" s="41" customFormat="1" ht="25.5" x14ac:dyDescent="0.2">
      <c r="A45" s="33" t="s">
        <v>187</v>
      </c>
      <c r="B45" s="33" t="s">
        <v>102</v>
      </c>
      <c r="C45" s="33" t="s">
        <v>103</v>
      </c>
      <c r="D45" s="34">
        <v>0.125</v>
      </c>
      <c r="E45" s="35">
        <f>'Aug 12'!$D45*$C$6*$C$2</f>
        <v>6609570.0660000006</v>
      </c>
      <c r="F45" s="35">
        <v>249779.02702702701</v>
      </c>
      <c r="G45" s="36">
        <f>'Aug 12'!$E45/'Aug 12'!$F45</f>
        <v>26.461669519133888</v>
      </c>
      <c r="H45" s="33">
        <v>37</v>
      </c>
      <c r="I45" s="33">
        <v>26</v>
      </c>
      <c r="J45" s="37">
        <f t="shared" si="3"/>
        <v>-11</v>
      </c>
      <c r="K45" s="38">
        <f>'Aug 12'!$F45*'Aug 12'!$I45</f>
        <v>6494254.702702702</v>
      </c>
      <c r="L45" s="39">
        <f>'Aug 12'!$K45/$K$2</f>
        <v>0.12224892537953505</v>
      </c>
      <c r="M45" s="40"/>
      <c r="N45" s="2"/>
      <c r="O45" s="2">
        <f>Table1389584567[[#This Row],[Change]]*Table1389584567[[#This Row],[Last price]]</f>
        <v>-2747569.297297297</v>
      </c>
      <c r="P45" s="42">
        <f t="shared" si="1"/>
        <v>2747569.297297297</v>
      </c>
    </row>
    <row r="46" spans="1:17" s="41" customFormat="1" ht="12.75" x14ac:dyDescent="0.2">
      <c r="A46" s="33"/>
      <c r="B46" s="33"/>
      <c r="C46" s="33"/>
      <c r="D46" s="34"/>
      <c r="E46" s="35"/>
      <c r="F46" s="35"/>
      <c r="G46" s="36"/>
      <c r="H46" s="33"/>
      <c r="I46" s="33"/>
      <c r="J46" s="37"/>
      <c r="K46" s="38"/>
      <c r="L46" s="39"/>
      <c r="M46" s="40"/>
      <c r="N46" s="2"/>
      <c r="O46" s="2">
        <f>Table1389584567[[#This Row],[Change]]*Table1389584567[[#This Row],[Last price]]</f>
        <v>0</v>
      </c>
      <c r="P46" s="42">
        <f t="shared" si="1"/>
        <v>0</v>
      </c>
    </row>
    <row r="47" spans="1:17" s="41" customFormat="1" ht="12.75" x14ac:dyDescent="0.2">
      <c r="A47" s="33"/>
      <c r="B47" s="33"/>
      <c r="C47" s="33"/>
      <c r="D47" s="34"/>
      <c r="E47" s="35"/>
      <c r="F47" s="35"/>
      <c r="G47" s="36"/>
      <c r="H47" s="33"/>
      <c r="I47" s="33"/>
      <c r="J47" s="37"/>
      <c r="K47" s="38"/>
      <c r="L47" s="39"/>
      <c r="M47" s="40"/>
      <c r="N47" s="2"/>
      <c r="O47" s="2">
        <f>Table1389584567[[#This Row],[Change]]*Table1389584567[[#This Row],[Last price]]</f>
        <v>0</v>
      </c>
      <c r="P47" s="42">
        <f t="shared" si="1"/>
        <v>0</v>
      </c>
    </row>
    <row r="48" spans="1:17" s="44" customFormat="1" ht="12.75" x14ac:dyDescent="0.2">
      <c r="A48" s="33"/>
      <c r="B48" s="33"/>
      <c r="C48" s="33"/>
      <c r="D48" s="34"/>
      <c r="E48" s="35"/>
      <c r="F48" s="35"/>
      <c r="G48" s="36"/>
      <c r="H48" s="33"/>
      <c r="I48" s="33"/>
      <c r="J48" s="45"/>
      <c r="K48" s="35"/>
      <c r="L48" s="39"/>
      <c r="M48" s="33"/>
      <c r="N48" s="64"/>
      <c r="O48" s="2">
        <f>Table1389584567[[#This Row],[Change]]*Table1389584567[[#This Row],[Last price]]</f>
        <v>0</v>
      </c>
      <c r="P48" s="42">
        <f t="shared" si="1"/>
        <v>0</v>
      </c>
    </row>
    <row r="49" spans="1:18" s="54" customFormat="1" ht="12.75" x14ac:dyDescent="0.2">
      <c r="A49" s="47" t="s">
        <v>194</v>
      </c>
      <c r="B49" s="47"/>
      <c r="C49" s="47"/>
      <c r="D49" s="56">
        <f>SUBTOTAL(9,D40:D48)</f>
        <v>0.48500100000000002</v>
      </c>
      <c r="E49" s="49">
        <f>'Aug 12'!$D49*$C$6*$C$2</f>
        <v>25645184.732640531</v>
      </c>
      <c r="F49" s="57"/>
      <c r="G49" s="70"/>
      <c r="H49" s="55"/>
      <c r="I49" s="55"/>
      <c r="J49" s="59"/>
      <c r="K49" s="49">
        <f>SUM(K40:K48)</f>
        <v>25656812.647319667</v>
      </c>
      <c r="L49" s="68">
        <f>'Aug 12'!$K49/$K$2</f>
        <v>0.48296808769966693</v>
      </c>
      <c r="M49" s="47"/>
      <c r="N49" s="15"/>
      <c r="O49" s="2">
        <f>Table1389584567[[#This Row],[Change]]*Table1389584567[[#This Row],[Last price]]</f>
        <v>0</v>
      </c>
      <c r="P49" s="42">
        <f t="shared" si="1"/>
        <v>0</v>
      </c>
    </row>
    <row r="50" spans="1:18" s="44" customFormat="1" ht="12.75" x14ac:dyDescent="0.2">
      <c r="A50" s="33"/>
      <c r="B50" s="33"/>
      <c r="C50" s="33"/>
      <c r="D50" s="34"/>
      <c r="E50" s="35"/>
      <c r="F50" s="35"/>
      <c r="G50" s="36"/>
      <c r="H50" s="33"/>
      <c r="I50" s="33"/>
      <c r="J50" s="45"/>
      <c r="K50" s="35"/>
      <c r="L50" s="39"/>
      <c r="M50" s="33"/>
      <c r="N50" s="64"/>
      <c r="O50" s="2">
        <f>Table1389584567[[#This Row],[Change]]*Table1389584567[[#This Row],[Last price]]</f>
        <v>0</v>
      </c>
      <c r="P50" s="42">
        <f t="shared" si="1"/>
        <v>0</v>
      </c>
    </row>
    <row r="51" spans="1:18" s="41" customFormat="1" ht="12.75" x14ac:dyDescent="0.2">
      <c r="A51" s="33"/>
      <c r="B51" s="33"/>
      <c r="C51" s="33"/>
      <c r="D51" s="34"/>
      <c r="E51" s="35"/>
      <c r="F51" s="35"/>
      <c r="G51" s="71"/>
      <c r="H51" s="33"/>
      <c r="I51" s="33"/>
      <c r="J51" s="37"/>
      <c r="K51" s="38"/>
      <c r="L51" s="39"/>
      <c r="M51" s="40"/>
      <c r="N51" s="2"/>
      <c r="O51" s="2">
        <f>Table1389584567[[#This Row],[Change]]*Table1389584567[[#This Row],[Last price]]</f>
        <v>0</v>
      </c>
      <c r="P51" s="42">
        <f t="shared" si="1"/>
        <v>0</v>
      </c>
    </row>
    <row r="52" spans="1:18" s="41" customFormat="1" ht="25.5" x14ac:dyDescent="0.2">
      <c r="A52" s="33" t="s">
        <v>195</v>
      </c>
      <c r="B52" s="33" t="s">
        <v>67</v>
      </c>
      <c r="C52" s="33" t="s">
        <v>68</v>
      </c>
      <c r="D52" s="34">
        <v>1.5E-3</v>
      </c>
      <c r="E52" s="35">
        <f>'Aug 12'!$D52*$C$6*$C$2</f>
        <v>79314.840792000003</v>
      </c>
      <c r="F52" s="35">
        <v>44170</v>
      </c>
      <c r="G52" s="71">
        <f>'Aug 12'!$E52/'Aug 12'!$F52</f>
        <v>1.7956721936155762</v>
      </c>
      <c r="H52" s="33">
        <v>2</v>
      </c>
      <c r="I52" s="33">
        <v>1</v>
      </c>
      <c r="J52" s="37">
        <f t="shared" ref="J52:J61" si="4">I52-H52</f>
        <v>-1</v>
      </c>
      <c r="K52" s="38">
        <f>'Aug 12'!$F52*'Aug 12'!$I52</f>
        <v>44170</v>
      </c>
      <c r="L52" s="39">
        <f>'Aug 12'!$K52/$K$2</f>
        <v>8.3146339052068063E-4</v>
      </c>
      <c r="M52" s="40"/>
      <c r="N52" s="2"/>
      <c r="O52" s="2">
        <f>Table1389584567[[#This Row],[Change]]*Table1389584567[[#This Row],[Last price]]</f>
        <v>-44170</v>
      </c>
      <c r="P52" s="42">
        <f t="shared" si="1"/>
        <v>44170</v>
      </c>
    </row>
    <row r="53" spans="1:18" s="41" customFormat="1" ht="25.5" x14ac:dyDescent="0.2">
      <c r="A53" s="33" t="s">
        <v>195</v>
      </c>
      <c r="B53" s="33" t="s">
        <v>70</v>
      </c>
      <c r="C53" s="33" t="s">
        <v>71</v>
      </c>
      <c r="D53" s="34">
        <v>1.5E-3</v>
      </c>
      <c r="E53" s="35">
        <f>'Aug 12'!$D53*$C$6*$C$2</f>
        <v>79314.840792000003</v>
      </c>
      <c r="F53" s="35">
        <v>159263</v>
      </c>
      <c r="G53" s="71">
        <f>'Aug 12'!$E53/'Aug 12'!$F53</f>
        <v>0.49801172144189171</v>
      </c>
      <c r="H53" s="33">
        <v>1</v>
      </c>
      <c r="I53" s="33">
        <v>1</v>
      </c>
      <c r="J53" s="37">
        <f t="shared" si="4"/>
        <v>0</v>
      </c>
      <c r="K53" s="38">
        <f>'Aug 12'!$F53*'Aug 12'!$I53</f>
        <v>159263</v>
      </c>
      <c r="L53" s="39">
        <f>'Aug 12'!$K53/$K$2</f>
        <v>2.9979930714171417E-3</v>
      </c>
      <c r="M53" s="40"/>
      <c r="N53" s="2"/>
      <c r="O53" s="2">
        <f>Table1389584567[[#This Row],[Change]]*Table1389584567[[#This Row],[Last price]]</f>
        <v>0</v>
      </c>
      <c r="P53" s="42">
        <f t="shared" si="1"/>
        <v>0</v>
      </c>
      <c r="R53" s="41" t="s">
        <v>198</v>
      </c>
    </row>
    <row r="54" spans="1:18" s="41" customFormat="1" ht="25.5" x14ac:dyDescent="0.2">
      <c r="A54" s="33" t="s">
        <v>195</v>
      </c>
      <c r="B54" s="33" t="s">
        <v>81</v>
      </c>
      <c r="C54" s="33" t="s">
        <v>82</v>
      </c>
      <c r="D54" s="34">
        <v>1.5E-3</v>
      </c>
      <c r="E54" s="35">
        <f>'Aug 12'!$D54*$C$6*$C$2</f>
        <v>79314.840792000003</v>
      </c>
      <c r="F54" s="35">
        <v>84706</v>
      </c>
      <c r="G54" s="71">
        <f>'Aug 12'!$E54/'Aug 12'!$F54</f>
        <v>0.93635445885769608</v>
      </c>
      <c r="H54" s="33">
        <v>1</v>
      </c>
      <c r="I54" s="33">
        <v>1</v>
      </c>
      <c r="J54" s="37">
        <f t="shared" si="4"/>
        <v>0</v>
      </c>
      <c r="K54" s="38">
        <f>'Aug 12'!$F54*'Aug 12'!$I54</f>
        <v>84706</v>
      </c>
      <c r="L54" s="39">
        <f>'Aug 12'!$K54/$K$2</f>
        <v>1.59451976358263E-3</v>
      </c>
      <c r="M54" s="40"/>
      <c r="N54" s="2"/>
      <c r="O54" s="2">
        <f>Table1389584567[[#This Row],[Change]]*Table1389584567[[#This Row],[Last price]]</f>
        <v>0</v>
      </c>
      <c r="P54" s="42">
        <f t="shared" si="1"/>
        <v>0</v>
      </c>
    </row>
    <row r="55" spans="1:18" s="41" customFormat="1" ht="25.5" x14ac:dyDescent="0.2">
      <c r="A55" s="33" t="s">
        <v>195</v>
      </c>
      <c r="B55" s="33" t="s">
        <v>200</v>
      </c>
      <c r="C55" s="33" t="s">
        <v>84</v>
      </c>
      <c r="D55" s="34">
        <v>1.5E-3</v>
      </c>
      <c r="E55" s="35">
        <f>'Aug 12'!$D55*$C$6*$C$2</f>
        <v>79314.840792000003</v>
      </c>
      <c r="F55" s="35">
        <v>216052</v>
      </c>
      <c r="G55" s="71">
        <f>'Aug 12'!$E55/'Aug 12'!$F55</f>
        <v>0.36710995867661489</v>
      </c>
      <c r="H55" s="33">
        <v>1</v>
      </c>
      <c r="I55" s="33">
        <v>1</v>
      </c>
      <c r="J55" s="37">
        <f t="shared" si="4"/>
        <v>0</v>
      </c>
      <c r="K55" s="38">
        <f>'Aug 12'!$F55*'Aug 12'!$I55</f>
        <v>216052</v>
      </c>
      <c r="L55" s="39">
        <f>'Aug 12'!$K55/$K$2</f>
        <v>4.0669986064925077E-3</v>
      </c>
      <c r="M55" s="40"/>
      <c r="N55" s="2"/>
      <c r="O55" s="2">
        <f>Table1389584567[[#This Row],[Change]]*Table1389584567[[#This Row],[Last price]]</f>
        <v>0</v>
      </c>
      <c r="P55" s="42">
        <f t="shared" si="1"/>
        <v>0</v>
      </c>
    </row>
    <row r="56" spans="1:18" s="41" customFormat="1" ht="25.5" x14ac:dyDescent="0.2">
      <c r="A56" s="33" t="s">
        <v>195</v>
      </c>
      <c r="B56" s="33" t="s">
        <v>86</v>
      </c>
      <c r="C56" s="33" t="s">
        <v>87</v>
      </c>
      <c r="D56" s="34">
        <v>1.5E-3</v>
      </c>
      <c r="E56" s="35">
        <f>'Aug 12'!$D56*$C$6*$C$2</f>
        <v>79314.840792000003</v>
      </c>
      <c r="F56" s="35">
        <v>48791</v>
      </c>
      <c r="G56" s="71">
        <f>'Aug 12'!$E56/'Aug 12'!$F56</f>
        <v>1.6256039185915436</v>
      </c>
      <c r="H56" s="33">
        <v>2</v>
      </c>
      <c r="I56" s="33">
        <v>1</v>
      </c>
      <c r="J56" s="37">
        <f t="shared" si="4"/>
        <v>-1</v>
      </c>
      <c r="K56" s="38">
        <f>'Aug 12'!$F56*'Aug 12'!$I56</f>
        <v>48791</v>
      </c>
      <c r="L56" s="39">
        <f>'Aug 12'!$K56/$K$2</f>
        <v>9.1844985933652989E-4</v>
      </c>
      <c r="M56" s="40"/>
      <c r="N56" s="2"/>
      <c r="O56" s="2">
        <f>Table1389584567[[#This Row],[Change]]*Table1389584567[[#This Row],[Last price]]</f>
        <v>-48791</v>
      </c>
      <c r="P56" s="42">
        <f t="shared" si="1"/>
        <v>48791</v>
      </c>
    </row>
    <row r="57" spans="1:18" s="41" customFormat="1" ht="25.5" x14ac:dyDescent="0.2">
      <c r="A57" s="33" t="s">
        <v>195</v>
      </c>
      <c r="B57" s="33" t="s">
        <v>89</v>
      </c>
      <c r="C57" s="33" t="s">
        <v>90</v>
      </c>
      <c r="D57" s="34">
        <v>1.5E-3</v>
      </c>
      <c r="E57" s="35">
        <f>'Aug 12'!$D57*$C$6*$C$2</f>
        <v>79314.840792000003</v>
      </c>
      <c r="F57" s="35">
        <v>47685.5</v>
      </c>
      <c r="G57" s="71">
        <f>'Aug 12'!$E57/'Aug 12'!$F57</f>
        <v>1.6632905346908391</v>
      </c>
      <c r="H57" s="33">
        <v>2</v>
      </c>
      <c r="I57" s="33">
        <v>1</v>
      </c>
      <c r="J57" s="37">
        <f t="shared" si="4"/>
        <v>-1</v>
      </c>
      <c r="K57" s="38">
        <f>'Aug 12'!$F57*'Aug 12'!$I57</f>
        <v>47685.5</v>
      </c>
      <c r="L57" s="39">
        <f>'Aug 12'!$K57/$K$2</f>
        <v>8.9763974436662703E-4</v>
      </c>
      <c r="M57" s="40"/>
      <c r="N57" s="2"/>
      <c r="O57" s="2">
        <f>Table1389584567[[#This Row],[Change]]*Table1389584567[[#This Row],[Last price]]</f>
        <v>-47685.5</v>
      </c>
      <c r="P57" s="42">
        <f t="shared" si="1"/>
        <v>47685.5</v>
      </c>
    </row>
    <row r="58" spans="1:18" s="41" customFormat="1" ht="25.5" x14ac:dyDescent="0.2">
      <c r="A58" s="33" t="s">
        <v>195</v>
      </c>
      <c r="B58" s="33" t="s">
        <v>202</v>
      </c>
      <c r="C58" s="33" t="s">
        <v>92</v>
      </c>
      <c r="D58" s="34">
        <v>1.5E-3</v>
      </c>
      <c r="E58" s="35">
        <f>'Aug 12'!$D58*$C$6*$C$2</f>
        <v>79314.840792000003</v>
      </c>
      <c r="F58" s="35">
        <v>12041.5555555556</v>
      </c>
      <c r="G58" s="71">
        <f>'Aug 12'!$E58/'Aug 12'!$F58</f>
        <v>6.5867603588314294</v>
      </c>
      <c r="H58" s="33">
        <v>9</v>
      </c>
      <c r="I58" s="33">
        <v>6</v>
      </c>
      <c r="J58" s="37">
        <f t="shared" si="4"/>
        <v>-3</v>
      </c>
      <c r="K58" s="38">
        <f>'Aug 12'!$F58*'Aug 12'!$I58</f>
        <v>72249.333333333605</v>
      </c>
      <c r="L58" s="39">
        <f>'Aug 12'!$K58/$K$2</f>
        <v>1.3600334085622002E-3</v>
      </c>
      <c r="M58" s="40"/>
      <c r="N58" s="2"/>
      <c r="O58" s="2">
        <f>Table1389584567[[#This Row],[Change]]*Table1389584567[[#This Row],[Last price]]</f>
        <v>-36124.666666666802</v>
      </c>
      <c r="P58" s="42">
        <f t="shared" si="1"/>
        <v>36124.666666666802</v>
      </c>
    </row>
    <row r="59" spans="1:18" s="41" customFormat="1" ht="25.5" x14ac:dyDescent="0.2">
      <c r="A59" s="33" t="s">
        <v>195</v>
      </c>
      <c r="B59" s="33" t="s">
        <v>96</v>
      </c>
      <c r="C59" s="33" t="s">
        <v>97</v>
      </c>
      <c r="D59" s="34">
        <v>1.5E-3</v>
      </c>
      <c r="E59" s="35">
        <f>'Aug 12'!$D59*$C$6*$C$2</f>
        <v>79314.840792000003</v>
      </c>
      <c r="F59" s="35">
        <v>88528</v>
      </c>
      <c r="G59" s="71">
        <f>'Aug 12'!$E59/'Aug 12'!$F59</f>
        <v>0.89592943240556666</v>
      </c>
      <c r="H59" s="33">
        <v>1</v>
      </c>
      <c r="I59" s="33">
        <v>1</v>
      </c>
      <c r="J59" s="37">
        <f t="shared" si="4"/>
        <v>0</v>
      </c>
      <c r="K59" s="38">
        <f>'Aug 12'!$F59*'Aug 12'!$I59</f>
        <v>88528</v>
      </c>
      <c r="L59" s="39">
        <f>'Aug 12'!$K59/$K$2</f>
        <v>1.6664657241570028E-3</v>
      </c>
      <c r="M59" s="40"/>
      <c r="N59" s="2"/>
      <c r="O59" s="2">
        <f>Table1389584567[[#This Row],[Change]]*Table1389584567[[#This Row],[Last price]]</f>
        <v>0</v>
      </c>
      <c r="P59" s="42">
        <f t="shared" si="1"/>
        <v>0</v>
      </c>
    </row>
    <row r="60" spans="1:18" ht="26.25" x14ac:dyDescent="0.25">
      <c r="A60" s="33" t="s">
        <v>195</v>
      </c>
      <c r="B60" s="60" t="s">
        <v>123</v>
      </c>
      <c r="C60" s="60" t="s">
        <v>124</v>
      </c>
      <c r="D60" s="34">
        <v>1.5E-3</v>
      </c>
      <c r="E60" s="35">
        <f>'Aug 12'!$D60*$C$6*$C$2</f>
        <v>79314.840792000003</v>
      </c>
      <c r="F60" s="35">
        <v>59633.5</v>
      </c>
      <c r="G60" s="71">
        <f>'Aug 12'!$E60/'Aug 12'!$F60</f>
        <v>1.3300383306698416</v>
      </c>
      <c r="H60" s="33">
        <v>2</v>
      </c>
      <c r="I60" s="33">
        <v>1</v>
      </c>
      <c r="J60" s="37">
        <f t="shared" si="4"/>
        <v>-1</v>
      </c>
      <c r="K60" s="38">
        <f>'Aug 12'!$F60*'Aug 12'!$I60</f>
        <v>59633.5</v>
      </c>
      <c r="L60" s="39">
        <f>'Aug 12'!$K60/$K$2</f>
        <v>1.1225508738649536E-3</v>
      </c>
      <c r="M60" s="62"/>
      <c r="O60" s="2">
        <f>Table1389584567[[#This Row],[Change]]*Table1389584567[[#This Row],[Last price]]</f>
        <v>-59633.5</v>
      </c>
      <c r="P60" s="42">
        <f t="shared" si="1"/>
        <v>59633.5</v>
      </c>
    </row>
    <row r="61" spans="1:18" s="41" customFormat="1" ht="25.5" x14ac:dyDescent="0.2">
      <c r="A61" s="33" t="s">
        <v>195</v>
      </c>
      <c r="B61" s="33" t="s">
        <v>205</v>
      </c>
      <c r="C61" s="33" t="s">
        <v>95</v>
      </c>
      <c r="D61" s="34">
        <v>1.5E-3</v>
      </c>
      <c r="E61" s="35">
        <f>'Aug 12'!$D61*$C$6*$C$2</f>
        <v>79314.840792000003</v>
      </c>
      <c r="F61" s="35">
        <v>127343</v>
      </c>
      <c r="G61" s="71">
        <f>'Aug 12'!$E61/'Aug 12'!$F61</f>
        <v>0.62284413585356091</v>
      </c>
      <c r="H61" s="33">
        <v>1</v>
      </c>
      <c r="I61" s="33">
        <v>1</v>
      </c>
      <c r="J61" s="37">
        <f t="shared" si="4"/>
        <v>0</v>
      </c>
      <c r="K61" s="38">
        <f>'Aug 12'!$F61*'Aug 12'!$I61</f>
        <v>127343</v>
      </c>
      <c r="L61" s="39">
        <f>'Aug 12'!$K61/$K$2</f>
        <v>2.3971257083784249E-3</v>
      </c>
      <c r="M61" s="40"/>
      <c r="N61" s="2"/>
      <c r="O61" s="2">
        <f>Table1389584567[[#This Row],[Change]]*Table1389584567[[#This Row],[Last price]]</f>
        <v>0</v>
      </c>
      <c r="P61" s="42">
        <f t="shared" si="1"/>
        <v>0</v>
      </c>
    </row>
    <row r="62" spans="1:18" s="41" customFormat="1" ht="12.75" x14ac:dyDescent="0.2">
      <c r="A62" s="33"/>
      <c r="B62" s="33"/>
      <c r="C62" s="33"/>
      <c r="D62" s="34"/>
      <c r="E62" s="35"/>
      <c r="F62" s="35"/>
      <c r="G62" s="36"/>
      <c r="H62" s="33"/>
      <c r="I62" s="33"/>
      <c r="J62" s="40"/>
      <c r="K62" s="38"/>
      <c r="L62" s="39"/>
      <c r="M62" s="40"/>
      <c r="N62" s="2"/>
      <c r="O62" s="2">
        <f>Table1389584567[[#This Row],[Change]]*Table1389584567[[#This Row],[Last price]]</f>
        <v>0</v>
      </c>
      <c r="P62" s="42">
        <f t="shared" si="1"/>
        <v>0</v>
      </c>
    </row>
    <row r="63" spans="1:18" s="41" customFormat="1" ht="12.75" x14ac:dyDescent="0.2">
      <c r="A63" s="33"/>
      <c r="B63" s="33"/>
      <c r="C63" s="33"/>
      <c r="D63" s="34"/>
      <c r="E63" s="35"/>
      <c r="F63" s="35"/>
      <c r="G63" s="36"/>
      <c r="H63" s="33"/>
      <c r="I63" s="33"/>
      <c r="J63" s="40"/>
      <c r="K63" s="38"/>
      <c r="L63" s="39"/>
      <c r="M63" s="40"/>
      <c r="N63" s="2"/>
      <c r="O63" s="2">
        <f>Table1389584567[[#This Row],[Change]]*Table1389584567[[#This Row],[Last price]]</f>
        <v>0</v>
      </c>
      <c r="P63" s="42">
        <f t="shared" si="1"/>
        <v>0</v>
      </c>
    </row>
    <row r="64" spans="1:18" s="41" customFormat="1" ht="12.75" x14ac:dyDescent="0.2">
      <c r="A64" s="33"/>
      <c r="B64" s="33"/>
      <c r="C64" s="33"/>
      <c r="D64" s="34"/>
      <c r="E64" s="35"/>
      <c r="F64" s="35"/>
      <c r="G64" s="36"/>
      <c r="H64" s="33"/>
      <c r="I64" s="33"/>
      <c r="J64" s="40"/>
      <c r="K64" s="38"/>
      <c r="L64" s="39"/>
      <c r="M64" s="40"/>
      <c r="N64" s="2"/>
      <c r="O64" s="2">
        <f>Table1389584567[[#This Row],[Change]]*Table1389584567[[#This Row],[Last price]]</f>
        <v>0</v>
      </c>
      <c r="P64" s="42">
        <f t="shared" si="1"/>
        <v>0</v>
      </c>
    </row>
    <row r="65" spans="1:16" s="41" customFormat="1" ht="12.75" x14ac:dyDescent="0.2">
      <c r="A65" s="33"/>
      <c r="B65" s="33"/>
      <c r="C65" s="33"/>
      <c r="D65" s="34"/>
      <c r="E65" s="35"/>
      <c r="F65" s="35"/>
      <c r="G65" s="36"/>
      <c r="H65" s="33"/>
      <c r="I65" s="33"/>
      <c r="J65" s="40"/>
      <c r="K65" s="38"/>
      <c r="L65" s="39"/>
      <c r="M65" s="40"/>
      <c r="N65" s="2"/>
      <c r="O65" s="2">
        <f>Table1389584567[[#This Row],[Change]]*Table1389584567[[#This Row],[Last price]]</f>
        <v>0</v>
      </c>
      <c r="P65" s="42">
        <f t="shared" si="1"/>
        <v>0</v>
      </c>
    </row>
    <row r="66" spans="1:16" s="41" customFormat="1" ht="12.75" x14ac:dyDescent="0.2">
      <c r="A66" s="33"/>
      <c r="B66" s="33"/>
      <c r="C66" s="33"/>
      <c r="D66" s="34"/>
      <c r="E66" s="35"/>
      <c r="F66" s="35"/>
      <c r="G66" s="36"/>
      <c r="H66" s="33"/>
      <c r="I66" s="33"/>
      <c r="J66" s="40"/>
      <c r="K66" s="38"/>
      <c r="L66" s="39"/>
      <c r="M66" s="40"/>
      <c r="N66" s="2"/>
    </row>
    <row r="67" spans="1:16" s="41" customFormat="1" ht="12.75" x14ac:dyDescent="0.2">
      <c r="A67" s="33"/>
      <c r="B67" s="33"/>
      <c r="C67" s="33"/>
      <c r="D67" s="34"/>
      <c r="E67" s="35"/>
      <c r="F67" s="35"/>
      <c r="G67" s="36"/>
      <c r="H67" s="33"/>
      <c r="I67" s="33"/>
      <c r="J67" s="40"/>
      <c r="K67" s="38"/>
      <c r="L67" s="39"/>
      <c r="M67" s="40"/>
      <c r="N67" s="2"/>
    </row>
    <row r="68" spans="1:16" s="41" customFormat="1" ht="12.75" x14ac:dyDescent="0.2">
      <c r="A68" s="33"/>
      <c r="B68" s="33"/>
      <c r="C68" s="33"/>
      <c r="D68" s="34"/>
      <c r="E68" s="35"/>
      <c r="F68" s="35"/>
      <c r="G68" s="36"/>
      <c r="H68" s="33"/>
      <c r="I68" s="33"/>
      <c r="J68" s="40"/>
      <c r="K68" s="38"/>
      <c r="L68" s="39"/>
      <c r="M68" s="40"/>
      <c r="N68" s="2"/>
    </row>
    <row r="69" spans="1:16" s="15" customFormat="1" ht="12.75" x14ac:dyDescent="0.2">
      <c r="A69" s="47" t="s">
        <v>206</v>
      </c>
      <c r="B69" s="65"/>
      <c r="C69" s="65"/>
      <c r="D69" s="72">
        <f>SUM(D52:D68)</f>
        <v>1.4999999999999998E-2</v>
      </c>
      <c r="E69" s="49">
        <f>SUM(E51:E68)</f>
        <v>793148.40792000014</v>
      </c>
      <c r="F69" s="70"/>
      <c r="G69" s="70"/>
      <c r="H69" s="65"/>
      <c r="I69" s="65"/>
      <c r="J69" s="47"/>
      <c r="K69" s="49">
        <f>SUM(K51:K68)</f>
        <v>948421.3333333336</v>
      </c>
      <c r="L69" s="53">
        <f>'Aug 12'!$K69/$K$2</f>
        <v>1.7853240150678698E-2</v>
      </c>
      <c r="M69" s="50"/>
      <c r="O69" s="41"/>
      <c r="P69" s="41"/>
    </row>
    <row r="70" spans="1:16" x14ac:dyDescent="0.25">
      <c r="A70" s="33"/>
      <c r="B70" s="60"/>
      <c r="C70" s="60"/>
      <c r="D70" s="73"/>
      <c r="E70" s="35"/>
      <c r="F70" s="35"/>
      <c r="G70" s="36"/>
      <c r="H70" s="60"/>
      <c r="I70" s="60"/>
      <c r="J70" s="33"/>
      <c r="K70" s="33"/>
      <c r="L70" s="39"/>
      <c r="M70" s="62"/>
      <c r="O70" s="41"/>
      <c r="P70" s="41"/>
    </row>
    <row r="71" spans="1:16" x14ac:dyDescent="0.25">
      <c r="A71" s="33"/>
      <c r="B71" s="60"/>
      <c r="C71" s="60"/>
      <c r="D71" s="74"/>
      <c r="E71" s="63"/>
      <c r="F71" s="35"/>
      <c r="G71" s="61"/>
      <c r="H71" s="60"/>
      <c r="I71" s="60"/>
      <c r="J71" s="33"/>
      <c r="K71" s="33"/>
      <c r="L71" s="39"/>
      <c r="M71" s="62"/>
      <c r="O71" s="41"/>
      <c r="P71" s="41"/>
    </row>
    <row r="72" spans="1:16" s="15" customFormat="1" ht="12.75" x14ac:dyDescent="0.2">
      <c r="A72" s="47" t="s">
        <v>207</v>
      </c>
      <c r="B72" s="65"/>
      <c r="C72" s="65"/>
      <c r="D72" s="65"/>
      <c r="E72" s="75"/>
      <c r="F72" s="65"/>
      <c r="G72" s="65"/>
      <c r="H72" s="65"/>
      <c r="I72" s="65"/>
      <c r="J72" s="65"/>
      <c r="K72" s="75">
        <f>SUM(K26,K28,K38,K49,K69)</f>
        <v>53123204.826059483</v>
      </c>
      <c r="L72" s="53">
        <f>'Aug 12'!$K72/$K$2</f>
        <v>1</v>
      </c>
      <c r="M72" s="65"/>
      <c r="O72" s="41"/>
      <c r="P72" s="41"/>
    </row>
    <row r="73" spans="1:16" x14ac:dyDescent="0.25">
      <c r="A73" s="62"/>
      <c r="B73" s="62"/>
      <c r="C73" s="62"/>
      <c r="D73" s="76"/>
      <c r="E73" s="77"/>
      <c r="F73" s="35"/>
      <c r="G73" s="78"/>
      <c r="H73" s="62"/>
      <c r="I73" s="62"/>
      <c r="J73" s="62"/>
      <c r="K73" s="62"/>
      <c r="L73" s="39"/>
      <c r="M73" s="62"/>
      <c r="O73" s="15"/>
      <c r="P73" s="15"/>
    </row>
    <row r="74" spans="1:16" x14ac:dyDescent="0.25">
      <c r="A74" s="62"/>
      <c r="B74" s="62"/>
      <c r="C74" s="62"/>
      <c r="D74" s="76"/>
      <c r="E74" s="77"/>
      <c r="F74" s="35"/>
      <c r="G74" s="78"/>
      <c r="H74" s="62"/>
      <c r="I74" s="62"/>
      <c r="J74" s="62"/>
      <c r="K74" s="62"/>
      <c r="L74" s="39"/>
      <c r="M74" s="62"/>
    </row>
    <row r="75" spans="1:16" x14ac:dyDescent="0.25">
      <c r="A75" s="62"/>
      <c r="B75" s="62"/>
      <c r="C75" s="62"/>
      <c r="D75" s="76"/>
      <c r="E75" s="77"/>
      <c r="F75" s="35"/>
      <c r="G75" s="78"/>
      <c r="H75" s="62"/>
      <c r="I75" s="62"/>
      <c r="J75" s="62"/>
      <c r="K75" s="62"/>
      <c r="L75" s="39"/>
      <c r="M75" s="62"/>
    </row>
    <row r="76" spans="1:16" x14ac:dyDescent="0.25">
      <c r="A76" s="62"/>
      <c r="B76" s="62"/>
      <c r="C76" s="62"/>
      <c r="D76" s="76"/>
      <c r="E76" s="77"/>
      <c r="F76" s="35"/>
      <c r="G76" s="78"/>
      <c r="H76" s="62"/>
      <c r="I76" s="62"/>
      <c r="J76" s="62"/>
      <c r="K76" s="62"/>
      <c r="L76" s="39"/>
      <c r="M76" s="62"/>
      <c r="O76" s="15"/>
      <c r="P76" s="15"/>
    </row>
    <row r="77" spans="1:16" x14ac:dyDescent="0.25">
      <c r="A77" s="62"/>
      <c r="B77" s="62"/>
      <c r="C77" s="62"/>
      <c r="D77" s="76"/>
      <c r="E77" s="77"/>
      <c r="F77" s="35"/>
      <c r="G77" s="78"/>
      <c r="H77" s="62"/>
      <c r="I77" s="62"/>
      <c r="J77" s="62"/>
      <c r="K77" s="62"/>
      <c r="L77" s="39"/>
      <c r="M77" s="62"/>
    </row>
    <row r="78" spans="1:16" x14ac:dyDescent="0.25">
      <c r="A78" s="62"/>
      <c r="B78" s="62"/>
      <c r="C78" s="62"/>
      <c r="D78" s="76"/>
      <c r="E78" s="77"/>
      <c r="F78" s="35"/>
      <c r="G78" s="78"/>
      <c r="H78" s="62"/>
      <c r="I78" s="62"/>
      <c r="J78" s="62"/>
      <c r="K78" s="62"/>
      <c r="L78" s="39"/>
      <c r="M78" s="62"/>
    </row>
    <row r="79" spans="1:16" x14ac:dyDescent="0.25">
      <c r="A79" s="62"/>
      <c r="B79" s="62"/>
      <c r="C79" s="62"/>
      <c r="D79" s="76"/>
      <c r="E79" s="77"/>
      <c r="F79" s="35"/>
      <c r="G79" s="78"/>
      <c r="H79" s="62"/>
      <c r="I79" s="62"/>
      <c r="J79" s="62"/>
      <c r="K79" s="62"/>
      <c r="L79" s="39"/>
      <c r="M79" s="62"/>
    </row>
    <row r="80" spans="1:16" x14ac:dyDescent="0.25">
      <c r="A80" s="62"/>
      <c r="B80" s="62"/>
      <c r="C80" s="62"/>
      <c r="D80" s="76"/>
      <c r="E80" s="77"/>
      <c r="F80" s="35"/>
      <c r="G80" s="78"/>
      <c r="H80" s="62"/>
      <c r="I80" s="62"/>
      <c r="J80" s="62"/>
      <c r="K80" s="62"/>
      <c r="L80" s="39"/>
      <c r="M80" s="62"/>
    </row>
    <row r="81" spans="1:13" x14ac:dyDescent="0.25">
      <c r="A81" s="62"/>
      <c r="B81" s="62"/>
      <c r="C81" s="62"/>
      <c r="D81" s="76"/>
      <c r="E81" s="77"/>
      <c r="F81" s="35"/>
      <c r="G81" s="78"/>
      <c r="H81" s="62"/>
      <c r="I81" s="62"/>
      <c r="J81" s="62"/>
      <c r="K81" s="62"/>
      <c r="L81" s="39"/>
      <c r="M81" s="62"/>
    </row>
    <row r="82" spans="1:13" s="2" customFormat="1" ht="12.75" x14ac:dyDescent="0.2"/>
    <row r="83" spans="1:13" s="2" customFormat="1" ht="12.75" x14ac:dyDescent="0.2"/>
    <row r="85" spans="1:13" s="2" customFormat="1" ht="12.75" x14ac:dyDescent="0.2">
      <c r="A85" s="79"/>
      <c r="B85" s="79"/>
      <c r="E85" s="79"/>
      <c r="F85" s="79"/>
      <c r="G85" s="79"/>
      <c r="H85" s="80"/>
      <c r="M85" s="79"/>
    </row>
    <row r="86" spans="1:13" s="2" customFormat="1" ht="12.75" x14ac:dyDescent="0.2">
      <c r="A86" s="79"/>
      <c r="B86" s="79"/>
      <c r="E86" s="79"/>
      <c r="F86" s="79"/>
      <c r="G86" s="79"/>
      <c r="H86" s="80"/>
      <c r="M86" s="79"/>
    </row>
    <row r="87" spans="1:13" s="2" customFormat="1" ht="12.75" x14ac:dyDescent="0.2">
      <c r="A87" s="81"/>
      <c r="B87" s="81"/>
    </row>
    <row r="88" spans="1:13" s="2" customFormat="1" ht="12.75" x14ac:dyDescent="0.2">
      <c r="A88" s="82"/>
      <c r="B88" s="82"/>
      <c r="E88" s="82"/>
      <c r="F88" s="81"/>
      <c r="G88" s="81"/>
      <c r="M88" s="83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5"/>
  <sheetViews>
    <sheetView zoomScaleNormal="100" workbookViewId="0">
      <pane xSplit="2" topLeftCell="E1" activePane="topRight" state="frozen"/>
      <selection pane="topRight" activeCell="R11" sqref="R11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4" width="10.5703125" style="2" customWidth="1"/>
    <col min="15" max="15" width="13" style="2" customWidth="1"/>
    <col min="16" max="16" width="13.7109375" style="2" bestFit="1" customWidth="1"/>
    <col min="17" max="18" width="10.85546875" style="2" customWidth="1"/>
    <col min="19" max="19" width="11.28515625" style="2" customWidth="1"/>
    <col min="20" max="1024" width="9.140625" style="2"/>
  </cols>
  <sheetData>
    <row r="1" spans="1:19" s="2" customFormat="1" ht="25.5" x14ac:dyDescent="0.2">
      <c r="A1" s="3"/>
      <c r="B1" s="3" t="s">
        <v>137</v>
      </c>
      <c r="C1" s="4">
        <v>44057</v>
      </c>
      <c r="D1" s="5"/>
      <c r="E1" s="6" t="s">
        <v>138</v>
      </c>
      <c r="F1" s="7"/>
      <c r="G1" s="8"/>
      <c r="K1" s="9" t="s">
        <v>139</v>
      </c>
      <c r="L1" s="9" t="s">
        <v>140</v>
      </c>
      <c r="M1" s="10" t="s">
        <v>141</v>
      </c>
    </row>
    <row r="2" spans="1:19" x14ac:dyDescent="0.25">
      <c r="A2" s="3"/>
      <c r="B2" s="3" t="s">
        <v>142</v>
      </c>
      <c r="C2" s="11">
        <v>7.8</v>
      </c>
      <c r="D2" s="12"/>
      <c r="E2" s="13">
        <f>SUM(E23,E35,E46,E66,E25)</f>
        <v>59710959.449854128</v>
      </c>
      <c r="F2" s="14"/>
      <c r="G2" s="15"/>
      <c r="H2" s="12"/>
      <c r="I2" s="12"/>
      <c r="J2" s="12"/>
      <c r="K2" s="13">
        <f>SUM(K23,K35,K46,K66,K25)</f>
        <v>59843869.985089079</v>
      </c>
      <c r="L2" s="16">
        <f>SUM(L46,L66,L35,L23,L25)</f>
        <v>1</v>
      </c>
      <c r="M2" s="17">
        <f>K2/$C$6</f>
        <v>7.8174245472172235</v>
      </c>
      <c r="P2" s="18"/>
    </row>
    <row r="3" spans="1:19" ht="26.25" x14ac:dyDescent="0.25">
      <c r="A3" s="3"/>
      <c r="B3" s="3" t="s">
        <v>143</v>
      </c>
      <c r="C3" s="19">
        <v>7655189.9699999997</v>
      </c>
      <c r="D3" s="20"/>
      <c r="E3" s="6" t="s">
        <v>144</v>
      </c>
      <c r="F3" s="14"/>
      <c r="G3" s="15"/>
      <c r="H3" s="12"/>
      <c r="I3" s="12"/>
      <c r="J3" s="12"/>
      <c r="K3" s="9" t="s">
        <v>139</v>
      </c>
      <c r="L3" s="12"/>
      <c r="M3" s="10" t="s">
        <v>145</v>
      </c>
      <c r="P3" s="21"/>
    </row>
    <row r="4" spans="1:19" x14ac:dyDescent="0.25">
      <c r="A4" s="3"/>
      <c r="B4" s="3" t="s">
        <v>146</v>
      </c>
      <c r="C4" s="19">
        <v>0</v>
      </c>
      <c r="D4" s="20"/>
      <c r="E4" s="13">
        <f>SUM(E23,E66,E25)</f>
        <v>10151080.452628829</v>
      </c>
      <c r="F4" s="14"/>
      <c r="G4" s="15"/>
      <c r="H4" s="12"/>
      <c r="I4" s="12"/>
      <c r="J4" s="12"/>
      <c r="K4" s="13">
        <f>SUM(K23,K25,K66)</f>
        <v>10266420.70978611</v>
      </c>
      <c r="L4" s="12"/>
      <c r="M4" s="17">
        <f>K4/$C$6</f>
        <v>1.3411059359753694</v>
      </c>
      <c r="P4" s="21"/>
    </row>
    <row r="5" spans="1:19" x14ac:dyDescent="0.25">
      <c r="A5" s="3"/>
      <c r="B5" s="3" t="s">
        <v>147</v>
      </c>
      <c r="C5" s="19">
        <v>0</v>
      </c>
      <c r="D5" s="20"/>
      <c r="E5" s="14"/>
      <c r="F5" s="14"/>
      <c r="G5" s="15"/>
      <c r="H5" s="12"/>
      <c r="I5" s="12"/>
      <c r="J5" s="12"/>
      <c r="K5" s="12"/>
      <c r="L5" s="12"/>
      <c r="M5" s="12"/>
      <c r="P5" s="21"/>
    </row>
    <row r="6" spans="1:19" x14ac:dyDescent="0.25">
      <c r="A6" s="3"/>
      <c r="B6" s="3" t="s">
        <v>148</v>
      </c>
      <c r="C6" s="19">
        <f>C3+C4-C5</f>
        <v>7655189.9699999997</v>
      </c>
      <c r="D6" s="20"/>
      <c r="E6" s="14"/>
      <c r="F6" s="14"/>
      <c r="G6" s="15"/>
      <c r="H6" s="12"/>
      <c r="I6" s="12"/>
      <c r="J6" s="12"/>
      <c r="K6" s="12"/>
      <c r="L6" s="12"/>
      <c r="M6" s="12"/>
      <c r="P6" s="21"/>
    </row>
    <row r="7" spans="1:19" x14ac:dyDescent="0.25">
      <c r="A7" s="22"/>
      <c r="B7" s="23"/>
      <c r="C7" s="23"/>
      <c r="D7" s="24"/>
      <c r="E7" s="25"/>
      <c r="F7" s="25"/>
      <c r="G7" s="25"/>
      <c r="H7" s="26"/>
      <c r="I7" s="26"/>
      <c r="J7" s="26"/>
      <c r="K7" s="12"/>
      <c r="L7" s="12"/>
      <c r="M7" s="12"/>
      <c r="P7" s="219">
        <f>SUM(P9:P65)/2</f>
        <v>3247705.4925445369</v>
      </c>
    </row>
    <row r="8" spans="1:19" s="30" customFormat="1" ht="38.25" x14ac:dyDescent="0.2">
      <c r="A8" s="27" t="s">
        <v>149</v>
      </c>
      <c r="B8" s="27" t="s">
        <v>150</v>
      </c>
      <c r="C8" s="28" t="s">
        <v>1</v>
      </c>
      <c r="D8" s="28" t="s">
        <v>151</v>
      </c>
      <c r="E8" s="28" t="s">
        <v>152</v>
      </c>
      <c r="F8" s="28" t="s">
        <v>153</v>
      </c>
      <c r="G8" s="28" t="s">
        <v>154</v>
      </c>
      <c r="H8" s="28" t="s">
        <v>155</v>
      </c>
      <c r="I8" s="28" t="s">
        <v>156</v>
      </c>
      <c r="J8" s="28" t="s">
        <v>157</v>
      </c>
      <c r="K8" s="29" t="s">
        <v>158</v>
      </c>
      <c r="L8" s="29" t="s">
        <v>159</v>
      </c>
      <c r="M8" s="29" t="s">
        <v>160</v>
      </c>
      <c r="P8" s="31"/>
      <c r="S8" s="32"/>
    </row>
    <row r="9" spans="1:19" s="41" customFormat="1" ht="12.75" x14ac:dyDescent="0.2">
      <c r="A9" s="33" t="s">
        <v>161</v>
      </c>
      <c r="B9" s="33" t="s">
        <v>41</v>
      </c>
      <c r="C9" s="33" t="s">
        <v>42</v>
      </c>
      <c r="D9" s="34">
        <v>5.2090000000000001E-3</v>
      </c>
      <c r="E9" s="35">
        <f>'Aug 14'!$D9*$C$6*$C$2</f>
        <v>311031.89951909397</v>
      </c>
      <c r="F9" s="35">
        <v>459.150554675119</v>
      </c>
      <c r="G9" s="36">
        <f>'Aug 14'!$E9/'Aug 14'!$F9</f>
        <v>677.40721720171007</v>
      </c>
      <c r="H9" s="33">
        <v>631</v>
      </c>
      <c r="I9" s="33">
        <v>677</v>
      </c>
      <c r="J9" s="37">
        <f t="shared" ref="J9:J21" si="0">I9-H9</f>
        <v>46</v>
      </c>
      <c r="K9" s="38">
        <f>'Aug 14'!$F9*'Aug 14'!$I9</f>
        <v>310844.92551505554</v>
      </c>
      <c r="L9" s="39">
        <f>'Aug 14'!$K9/$K$2</f>
        <v>5.1942651033849716E-3</v>
      </c>
      <c r="M9" s="40"/>
      <c r="O9" s="2">
        <f>Table13895845679[[#This Row],[Change]]*Table13895845679[[#This Row],[Last price]]</f>
        <v>21120.925515055475</v>
      </c>
      <c r="P9" s="42">
        <f>ABS(O9)</f>
        <v>21120.925515055475</v>
      </c>
    </row>
    <row r="10" spans="1:19" s="41" customFormat="1" ht="25.5" customHeight="1" x14ac:dyDescent="0.2">
      <c r="A10" s="33" t="s">
        <v>161</v>
      </c>
      <c r="B10" s="33" t="s">
        <v>47</v>
      </c>
      <c r="C10" s="33" t="s">
        <v>48</v>
      </c>
      <c r="D10" s="34">
        <v>1.0416999999999999E-2</v>
      </c>
      <c r="E10" s="35">
        <f>'Aug 14'!$D10*$C$6*$C$2</f>
        <v>622004.08855642192</v>
      </c>
      <c r="F10" s="35">
        <v>610.60087719298303</v>
      </c>
      <c r="G10" s="36">
        <f>'Aug 14'!$E10/'Aug 14'!$F10</f>
        <v>1018.6753930257372</v>
      </c>
      <c r="H10" s="33">
        <v>912</v>
      </c>
      <c r="I10" s="33">
        <v>1019</v>
      </c>
      <c r="J10" s="37">
        <f t="shared" si="0"/>
        <v>107</v>
      </c>
      <c r="K10" s="38">
        <f>'Aug 14'!$F10*'Aug 14'!$I10</f>
        <v>622202.29385964968</v>
      </c>
      <c r="L10" s="39">
        <f>'Aug 14'!$K10/$K$2</f>
        <v>1.0397093202940919E-2</v>
      </c>
      <c r="M10" s="40"/>
      <c r="O10" s="2">
        <f>Table13895845679[[#This Row],[Change]]*Table13895845679[[#This Row],[Last price]]</f>
        <v>65334.293859649188</v>
      </c>
      <c r="P10" s="42">
        <f t="shared" ref="P10:P65" si="1">ABS(O10)</f>
        <v>65334.293859649188</v>
      </c>
    </row>
    <row r="11" spans="1:19" s="41" customFormat="1" ht="12.75" customHeight="1" x14ac:dyDescent="0.2">
      <c r="A11" s="33" t="s">
        <v>161</v>
      </c>
      <c r="B11" s="33" t="s">
        <v>50</v>
      </c>
      <c r="C11" s="33" t="s">
        <v>51</v>
      </c>
      <c r="D11" s="34">
        <v>1.0416999999999999E-2</v>
      </c>
      <c r="E11" s="35">
        <f>'Aug 14'!$D11*$C$6*$C$2</f>
        <v>622004.08855642192</v>
      </c>
      <c r="F11" s="35">
        <v>1635</v>
      </c>
      <c r="G11" s="36">
        <f>'Aug 14'!$E11/'Aug 14'!$F11</f>
        <v>380.43063520270454</v>
      </c>
      <c r="H11" s="33">
        <v>380</v>
      </c>
      <c r="I11" s="33">
        <v>380</v>
      </c>
      <c r="J11" s="37">
        <f t="shared" si="0"/>
        <v>0</v>
      </c>
      <c r="K11" s="38">
        <f>'Aug 14'!$F11*'Aug 14'!$I11</f>
        <v>621300</v>
      </c>
      <c r="L11" s="39">
        <f>'Aug 14'!$K11/$K$2</f>
        <v>1.0382015737865975E-2</v>
      </c>
      <c r="M11" s="40"/>
      <c r="O11" s="2">
        <f>Table13895845679[[#This Row],[Change]]*Table13895845679[[#This Row],[Last price]]</f>
        <v>0</v>
      </c>
      <c r="P11" s="42">
        <f t="shared" si="1"/>
        <v>0</v>
      </c>
    </row>
    <row r="12" spans="1:19" s="41" customFormat="1" ht="12.75" customHeight="1" x14ac:dyDescent="0.2">
      <c r="A12" s="33" t="s">
        <v>161</v>
      </c>
      <c r="B12" s="33" t="s">
        <v>61</v>
      </c>
      <c r="C12" s="33" t="s">
        <v>62</v>
      </c>
      <c r="D12" s="34">
        <v>1.0416999999999999E-2</v>
      </c>
      <c r="E12" s="35">
        <f>'Aug 14'!$D12*$C$6*$C$2</f>
        <v>622004.08855642192</v>
      </c>
      <c r="F12" s="35">
        <v>459.6</v>
      </c>
      <c r="G12" s="36">
        <f>'Aug 14'!$E12/'Aug 14'!$F12</f>
        <v>1353.3596356754176</v>
      </c>
      <c r="H12" s="33">
        <v>1245</v>
      </c>
      <c r="I12" s="33">
        <v>1353</v>
      </c>
      <c r="J12" s="37">
        <f t="shared" si="0"/>
        <v>108</v>
      </c>
      <c r="K12" s="38">
        <f>'Aug 14'!$F12*'Aug 14'!$I12</f>
        <v>621838.80000000005</v>
      </c>
      <c r="L12" s="39">
        <f>'Aug 14'!$K12/$K$2</f>
        <v>1.0391019166289543E-2</v>
      </c>
      <c r="M12" s="40"/>
      <c r="O12" s="2">
        <f>Table13895845679[[#This Row],[Change]]*Table13895845679[[#This Row],[Last price]]</f>
        <v>49636.800000000003</v>
      </c>
      <c r="P12" s="42">
        <f t="shared" si="1"/>
        <v>49636.800000000003</v>
      </c>
    </row>
    <row r="13" spans="1:19" s="41" customFormat="1" ht="12.75" customHeight="1" x14ac:dyDescent="0.2">
      <c r="A13" s="33" t="s">
        <v>161</v>
      </c>
      <c r="B13" s="33" t="s">
        <v>164</v>
      </c>
      <c r="C13" s="33" t="s">
        <v>165</v>
      </c>
      <c r="D13" s="34">
        <v>1.0416999999999999E-2</v>
      </c>
      <c r="E13" s="35">
        <f>'Aug 14'!$D13*$C$6*$C$2</f>
        <v>622004.08855642192</v>
      </c>
      <c r="F13" s="35">
        <v>435.24421209858099</v>
      </c>
      <c r="G13" s="36">
        <f>'Aug 14'!$E13/'Aug 14'!$F13</f>
        <v>1429.0921539366516</v>
      </c>
      <c r="H13" s="33">
        <v>1339</v>
      </c>
      <c r="I13" s="33">
        <v>1429</v>
      </c>
      <c r="J13" s="37">
        <f t="shared" si="0"/>
        <v>90</v>
      </c>
      <c r="K13" s="38">
        <f>'Aug 14'!$F13*'Aug 14'!$I13</f>
        <v>621963.97908887221</v>
      </c>
      <c r="L13" s="39">
        <f>'Aug 14'!$K13/$K$2</f>
        <v>1.0393110927549356E-2</v>
      </c>
      <c r="M13" s="40"/>
      <c r="O13" s="2">
        <f>Table13895845679[[#This Row],[Change]]*Table13895845679[[#This Row],[Last price]]</f>
        <v>39171.979088872286</v>
      </c>
      <c r="P13" s="42">
        <f t="shared" si="1"/>
        <v>39171.979088872286</v>
      </c>
    </row>
    <row r="14" spans="1:19" s="41" customFormat="1" ht="12.75" customHeight="1" x14ac:dyDescent="0.2">
      <c r="A14" s="33" t="s">
        <v>161</v>
      </c>
      <c r="B14" s="33" t="s">
        <v>53</v>
      </c>
      <c r="C14" s="33" t="s">
        <v>54</v>
      </c>
      <c r="D14" s="34">
        <v>1.0416999999999999E-2</v>
      </c>
      <c r="E14" s="35">
        <f>'Aug 14'!$D14*$C$6*$C$2</f>
        <v>622004.08855642192</v>
      </c>
      <c r="F14" s="35">
        <v>275.152924256951</v>
      </c>
      <c r="G14" s="36">
        <f>'Aug 14'!$E14/'Aug 14'!$F14</f>
        <v>2260.5759696581117</v>
      </c>
      <c r="H14" s="33">
        <v>2086</v>
      </c>
      <c r="I14" s="33">
        <v>2261</v>
      </c>
      <c r="J14" s="37">
        <f t="shared" si="0"/>
        <v>175</v>
      </c>
      <c r="K14" s="38">
        <f>'Aug 14'!$F14*'Aug 14'!$I14</f>
        <v>622120.76174496615</v>
      </c>
      <c r="L14" s="39">
        <f>'Aug 14'!$K14/$K$2</f>
        <v>1.0395730789134729E-2</v>
      </c>
      <c r="M14" s="40"/>
      <c r="O14" s="2">
        <f>Table13895845679[[#This Row],[Change]]*Table13895845679[[#This Row],[Last price]]</f>
        <v>48151.761744966425</v>
      </c>
      <c r="P14" s="42">
        <f t="shared" si="1"/>
        <v>48151.761744966425</v>
      </c>
    </row>
    <row r="15" spans="1:19" s="41" customFormat="1" ht="12.75" customHeight="1" x14ac:dyDescent="0.2">
      <c r="A15" s="33" t="s">
        <v>161</v>
      </c>
      <c r="B15" s="33" t="s">
        <v>35</v>
      </c>
      <c r="C15" s="33" t="s">
        <v>36</v>
      </c>
      <c r="D15" s="34">
        <v>1.0416999999999999E-2</v>
      </c>
      <c r="E15" s="35">
        <f>'Aug 14'!$D15*$C$6*$C$2</f>
        <v>622004.08855642192</v>
      </c>
      <c r="F15" s="35">
        <v>62.700033818058799</v>
      </c>
      <c r="G15" s="36">
        <f>'Aug 14'!$E15/'Aug 14'!$F15</f>
        <v>9920.3150409987975</v>
      </c>
      <c r="H15" s="33">
        <v>8871</v>
      </c>
      <c r="I15" s="33">
        <v>9920</v>
      </c>
      <c r="J15" s="37">
        <f t="shared" si="0"/>
        <v>1049</v>
      </c>
      <c r="K15" s="38">
        <f>'Aug 14'!$F15*'Aug 14'!$I15</f>
        <v>621984.33547514328</v>
      </c>
      <c r="L15" s="39">
        <f>'Aug 14'!$K15/$K$2</f>
        <v>1.0393451085802426E-2</v>
      </c>
      <c r="M15" s="40"/>
      <c r="O15" s="2">
        <f>Table13895845679[[#This Row],[Change]]*Table13895845679[[#This Row],[Last price]]</f>
        <v>65772.335475143685</v>
      </c>
      <c r="P15" s="42">
        <f t="shared" si="1"/>
        <v>65772.335475143685</v>
      </c>
    </row>
    <row r="16" spans="1:19" s="44" customFormat="1" ht="12.75" customHeight="1" x14ac:dyDescent="0.2">
      <c r="A16" s="33" t="s">
        <v>161</v>
      </c>
      <c r="B16" s="43" t="s">
        <v>17</v>
      </c>
      <c r="C16" s="33" t="s">
        <v>170</v>
      </c>
      <c r="D16" s="34">
        <v>5.2090000000000001E-3</v>
      </c>
      <c r="E16" s="35">
        <f>'Aug 14'!$D16*$C$6*$C$2</f>
        <v>311031.89951909397</v>
      </c>
      <c r="F16" s="35">
        <v>81.980062660210805</v>
      </c>
      <c r="G16" s="36">
        <f>'Aug 14'!$E16/'Aug 14'!$F16</f>
        <v>3793.9944106685093</v>
      </c>
      <c r="H16" s="33">
        <v>3511</v>
      </c>
      <c r="I16" s="33">
        <v>3794</v>
      </c>
      <c r="J16" s="37">
        <f t="shared" si="0"/>
        <v>283</v>
      </c>
      <c r="K16" s="38">
        <f>'Aug 14'!$F16*'Aug 14'!$I16</f>
        <v>311032.35773283982</v>
      </c>
      <c r="L16" s="39">
        <f>'Aug 14'!$K16/$K$2</f>
        <v>5.1973971237210728E-3</v>
      </c>
      <c r="M16" s="33"/>
      <c r="O16" s="2">
        <f>Table13895845679[[#This Row],[Change]]*Table13895845679[[#This Row],[Last price]]</f>
        <v>23200.357732839657</v>
      </c>
      <c r="P16" s="42">
        <f t="shared" si="1"/>
        <v>23200.357732839657</v>
      </c>
    </row>
    <row r="17" spans="1:17" s="44" customFormat="1" ht="12.75" customHeight="1" x14ac:dyDescent="0.2">
      <c r="A17" s="33" t="s">
        <v>161</v>
      </c>
      <c r="B17" s="43" t="s">
        <v>232</v>
      </c>
      <c r="C17" s="33" t="s">
        <v>233</v>
      </c>
      <c r="D17" s="34">
        <v>1.0416999999999999E-2</v>
      </c>
      <c r="E17" s="35">
        <f>'Aug 14'!$D17*$C$6*$C$2</f>
        <v>622004.08855642192</v>
      </c>
      <c r="F17" s="35">
        <v>14.909986896826799</v>
      </c>
      <c r="G17" s="36">
        <f>'Aug 14'!$E17/'Aug 14'!$F17</f>
        <v>41717.279355141436</v>
      </c>
      <c r="H17" s="33">
        <v>35106</v>
      </c>
      <c r="I17" s="33">
        <v>41717</v>
      </c>
      <c r="J17" s="37">
        <f t="shared" si="0"/>
        <v>6611</v>
      </c>
      <c r="K17" s="38">
        <f>'Aug 14'!$F17*'Aug 14'!$I17</f>
        <v>621999.92337492364</v>
      </c>
      <c r="L17" s="39">
        <f>'Aug 14'!$K17/$K$2</f>
        <v>1.0393711561934471E-2</v>
      </c>
      <c r="M17" s="33"/>
      <c r="O17" s="2">
        <f>Table13895845679[[#This Row],[Change]]*Table13895845679[[#This Row],[Last price]]</f>
        <v>98569.923374921971</v>
      </c>
      <c r="P17" s="42">
        <f t="shared" si="1"/>
        <v>98569.923374921971</v>
      </c>
    </row>
    <row r="18" spans="1:17" s="44" customFormat="1" ht="12.75" customHeight="1" x14ac:dyDescent="0.2">
      <c r="A18" s="33" t="s">
        <v>161</v>
      </c>
      <c r="B18" s="43" t="s">
        <v>234</v>
      </c>
      <c r="C18" s="33" t="s">
        <v>235</v>
      </c>
      <c r="D18" s="34">
        <v>1.0416999999999999E-2</v>
      </c>
      <c r="E18" s="35">
        <f>'Aug 14'!$D18*$C$6*$C$2</f>
        <v>622004.08855642192</v>
      </c>
      <c r="F18" s="35">
        <v>159.29994340690399</v>
      </c>
      <c r="G18" s="36">
        <f>'Aug 14'!$E18/'Aug 14'!$F18</f>
        <v>3904.6096015716757</v>
      </c>
      <c r="H18" s="33">
        <v>3534</v>
      </c>
      <c r="I18" s="33">
        <v>3905</v>
      </c>
      <c r="J18" s="37">
        <f t="shared" si="0"/>
        <v>371</v>
      </c>
      <c r="K18" s="38">
        <f>'Aug 14'!$F18*'Aug 14'!$I18</f>
        <v>622066.27900396008</v>
      </c>
      <c r="L18" s="39">
        <f>'Aug 14'!$K18/$K$2</f>
        <v>1.0394820374400192E-2</v>
      </c>
      <c r="M18" s="33"/>
      <c r="O18" s="2">
        <f>Table13895845679[[#This Row],[Change]]*Table13895845679[[#This Row],[Last price]]</f>
        <v>59100.279003961383</v>
      </c>
      <c r="P18" s="42">
        <f t="shared" si="1"/>
        <v>59100.279003961383</v>
      </c>
    </row>
    <row r="19" spans="1:17" s="44" customFormat="1" ht="12.75" customHeight="1" x14ac:dyDescent="0.2">
      <c r="A19" s="33" t="s">
        <v>161</v>
      </c>
      <c r="B19" s="33" t="s">
        <v>236</v>
      </c>
      <c r="C19" s="33" t="s">
        <v>237</v>
      </c>
      <c r="D19" s="34">
        <v>1.0416999999999999E-2</v>
      </c>
      <c r="E19" s="35">
        <f>'Aug 14'!$D19*$C$6*$C$2</f>
        <v>622004.08855642192</v>
      </c>
      <c r="F19" s="35">
        <v>34.579985072770199</v>
      </c>
      <c r="G19" s="36">
        <f>'Aug 14'!$E19/'Aug 14'!$F19</f>
        <v>17987.401881391073</v>
      </c>
      <c r="H19" s="33">
        <v>16078</v>
      </c>
      <c r="I19" s="33">
        <v>17987</v>
      </c>
      <c r="J19" s="37">
        <f t="shared" si="0"/>
        <v>1909</v>
      </c>
      <c r="K19" s="38">
        <f>'Aug 14'!$F19*'Aug 14'!$I19</f>
        <v>621990.19150391757</v>
      </c>
      <c r="L19" s="39">
        <f>'Aug 14'!$K19/$K$2</f>
        <v>1.039354894091734E-2</v>
      </c>
      <c r="M19" s="33"/>
      <c r="O19" s="2">
        <f>Table13895845679[[#This Row],[Change]]*Table13895845679[[#This Row],[Last price]]</f>
        <v>66013.191503918308</v>
      </c>
      <c r="P19" s="42">
        <f t="shared" si="1"/>
        <v>66013.191503918308</v>
      </c>
    </row>
    <row r="20" spans="1:17" s="44" customFormat="1" ht="12.75" customHeight="1" x14ac:dyDescent="0.2">
      <c r="A20" s="33" t="s">
        <v>161</v>
      </c>
      <c r="B20" s="33" t="s">
        <v>26</v>
      </c>
      <c r="C20" s="33" t="s">
        <v>27</v>
      </c>
      <c r="D20" s="34">
        <v>1.0416999999999999E-2</v>
      </c>
      <c r="E20" s="35">
        <f>'Aug 14'!$D20*$C$6*$C$2</f>
        <v>622004.08855642192</v>
      </c>
      <c r="F20" s="35">
        <v>225.10008071025001</v>
      </c>
      <c r="G20" s="36">
        <f>'Aug 14'!$E20/'Aug 14'!$F20</f>
        <v>2763.2335208136546</v>
      </c>
      <c r="H20" s="33">
        <v>2478</v>
      </c>
      <c r="I20" s="33">
        <v>2763</v>
      </c>
      <c r="J20" s="37">
        <f t="shared" si="0"/>
        <v>285</v>
      </c>
      <c r="K20" s="38">
        <f>'Aug 14'!$F20*'Aug 14'!$I20</f>
        <v>621951.52300242078</v>
      </c>
      <c r="L20" s="39">
        <f>'Aug 14'!$K20/$K$2</f>
        <v>1.0392902784485505E-2</v>
      </c>
      <c r="M20" s="33"/>
      <c r="O20" s="2">
        <f>Table13895845679[[#This Row],[Change]]*Table13895845679[[#This Row],[Last price]]</f>
        <v>64153.523002421251</v>
      </c>
      <c r="P20" s="42">
        <f t="shared" si="1"/>
        <v>64153.523002421251</v>
      </c>
    </row>
    <row r="21" spans="1:17" s="44" customFormat="1" ht="12.75" customHeight="1" x14ac:dyDescent="0.2">
      <c r="A21" s="33" t="s">
        <v>161</v>
      </c>
      <c r="B21" s="33" t="s">
        <v>11</v>
      </c>
      <c r="C21" s="33" t="s">
        <v>12</v>
      </c>
      <c r="D21" s="34">
        <v>1.0416999999999999E-2</v>
      </c>
      <c r="E21" s="35">
        <f>'Aug 14'!$D21*$C$6*$C$2</f>
        <v>622004.08855642192</v>
      </c>
      <c r="F21" s="35">
        <v>308.36991434689497</v>
      </c>
      <c r="G21" s="36">
        <f>'Aug 14'!$E21/'Aug 14'!$F21</f>
        <v>2017.071249877866</v>
      </c>
      <c r="H21" s="33">
        <v>1868</v>
      </c>
      <c r="I21" s="33">
        <v>2017</v>
      </c>
      <c r="J21" s="37">
        <f t="shared" si="0"/>
        <v>149</v>
      </c>
      <c r="K21" s="38">
        <f>'Aug 14'!$F21*'Aug 14'!$I21</f>
        <v>621982.11723768711</v>
      </c>
      <c r="L21" s="39">
        <f>'Aug 14'!$K21/$K$2</f>
        <v>1.0393414018723429E-2</v>
      </c>
      <c r="M21" s="33"/>
      <c r="O21" s="2">
        <f>Table13895845679[[#This Row],[Change]]*Table13895845679[[#This Row],[Last price]]</f>
        <v>45947.117237687351</v>
      </c>
      <c r="P21" s="42">
        <f t="shared" si="1"/>
        <v>45947.117237687351</v>
      </c>
    </row>
    <row r="22" spans="1:17" s="44" customFormat="1" ht="12.75" customHeight="1" x14ac:dyDescent="0.2">
      <c r="A22" s="33"/>
      <c r="B22" s="33"/>
      <c r="C22" s="33"/>
      <c r="D22" s="34"/>
      <c r="E22" s="35"/>
      <c r="F22" s="35"/>
      <c r="G22" s="36"/>
      <c r="H22" s="33"/>
      <c r="I22" s="33"/>
      <c r="J22" s="45"/>
      <c r="K22" s="35"/>
      <c r="L22" s="46"/>
      <c r="M22" s="33"/>
      <c r="O22" s="2">
        <f>Table13895845679[[#This Row],[Change]]*Table13895845679[[#This Row],[Last price]]</f>
        <v>0</v>
      </c>
      <c r="P22" s="42">
        <f t="shared" si="1"/>
        <v>0</v>
      </c>
    </row>
    <row r="23" spans="1:17" s="54" customFormat="1" ht="12.75" customHeight="1" x14ac:dyDescent="0.2">
      <c r="A23" s="47" t="s">
        <v>177</v>
      </c>
      <c r="B23" s="47"/>
      <c r="C23" s="47"/>
      <c r="D23" s="48">
        <f>SUBTOTAL(9,D9:D22)</f>
        <v>0.12500499999999998</v>
      </c>
      <c r="E23" s="49">
        <f>'Aug 14'!$D23*$C$6*$C$2</f>
        <v>7464108.7731588287</v>
      </c>
      <c r="F23" s="50"/>
      <c r="G23" s="51"/>
      <c r="H23" s="47"/>
      <c r="I23" s="47"/>
      <c r="J23" s="52"/>
      <c r="K23" s="49">
        <f>SUM(K9:K22)</f>
        <v>7463277.4875394357</v>
      </c>
      <c r="L23" s="53">
        <f>'Aug 14'!$K23/$K$2</f>
        <v>0.12471248081714992</v>
      </c>
      <c r="M23" s="47"/>
      <c r="O23" s="2">
        <f>Table13895845679[[#This Row],[Change]]*Table13895845679[[#This Row],[Last price]]</f>
        <v>0</v>
      </c>
      <c r="P23" s="42">
        <f t="shared" si="1"/>
        <v>0</v>
      </c>
    </row>
    <row r="24" spans="1:17" s="44" customFormat="1" ht="12.75" customHeight="1" x14ac:dyDescent="0.2">
      <c r="A24" s="33"/>
      <c r="B24" s="33"/>
      <c r="C24" s="33"/>
      <c r="D24" s="34"/>
      <c r="E24" s="35"/>
      <c r="F24" s="35"/>
      <c r="G24" s="36"/>
      <c r="H24" s="33"/>
      <c r="I24" s="33"/>
      <c r="J24" s="45"/>
      <c r="K24" s="35"/>
      <c r="L24" s="39"/>
      <c r="M24" s="33"/>
      <c r="O24" s="2">
        <f>Table13895845679[[#This Row],[Change]]*Table13895845679[[#This Row],[Last price]]</f>
        <v>0</v>
      </c>
      <c r="P24" s="42">
        <f t="shared" si="1"/>
        <v>0</v>
      </c>
    </row>
    <row r="25" spans="1:17" s="41" customFormat="1" ht="12.75" customHeight="1" x14ac:dyDescent="0.2">
      <c r="A25" s="55"/>
      <c r="B25" s="47" t="s">
        <v>32</v>
      </c>
      <c r="C25" s="55" t="s">
        <v>33</v>
      </c>
      <c r="D25" s="56">
        <v>0.03</v>
      </c>
      <c r="E25" s="57">
        <f>'Aug 14'!$D25*$C$6*$C$2</f>
        <v>1791314.4529800001</v>
      </c>
      <c r="F25" s="57">
        <v>18.6799995367851</v>
      </c>
      <c r="G25" s="58">
        <f>'Aug 14'!$E25/'Aug 14'!$F25</f>
        <v>95894.780374726499</v>
      </c>
      <c r="H25" s="55">
        <v>86353</v>
      </c>
      <c r="I25" s="55">
        <v>95895</v>
      </c>
      <c r="J25" s="59">
        <f>I25-H25</f>
        <v>9542</v>
      </c>
      <c r="K25" s="50">
        <f>'Aug 14'!$F25*'Aug 14'!$I25</f>
        <v>1791318.5555800071</v>
      </c>
      <c r="L25" s="53">
        <f>'Aug 14'!$K25/$K$2</f>
        <v>2.9933200443526441E-2</v>
      </c>
      <c r="M25" s="47"/>
      <c r="O25" s="2">
        <f>Table13895845679[[#This Row],[Change]]*Table13895845679[[#This Row],[Last price]]</f>
        <v>178244.55558000342</v>
      </c>
      <c r="P25" s="42">
        <f t="shared" si="1"/>
        <v>178244.55558000342</v>
      </c>
      <c r="Q25" s="42"/>
    </row>
    <row r="26" spans="1:17" s="41" customFormat="1" ht="12.75" customHeight="1" x14ac:dyDescent="0.2">
      <c r="A26" s="33"/>
      <c r="B26" s="33"/>
      <c r="C26" s="33"/>
      <c r="D26" s="34"/>
      <c r="E26" s="35"/>
      <c r="F26" s="35"/>
      <c r="G26" s="36"/>
      <c r="H26" s="33"/>
      <c r="I26" s="33"/>
      <c r="J26" s="45"/>
      <c r="K26" s="38"/>
      <c r="L26" s="39"/>
      <c r="M26" s="33"/>
      <c r="O26" s="2">
        <f>Table13895845679[[#This Row],[Change]]*Table13895845679[[#This Row],[Last price]]</f>
        <v>0</v>
      </c>
      <c r="P26" s="42">
        <f t="shared" si="1"/>
        <v>0</v>
      </c>
      <c r="Q26" s="42"/>
    </row>
    <row r="27" spans="1:17" ht="26.25" x14ac:dyDescent="0.25">
      <c r="A27" s="33" t="s">
        <v>178</v>
      </c>
      <c r="B27" s="60" t="s">
        <v>179</v>
      </c>
      <c r="C27" s="60" t="s">
        <v>106</v>
      </c>
      <c r="D27" s="34">
        <v>3.6666999999999998E-2</v>
      </c>
      <c r="E27" s="35">
        <f>'Aug 14'!$D27*$C$6*$C$2</f>
        <v>2189404.2349139219</v>
      </c>
      <c r="F27" s="35">
        <v>157187.5</v>
      </c>
      <c r="G27" s="61">
        <f>'Aug 14'!$E27/'Aug 14'!$F27</f>
        <v>13.928615410983202</v>
      </c>
      <c r="H27" s="33">
        <v>12</v>
      </c>
      <c r="I27" s="33">
        <v>14</v>
      </c>
      <c r="J27" s="37">
        <f t="shared" ref="J27:J33" si="2">I27-H27</f>
        <v>2</v>
      </c>
      <c r="K27" s="38">
        <f>'Aug 14'!$F27*'Aug 14'!$I27</f>
        <v>2200625</v>
      </c>
      <c r="L27" s="39">
        <f>'Aug 14'!$K27/$K$2</f>
        <v>3.6772772224595698E-2</v>
      </c>
      <c r="M27" s="62"/>
      <c r="O27" s="2">
        <f>Table13895845679[[#This Row],[Change]]*Table13895845679[[#This Row],[Last price]]</f>
        <v>314375</v>
      </c>
      <c r="P27" s="42">
        <f t="shared" si="1"/>
        <v>314375</v>
      </c>
    </row>
    <row r="28" spans="1:17" ht="26.25" x14ac:dyDescent="0.25">
      <c r="A28" s="33" t="s">
        <v>178</v>
      </c>
      <c r="B28" s="60" t="s">
        <v>180</v>
      </c>
      <c r="C28" s="60" t="s">
        <v>110</v>
      </c>
      <c r="D28" s="34">
        <v>3.6666999999999998E-2</v>
      </c>
      <c r="E28" s="35">
        <f>'Aug 14'!$D28*$C$6*$C$2</f>
        <v>2189404.2349139219</v>
      </c>
      <c r="F28" s="35">
        <v>219106.22222222199</v>
      </c>
      <c r="G28" s="61">
        <f>'Aug 14'!$E28/'Aug 14'!$F28</f>
        <v>9.9924329519651138</v>
      </c>
      <c r="H28" s="33">
        <v>9</v>
      </c>
      <c r="I28" s="33">
        <v>10</v>
      </c>
      <c r="J28" s="37">
        <f t="shared" si="2"/>
        <v>1</v>
      </c>
      <c r="K28" s="38">
        <f>'Aug 14'!$F28*'Aug 14'!$I28</f>
        <v>2191062.2222222197</v>
      </c>
      <c r="L28" s="39">
        <f>'Aug 14'!$K28/$K$2</f>
        <v>3.6612976780548333E-2</v>
      </c>
      <c r="M28" s="62"/>
      <c r="O28" s="2">
        <f>Table13895845679[[#This Row],[Change]]*Table13895845679[[#This Row],[Last price]]</f>
        <v>219106.22222222199</v>
      </c>
      <c r="P28" s="42">
        <f t="shared" si="1"/>
        <v>219106.22222222199</v>
      </c>
    </row>
    <row r="29" spans="1:17" ht="26.25" x14ac:dyDescent="0.25">
      <c r="A29" s="33" t="s">
        <v>178</v>
      </c>
      <c r="B29" s="60" t="s">
        <v>181</v>
      </c>
      <c r="C29" s="60" t="s">
        <v>113</v>
      </c>
      <c r="D29" s="34">
        <v>3.6666999999999998E-2</v>
      </c>
      <c r="E29" s="35">
        <f>'Aug 14'!$D29*$C$6*$C$2</f>
        <v>2189404.2349139219</v>
      </c>
      <c r="F29" s="35">
        <v>178218.727272727</v>
      </c>
      <c r="G29" s="61">
        <f>'Aug 14'!$E29/'Aug 14'!$F29</f>
        <v>12.284928011877732</v>
      </c>
      <c r="H29" s="33">
        <v>11</v>
      </c>
      <c r="I29" s="33">
        <v>12</v>
      </c>
      <c r="J29" s="37">
        <f t="shared" si="2"/>
        <v>1</v>
      </c>
      <c r="K29" s="38">
        <f>'Aug 14'!$F29*'Aug 14'!$I29</f>
        <v>2138624.7272727238</v>
      </c>
      <c r="L29" s="39">
        <f>'Aug 14'!$K29/$K$2</f>
        <v>3.5736738412899961E-2</v>
      </c>
      <c r="M29" s="62"/>
      <c r="O29" s="2">
        <f>Table13895845679[[#This Row],[Change]]*Table13895845679[[#This Row],[Last price]]</f>
        <v>178218.727272727</v>
      </c>
      <c r="P29" s="42">
        <f t="shared" si="1"/>
        <v>178218.727272727</v>
      </c>
    </row>
    <row r="30" spans="1:17" ht="26.25" x14ac:dyDescent="0.25">
      <c r="A30" s="33" t="s">
        <v>178</v>
      </c>
      <c r="B30" s="60" t="s">
        <v>182</v>
      </c>
      <c r="C30" s="60" t="s">
        <v>116</v>
      </c>
      <c r="D30" s="34">
        <v>3.6666999999999998E-2</v>
      </c>
      <c r="E30" s="35">
        <f>'Aug 14'!$D30*$C$6*$C$2</f>
        <v>2189404.2349139219</v>
      </c>
      <c r="F30" s="35">
        <v>125671.866666667</v>
      </c>
      <c r="G30" s="61">
        <f>'Aug 14'!$E30/'Aug 14'!$F30</f>
        <v>17.421593973145271</v>
      </c>
      <c r="H30" s="33">
        <v>15</v>
      </c>
      <c r="I30" s="33">
        <v>17</v>
      </c>
      <c r="J30" s="37">
        <f t="shared" si="2"/>
        <v>2</v>
      </c>
      <c r="K30" s="38">
        <f>'Aug 14'!$F30*'Aug 14'!$I30</f>
        <v>2136421.733333339</v>
      </c>
      <c r="L30" s="39">
        <f>'Aug 14'!$K30/$K$2</f>
        <v>3.5699926055344645E-2</v>
      </c>
      <c r="M30" s="62"/>
      <c r="O30" s="2">
        <f>Table13895845679[[#This Row],[Change]]*Table13895845679[[#This Row],[Last price]]</f>
        <v>251343.73333333401</v>
      </c>
      <c r="P30" s="42">
        <f t="shared" si="1"/>
        <v>251343.73333333401</v>
      </c>
    </row>
    <row r="31" spans="1:17" ht="26.25" x14ac:dyDescent="0.25">
      <c r="A31" s="33" t="s">
        <v>178</v>
      </c>
      <c r="B31" s="60" t="s">
        <v>183</v>
      </c>
      <c r="C31" s="60" t="s">
        <v>119</v>
      </c>
      <c r="D31" s="34">
        <v>3.6666999999999998E-2</v>
      </c>
      <c r="E31" s="35">
        <f>'Aug 14'!$D31*$C$6*$C$2</f>
        <v>2189404.2349139219</v>
      </c>
      <c r="F31" s="35">
        <v>139096.92857142899</v>
      </c>
      <c r="G31" s="61">
        <f>'Aug 14'!$E31/'Aug 14'!$F31</f>
        <v>15.740133570164492</v>
      </c>
      <c r="H31" s="33">
        <v>14</v>
      </c>
      <c r="I31" s="33">
        <v>16</v>
      </c>
      <c r="J31" s="37">
        <f t="shared" si="2"/>
        <v>2</v>
      </c>
      <c r="K31" s="38">
        <f>'Aug 14'!$F31*'Aug 14'!$I31</f>
        <v>2225550.8571428638</v>
      </c>
      <c r="L31" s="39">
        <f>'Aug 14'!$K31/$K$2</f>
        <v>3.7189287017991825E-2</v>
      </c>
      <c r="M31" s="62"/>
      <c r="O31" s="2">
        <f>Table13895845679[[#This Row],[Change]]*Table13895845679[[#This Row],[Last price]]</f>
        <v>278193.85714285797</v>
      </c>
      <c r="P31" s="42">
        <f t="shared" si="1"/>
        <v>278193.85714285797</v>
      </c>
    </row>
    <row r="32" spans="1:17" ht="26.25" x14ac:dyDescent="0.25">
      <c r="A32" s="33" t="s">
        <v>178</v>
      </c>
      <c r="B32" s="60" t="s">
        <v>184</v>
      </c>
      <c r="C32" s="60" t="s">
        <v>122</v>
      </c>
      <c r="D32" s="34">
        <v>0.125</v>
      </c>
      <c r="E32" s="35">
        <f>'Aug 14'!$D32*$C$6*$C$2</f>
        <v>7463810.2207499994</v>
      </c>
      <c r="F32" s="35">
        <v>416306.625</v>
      </c>
      <c r="G32" s="61">
        <f>'Aug 14'!$E32/'Aug 14'!$F32</f>
        <v>17.928636664742001</v>
      </c>
      <c r="H32" s="33">
        <v>16</v>
      </c>
      <c r="I32" s="33">
        <v>18</v>
      </c>
      <c r="J32" s="37">
        <f t="shared" si="2"/>
        <v>2</v>
      </c>
      <c r="K32" s="38">
        <f>'Aug 14'!$F32*'Aug 14'!$I32</f>
        <v>7493519.25</v>
      </c>
      <c r="L32" s="39">
        <f>'Aug 14'!$K32/$K$2</f>
        <v>0.12521782518187932</v>
      </c>
      <c r="M32" s="62"/>
      <c r="O32" s="2">
        <f>Table13895845679[[#This Row],[Change]]*Table13895845679[[#This Row],[Last price]]</f>
        <v>832613.25</v>
      </c>
      <c r="P32" s="42">
        <f t="shared" si="1"/>
        <v>832613.25</v>
      </c>
    </row>
    <row r="33" spans="1:17" ht="26.25" x14ac:dyDescent="0.25">
      <c r="A33" s="33" t="s">
        <v>178</v>
      </c>
      <c r="B33" s="60" t="s">
        <v>185</v>
      </c>
      <c r="C33" s="60" t="s">
        <v>127</v>
      </c>
      <c r="D33" s="34">
        <v>3.6666999999999998E-2</v>
      </c>
      <c r="E33" s="35">
        <f>'Aug 14'!$D33*$C$6*$C$2</f>
        <v>2189404.2349139219</v>
      </c>
      <c r="F33" s="35">
        <v>220764.66666666701</v>
      </c>
      <c r="G33" s="61">
        <f>'Aug 14'!$E33/'Aug 14'!$F33</f>
        <v>9.9173670677097423</v>
      </c>
      <c r="H33" s="33">
        <v>9</v>
      </c>
      <c r="I33" s="33">
        <v>10</v>
      </c>
      <c r="J33" s="37">
        <f t="shared" si="2"/>
        <v>1</v>
      </c>
      <c r="K33" s="38">
        <f>'Aug 14'!$F33*'Aug 14'!$I33</f>
        <v>2207646.6666666702</v>
      </c>
      <c r="L33" s="39">
        <f>'Aug 14'!$K33/$K$2</f>
        <v>3.6890105322679424E-2</v>
      </c>
      <c r="M33" s="62"/>
      <c r="O33" s="2">
        <f>Table13895845679[[#This Row],[Change]]*Table13895845679[[#This Row],[Last price]]</f>
        <v>220764.66666666701</v>
      </c>
      <c r="P33" s="42">
        <f t="shared" si="1"/>
        <v>220764.66666666701</v>
      </c>
    </row>
    <row r="34" spans="1:17" s="64" customFormat="1" ht="12.75" x14ac:dyDescent="0.2">
      <c r="A34" s="33"/>
      <c r="B34" s="60"/>
      <c r="C34" s="60"/>
      <c r="D34" s="34"/>
      <c r="E34" s="63"/>
      <c r="F34" s="35"/>
      <c r="G34" s="61"/>
      <c r="H34" s="33"/>
      <c r="I34" s="33"/>
      <c r="J34" s="45"/>
      <c r="K34" s="35"/>
      <c r="L34" s="46"/>
      <c r="M34" s="62"/>
      <c r="O34" s="2">
        <f>Table13895845679[[#This Row],[Change]]*Table13895845679[[#This Row],[Last price]]</f>
        <v>0</v>
      </c>
      <c r="P34" s="42">
        <f t="shared" si="1"/>
        <v>0</v>
      </c>
    </row>
    <row r="35" spans="1:17" s="15" customFormat="1" ht="12.75" x14ac:dyDescent="0.2">
      <c r="A35" s="47" t="s">
        <v>186</v>
      </c>
      <c r="B35" s="65"/>
      <c r="C35" s="65"/>
      <c r="D35" s="56">
        <f>SUBTOTAL(9,D27:D34)</f>
        <v>0.34500200000000003</v>
      </c>
      <c r="E35" s="66">
        <f>'Aug 14'!$D35*$C$6*$C$2</f>
        <v>20600235.630233534</v>
      </c>
      <c r="F35" s="57"/>
      <c r="G35" s="67"/>
      <c r="H35" s="55"/>
      <c r="I35" s="55"/>
      <c r="J35" s="59"/>
      <c r="K35" s="66">
        <f>SUM(K27:K33)</f>
        <v>20593450.456637818</v>
      </c>
      <c r="L35" s="68">
        <f>'Aug 14'!$K35/$K$2</f>
        <v>0.34411963099593923</v>
      </c>
      <c r="M35" s="69"/>
      <c r="O35" s="2">
        <f>Table13895845679[[#This Row],[Change]]*Table13895845679[[#This Row],[Last price]]</f>
        <v>0</v>
      </c>
      <c r="P35" s="42">
        <f t="shared" si="1"/>
        <v>0</v>
      </c>
    </row>
    <row r="36" spans="1:17" s="64" customFormat="1" ht="12.75" x14ac:dyDescent="0.2">
      <c r="A36" s="33"/>
      <c r="B36" s="60"/>
      <c r="C36" s="60"/>
      <c r="D36" s="34"/>
      <c r="E36" s="63"/>
      <c r="F36" s="35"/>
      <c r="G36" s="61"/>
      <c r="H36" s="33"/>
      <c r="I36" s="33"/>
      <c r="J36" s="45"/>
      <c r="K36" s="35"/>
      <c r="L36" s="39"/>
      <c r="M36" s="62"/>
      <c r="O36" s="2">
        <f>Table13895845679[[#This Row],[Change]]*Table13895845679[[#This Row],[Last price]]</f>
        <v>0</v>
      </c>
      <c r="P36" s="42">
        <f t="shared" si="1"/>
        <v>0</v>
      </c>
    </row>
    <row r="37" spans="1:17" s="41" customFormat="1" ht="25.5" customHeight="1" x14ac:dyDescent="0.2">
      <c r="A37" s="33" t="s">
        <v>187</v>
      </c>
      <c r="B37" s="33" t="s">
        <v>63</v>
      </c>
      <c r="C37" s="33" t="s">
        <v>64</v>
      </c>
      <c r="D37" s="34">
        <v>3.6666999999999998E-2</v>
      </c>
      <c r="E37" s="35">
        <f>'Aug 14'!$D37*$C$6*$C$2</f>
        <v>2189404.2349139219</v>
      </c>
      <c r="F37" s="35">
        <v>94657.85</v>
      </c>
      <c r="G37" s="36">
        <f>'Aug 14'!$E37/'Aug 14'!$F37</f>
        <v>23.129663677274753</v>
      </c>
      <c r="H37" s="33">
        <v>20</v>
      </c>
      <c r="I37" s="33">
        <v>23</v>
      </c>
      <c r="J37" s="37">
        <f t="shared" ref="J37:J42" si="3">I37-H37</f>
        <v>3</v>
      </c>
      <c r="K37" s="38">
        <f>'Aug 14'!$F37*'Aug 14'!$I37</f>
        <v>2177130.5500000003</v>
      </c>
      <c r="L37" s="39">
        <f>'Aug 14'!$K37/$K$2</f>
        <v>3.6380176458214723E-2</v>
      </c>
      <c r="M37" s="40"/>
      <c r="N37" s="2"/>
      <c r="O37" s="2">
        <f>Table13895845679[[#This Row],[Change]]*Table13895845679[[#This Row],[Last price]]</f>
        <v>283973.55000000005</v>
      </c>
      <c r="P37" s="42">
        <f t="shared" si="1"/>
        <v>283973.55000000005</v>
      </c>
      <c r="Q37" s="42"/>
    </row>
    <row r="38" spans="1:17" s="41" customFormat="1" ht="25.5" customHeight="1" x14ac:dyDescent="0.2">
      <c r="A38" s="33" t="s">
        <v>187</v>
      </c>
      <c r="B38" s="33" t="s">
        <v>188</v>
      </c>
      <c r="C38" s="33" t="s">
        <v>73</v>
      </c>
      <c r="D38" s="34">
        <v>3.6666999999999998E-2</v>
      </c>
      <c r="E38" s="35">
        <f>'Aug 14'!$D38*$C$6*$C$2</f>
        <v>2189404.2349139219</v>
      </c>
      <c r="F38" s="35">
        <v>115433.882352941</v>
      </c>
      <c r="G38" s="36">
        <f>'Aug 14'!$E38/'Aug 14'!$F38</f>
        <v>18.966738277239799</v>
      </c>
      <c r="H38" s="33">
        <v>17</v>
      </c>
      <c r="I38" s="33">
        <v>19</v>
      </c>
      <c r="J38" s="37">
        <f t="shared" si="3"/>
        <v>2</v>
      </c>
      <c r="K38" s="38">
        <f>'Aug 14'!$F38*'Aug 14'!$I38</f>
        <v>2193243.7647058791</v>
      </c>
      <c r="L38" s="39">
        <f>'Aug 14'!$K38/$K$2</f>
        <v>3.6649430681076539E-2</v>
      </c>
      <c r="M38" s="40"/>
      <c r="N38" s="2"/>
      <c r="O38" s="2">
        <f>Table13895845679[[#This Row],[Change]]*Table13895845679[[#This Row],[Last price]]</f>
        <v>230867.764705882</v>
      </c>
      <c r="P38" s="42">
        <f t="shared" si="1"/>
        <v>230867.764705882</v>
      </c>
    </row>
    <row r="39" spans="1:17" s="41" customFormat="1" ht="25.5" customHeight="1" x14ac:dyDescent="0.2">
      <c r="A39" s="33" t="s">
        <v>187</v>
      </c>
      <c r="B39" s="33" t="s">
        <v>76</v>
      </c>
      <c r="C39" s="33" t="s">
        <v>77</v>
      </c>
      <c r="D39" s="34">
        <v>3.6666999999999998E-2</v>
      </c>
      <c r="E39" s="35">
        <f>'Aug 14'!$D39*$C$6*$C$2</f>
        <v>2189404.2349139219</v>
      </c>
      <c r="F39" s="35">
        <v>112915.352941176</v>
      </c>
      <c r="G39" s="36">
        <f>'Aug 14'!$E39/'Aug 14'!$F39</f>
        <v>19.389783389815083</v>
      </c>
      <c r="H39" s="33">
        <v>17</v>
      </c>
      <c r="I39" s="33">
        <v>19</v>
      </c>
      <c r="J39" s="37">
        <f t="shared" si="3"/>
        <v>2</v>
      </c>
      <c r="K39" s="38">
        <f>'Aug 14'!$F39*'Aug 14'!$I39</f>
        <v>2145391.7058823439</v>
      </c>
      <c r="L39" s="39">
        <f>'Aug 14'!$K39/$K$2</f>
        <v>3.5849815635534563E-2</v>
      </c>
      <c r="M39" s="40"/>
      <c r="N39" s="2"/>
      <c r="O39" s="2">
        <f>Table13895845679[[#This Row],[Change]]*Table13895845679[[#This Row],[Last price]]</f>
        <v>225830.70588235199</v>
      </c>
      <c r="P39" s="42">
        <f t="shared" si="1"/>
        <v>225830.70588235199</v>
      </c>
    </row>
    <row r="40" spans="1:17" s="41" customFormat="1" ht="25.5" x14ac:dyDescent="0.2">
      <c r="A40" s="33" t="s">
        <v>187</v>
      </c>
      <c r="B40" s="33" t="s">
        <v>78</v>
      </c>
      <c r="C40" s="33" t="s">
        <v>79</v>
      </c>
      <c r="D40" s="34">
        <v>0.125</v>
      </c>
      <c r="E40" s="35">
        <f>'Aug 14'!$D40*$C$6*$C$2</f>
        <v>7463810.2207499994</v>
      </c>
      <c r="F40" s="35">
        <v>249375</v>
      </c>
      <c r="G40" s="36">
        <f>'Aug 14'!$E40/'Aug 14'!$F40</f>
        <v>29.930066048120299</v>
      </c>
      <c r="H40" s="33">
        <v>27</v>
      </c>
      <c r="I40" s="33">
        <v>30</v>
      </c>
      <c r="J40" s="37">
        <f t="shared" si="3"/>
        <v>3</v>
      </c>
      <c r="K40" s="38">
        <f>'Aug 14'!$F40*'Aug 14'!$I40</f>
        <v>7481250</v>
      </c>
      <c r="L40" s="39">
        <f>'Aug 14'!$K40/$K$2</f>
        <v>0.12501280418301919</v>
      </c>
      <c r="M40" s="40"/>
      <c r="N40" s="2"/>
      <c r="O40" s="2">
        <f>Table13895845679[[#This Row],[Change]]*Table13895845679[[#This Row],[Last price]]</f>
        <v>748125</v>
      </c>
      <c r="P40" s="42">
        <f t="shared" si="1"/>
        <v>748125</v>
      </c>
    </row>
    <row r="41" spans="1:17" s="41" customFormat="1" ht="25.5" x14ac:dyDescent="0.2">
      <c r="A41" s="33" t="s">
        <v>187</v>
      </c>
      <c r="B41" s="33" t="s">
        <v>193</v>
      </c>
      <c r="C41" s="33" t="s">
        <v>100</v>
      </c>
      <c r="D41" s="34">
        <v>0.125</v>
      </c>
      <c r="E41" s="35">
        <f>'Aug 14'!$D41*$C$6*$C$2</f>
        <v>7463810.2207499994</v>
      </c>
      <c r="F41" s="35">
        <v>416318.9375</v>
      </c>
      <c r="G41" s="36">
        <f>'Aug 14'!$E41/'Aug 14'!$F41</f>
        <v>17.928106431022009</v>
      </c>
      <c r="H41" s="33">
        <v>16</v>
      </c>
      <c r="I41" s="33">
        <v>18</v>
      </c>
      <c r="J41" s="37">
        <f t="shared" si="3"/>
        <v>2</v>
      </c>
      <c r="K41" s="38">
        <f>'Aug 14'!$F41*'Aug 14'!$I41</f>
        <v>7493740.875</v>
      </c>
      <c r="L41" s="39">
        <f>'Aug 14'!$K41/$K$2</f>
        <v>0.12522152856871002</v>
      </c>
      <c r="M41" s="40"/>
      <c r="N41" s="2"/>
      <c r="O41" s="2">
        <f>Table13895845679[[#This Row],[Change]]*Table13895845679[[#This Row],[Last price]]</f>
        <v>832637.875</v>
      </c>
      <c r="P41" s="42">
        <f t="shared" si="1"/>
        <v>832637.875</v>
      </c>
    </row>
    <row r="42" spans="1:17" s="41" customFormat="1" ht="25.5" x14ac:dyDescent="0.2">
      <c r="A42" s="33" t="s">
        <v>187</v>
      </c>
      <c r="B42" s="33" t="s">
        <v>102</v>
      </c>
      <c r="C42" s="33" t="s">
        <v>103</v>
      </c>
      <c r="D42" s="34">
        <v>0.125</v>
      </c>
      <c r="E42" s="35">
        <f>'Aug 14'!$D42*$C$6*$C$2</f>
        <v>7463810.2207499994</v>
      </c>
      <c r="F42" s="35">
        <v>249774.73076923101</v>
      </c>
      <c r="G42" s="36">
        <f>'Aug 14'!$E42/'Aug 14'!$F42</f>
        <v>29.88216701410791</v>
      </c>
      <c r="H42" s="33">
        <v>26</v>
      </c>
      <c r="I42" s="33">
        <v>30</v>
      </c>
      <c r="J42" s="37">
        <f t="shared" si="3"/>
        <v>4</v>
      </c>
      <c r="K42" s="38">
        <f>'Aug 14'!$F42*'Aug 14'!$I42</f>
        <v>7493241.9230769305</v>
      </c>
      <c r="L42" s="39">
        <f>'Aug 14'!$K42/$K$2</f>
        <v>0.12521319100759984</v>
      </c>
      <c r="M42" s="40"/>
      <c r="N42" s="2"/>
      <c r="O42" s="2">
        <f>Table13895845679[[#This Row],[Change]]*Table13895845679[[#This Row],[Last price]]</f>
        <v>999098.92307692405</v>
      </c>
      <c r="P42" s="42">
        <f t="shared" si="1"/>
        <v>999098.92307692405</v>
      </c>
    </row>
    <row r="43" spans="1:17" s="41" customFormat="1" ht="12.75" x14ac:dyDescent="0.2">
      <c r="A43" s="33"/>
      <c r="B43" s="33"/>
      <c r="C43" s="33"/>
      <c r="D43" s="34"/>
      <c r="E43" s="35"/>
      <c r="F43" s="35"/>
      <c r="G43" s="36"/>
      <c r="H43" s="33"/>
      <c r="I43" s="33"/>
      <c r="J43" s="37"/>
      <c r="K43" s="38"/>
      <c r="L43" s="39"/>
      <c r="M43" s="40"/>
      <c r="N43" s="2"/>
      <c r="O43" s="2">
        <f>Table13895845679[[#This Row],[Change]]*Table13895845679[[#This Row],[Last price]]</f>
        <v>0</v>
      </c>
      <c r="P43" s="42">
        <f t="shared" si="1"/>
        <v>0</v>
      </c>
    </row>
    <row r="44" spans="1:17" s="41" customFormat="1" ht="12.75" x14ac:dyDescent="0.2">
      <c r="A44" s="33"/>
      <c r="B44" s="33"/>
      <c r="C44" s="33"/>
      <c r="D44" s="34"/>
      <c r="E44" s="35"/>
      <c r="F44" s="35"/>
      <c r="G44" s="36"/>
      <c r="H44" s="33"/>
      <c r="I44" s="33"/>
      <c r="J44" s="37"/>
      <c r="K44" s="38"/>
      <c r="L44" s="39"/>
      <c r="M44" s="40"/>
      <c r="N44" s="2"/>
      <c r="O44" s="2">
        <f>Table13895845679[[#This Row],[Change]]*Table13895845679[[#This Row],[Last price]]</f>
        <v>0</v>
      </c>
      <c r="P44" s="42">
        <f t="shared" si="1"/>
        <v>0</v>
      </c>
    </row>
    <row r="45" spans="1:17" s="44" customFormat="1" ht="12.75" x14ac:dyDescent="0.2">
      <c r="A45" s="33"/>
      <c r="B45" s="33"/>
      <c r="C45" s="33"/>
      <c r="D45" s="34"/>
      <c r="E45" s="35"/>
      <c r="F45" s="35"/>
      <c r="G45" s="36"/>
      <c r="H45" s="33"/>
      <c r="I45" s="33"/>
      <c r="J45" s="45"/>
      <c r="K45" s="35"/>
      <c r="L45" s="39"/>
      <c r="M45" s="33"/>
      <c r="N45" s="64"/>
      <c r="O45" s="2">
        <f>Table13895845679[[#This Row],[Change]]*Table13895845679[[#This Row],[Last price]]</f>
        <v>0</v>
      </c>
      <c r="P45" s="42">
        <f t="shared" si="1"/>
        <v>0</v>
      </c>
    </row>
    <row r="46" spans="1:17" s="54" customFormat="1" ht="12.75" x14ac:dyDescent="0.2">
      <c r="A46" s="47" t="s">
        <v>194</v>
      </c>
      <c r="B46" s="47"/>
      <c r="C46" s="47"/>
      <c r="D46" s="56">
        <f>SUBTOTAL(9,D37:D45)</f>
        <v>0.48500100000000002</v>
      </c>
      <c r="E46" s="49">
        <f>'Aug 14'!$D46*$C$6*$C$2</f>
        <v>28959643.366991766</v>
      </c>
      <c r="F46" s="57"/>
      <c r="G46" s="70"/>
      <c r="H46" s="55"/>
      <c r="I46" s="55"/>
      <c r="J46" s="59"/>
      <c r="K46" s="49">
        <f>SUM(K37:K45)</f>
        <v>28983998.818665154</v>
      </c>
      <c r="L46" s="68">
        <f>'Aug 14'!$K46/$K$2</f>
        <v>0.48432694653415487</v>
      </c>
      <c r="M46" s="47"/>
      <c r="N46" s="15"/>
      <c r="O46" s="2">
        <f>Table13895845679[[#This Row],[Change]]*Table13895845679[[#This Row],[Last price]]</f>
        <v>0</v>
      </c>
      <c r="P46" s="42">
        <f t="shared" si="1"/>
        <v>0</v>
      </c>
    </row>
    <row r="47" spans="1:17" s="44" customFormat="1" ht="12.75" x14ac:dyDescent="0.2">
      <c r="A47" s="33"/>
      <c r="B47" s="33"/>
      <c r="C47" s="33"/>
      <c r="D47" s="34"/>
      <c r="E47" s="35"/>
      <c r="F47" s="35"/>
      <c r="G47" s="36"/>
      <c r="H47" s="33"/>
      <c r="I47" s="33"/>
      <c r="J47" s="45"/>
      <c r="K47" s="35"/>
      <c r="L47" s="39"/>
      <c r="M47" s="33"/>
      <c r="N47" s="64"/>
      <c r="O47" s="2">
        <f>Table13895845679[[#This Row],[Change]]*Table13895845679[[#This Row],[Last price]]</f>
        <v>0</v>
      </c>
      <c r="P47" s="42">
        <f t="shared" si="1"/>
        <v>0</v>
      </c>
    </row>
    <row r="48" spans="1:17" s="41" customFormat="1" ht="12.75" x14ac:dyDescent="0.2">
      <c r="A48" s="33"/>
      <c r="B48" s="33"/>
      <c r="C48" s="33"/>
      <c r="D48" s="34"/>
      <c r="E48" s="35"/>
      <c r="F48" s="35"/>
      <c r="G48" s="71"/>
      <c r="H48" s="33"/>
      <c r="I48" s="33"/>
      <c r="J48" s="37"/>
      <c r="K48" s="38"/>
      <c r="L48" s="39"/>
      <c r="M48" s="40"/>
      <c r="N48" s="2"/>
      <c r="O48" s="2">
        <f>Table13895845679[[#This Row],[Change]]*Table13895845679[[#This Row],[Last price]]</f>
        <v>0</v>
      </c>
      <c r="P48" s="42">
        <f t="shared" si="1"/>
        <v>0</v>
      </c>
    </row>
    <row r="49" spans="1:18" s="41" customFormat="1" ht="25.5" x14ac:dyDescent="0.2">
      <c r="A49" s="33" t="s">
        <v>195</v>
      </c>
      <c r="B49" s="33" t="s">
        <v>67</v>
      </c>
      <c r="C49" s="33" t="s">
        <v>68</v>
      </c>
      <c r="D49" s="34">
        <v>1.5E-3</v>
      </c>
      <c r="E49" s="35">
        <f>'Aug 14'!$D49*$C$6*$C$2</f>
        <v>89565.722648999988</v>
      </c>
      <c r="F49" s="35">
        <v>43742</v>
      </c>
      <c r="G49" s="71">
        <f>'Aug 14'!$E49/'Aug 14'!$F49</f>
        <v>2.0475909343194183</v>
      </c>
      <c r="H49" s="33">
        <v>1</v>
      </c>
      <c r="I49" s="33">
        <v>2</v>
      </c>
      <c r="J49" s="37">
        <f t="shared" ref="J49:J58" si="4">I49-H49</f>
        <v>1</v>
      </c>
      <c r="K49" s="38">
        <f>'Aug 14'!$F49*'Aug 14'!$I49</f>
        <v>87484</v>
      </c>
      <c r="L49" s="39">
        <f>'Aug 14'!$K49/$K$2</f>
        <v>1.4618706982318797E-3</v>
      </c>
      <c r="M49" s="40"/>
      <c r="N49" s="2"/>
      <c r="O49" s="2">
        <f>Table13895845679[[#This Row],[Change]]*Table13895845679[[#This Row],[Last price]]</f>
        <v>43742</v>
      </c>
      <c r="P49" s="42">
        <f t="shared" si="1"/>
        <v>43742</v>
      </c>
    </row>
    <row r="50" spans="1:18" s="41" customFormat="1" ht="25.5" x14ac:dyDescent="0.2">
      <c r="A50" s="33" t="s">
        <v>195</v>
      </c>
      <c r="B50" s="33" t="s">
        <v>70</v>
      </c>
      <c r="C50" s="33" t="s">
        <v>71</v>
      </c>
      <c r="D50" s="34">
        <v>1.5E-3</v>
      </c>
      <c r="E50" s="35">
        <f>'Aug 14'!$D50*$C$6*$C$2</f>
        <v>89565.722648999988</v>
      </c>
      <c r="F50" s="35">
        <v>158167</v>
      </c>
      <c r="G50" s="71">
        <f>'Aug 14'!$E50/'Aug 14'!$F50</f>
        <v>0.5662731331377594</v>
      </c>
      <c r="H50" s="33">
        <v>1</v>
      </c>
      <c r="I50" s="33">
        <v>1</v>
      </c>
      <c r="J50" s="37">
        <f t="shared" si="4"/>
        <v>0</v>
      </c>
      <c r="K50" s="38">
        <f>'Aug 14'!$F50*'Aug 14'!$I50</f>
        <v>158167</v>
      </c>
      <c r="L50" s="39">
        <f>'Aug 14'!$K50/$K$2</f>
        <v>2.6429941786754348E-3</v>
      </c>
      <c r="M50" s="40"/>
      <c r="N50" s="2"/>
      <c r="O50" s="2">
        <f>Table13895845679[[#This Row],[Change]]*Table13895845679[[#This Row],[Last price]]</f>
        <v>0</v>
      </c>
      <c r="P50" s="42">
        <f t="shared" si="1"/>
        <v>0</v>
      </c>
      <c r="R50" s="41" t="s">
        <v>198</v>
      </c>
    </row>
    <row r="51" spans="1:18" s="41" customFormat="1" ht="25.5" x14ac:dyDescent="0.2">
      <c r="A51" s="33" t="s">
        <v>195</v>
      </c>
      <c r="B51" s="33" t="s">
        <v>81</v>
      </c>
      <c r="C51" s="33" t="s">
        <v>82</v>
      </c>
      <c r="D51" s="34">
        <v>1.5E-3</v>
      </c>
      <c r="E51" s="35">
        <f>'Aug 14'!$D51*$C$6*$C$2</f>
        <v>89565.722648999988</v>
      </c>
      <c r="F51" s="35">
        <v>85796</v>
      </c>
      <c r="G51" s="71">
        <f>'Aug 14'!$E51/'Aug 14'!$F51</f>
        <v>1.0439382098116461</v>
      </c>
      <c r="H51" s="33">
        <v>1</v>
      </c>
      <c r="I51" s="33">
        <v>1</v>
      </c>
      <c r="J51" s="37">
        <f t="shared" si="4"/>
        <v>0</v>
      </c>
      <c r="K51" s="38">
        <f>'Aug 14'!$F51*'Aug 14'!$I51</f>
        <v>85796</v>
      </c>
      <c r="L51" s="39">
        <f>'Aug 14'!$K51/$K$2</f>
        <v>1.4336639662738597E-3</v>
      </c>
      <c r="M51" s="40"/>
      <c r="N51" s="2"/>
      <c r="O51" s="2">
        <f>Table13895845679[[#This Row],[Change]]*Table13895845679[[#This Row],[Last price]]</f>
        <v>0</v>
      </c>
      <c r="P51" s="42">
        <f t="shared" si="1"/>
        <v>0</v>
      </c>
    </row>
    <row r="52" spans="1:18" s="41" customFormat="1" ht="25.5" x14ac:dyDescent="0.2">
      <c r="A52" s="33" t="s">
        <v>195</v>
      </c>
      <c r="B52" s="33" t="s">
        <v>200</v>
      </c>
      <c r="C52" s="33" t="s">
        <v>84</v>
      </c>
      <c r="D52" s="34">
        <v>1.5E-3</v>
      </c>
      <c r="E52" s="35">
        <f>'Aug 14'!$D52*$C$6*$C$2</f>
        <v>89565.722648999988</v>
      </c>
      <c r="F52" s="35">
        <v>218479</v>
      </c>
      <c r="G52" s="71">
        <f>'Aug 14'!$E52/'Aug 14'!$F52</f>
        <v>0.40995117447901164</v>
      </c>
      <c r="H52" s="33">
        <v>1</v>
      </c>
      <c r="I52" s="33">
        <v>1</v>
      </c>
      <c r="J52" s="37">
        <f t="shared" si="4"/>
        <v>0</v>
      </c>
      <c r="K52" s="38">
        <f>'Aug 14'!$F52*'Aug 14'!$I52</f>
        <v>218479</v>
      </c>
      <c r="L52" s="39">
        <f>'Aug 14'!$K52/$K$2</f>
        <v>3.6508167010996621E-3</v>
      </c>
      <c r="M52" s="40"/>
      <c r="N52" s="2"/>
      <c r="O52" s="2">
        <f>Table13895845679[[#This Row],[Change]]*Table13895845679[[#This Row],[Last price]]</f>
        <v>0</v>
      </c>
      <c r="P52" s="42">
        <f t="shared" si="1"/>
        <v>0</v>
      </c>
    </row>
    <row r="53" spans="1:18" s="41" customFormat="1" ht="25.5" x14ac:dyDescent="0.2">
      <c r="A53" s="33" t="s">
        <v>195</v>
      </c>
      <c r="B53" s="33" t="s">
        <v>86</v>
      </c>
      <c r="C53" s="33" t="s">
        <v>87</v>
      </c>
      <c r="D53" s="34">
        <v>1.5E-3</v>
      </c>
      <c r="E53" s="35">
        <f>'Aug 14'!$D53*$C$6*$C$2</f>
        <v>89565.722648999988</v>
      </c>
      <c r="F53" s="35">
        <v>48504</v>
      </c>
      <c r="G53" s="71">
        <f>'Aug 14'!$E53/'Aug 14'!$F53</f>
        <v>1.8465636369990102</v>
      </c>
      <c r="H53" s="33">
        <v>1</v>
      </c>
      <c r="I53" s="33">
        <v>1</v>
      </c>
      <c r="J53" s="37">
        <f t="shared" si="4"/>
        <v>0</v>
      </c>
      <c r="K53" s="38">
        <f>'Aug 14'!$F53*'Aug 14'!$I53</f>
        <v>48504</v>
      </c>
      <c r="L53" s="39">
        <f>'Aug 14'!$K53/$K$2</f>
        <v>8.1050907991220213E-4</v>
      </c>
      <c r="M53" s="40"/>
      <c r="N53" s="2"/>
      <c r="O53" s="2">
        <f>Table13895845679[[#This Row],[Change]]*Table13895845679[[#This Row],[Last price]]</f>
        <v>0</v>
      </c>
      <c r="P53" s="42">
        <f t="shared" si="1"/>
        <v>0</v>
      </c>
    </row>
    <row r="54" spans="1:18" s="41" customFormat="1" ht="25.5" x14ac:dyDescent="0.2">
      <c r="A54" s="33" t="s">
        <v>195</v>
      </c>
      <c r="B54" s="33" t="s">
        <v>89</v>
      </c>
      <c r="C54" s="33" t="s">
        <v>90</v>
      </c>
      <c r="D54" s="34">
        <v>1.5E-3</v>
      </c>
      <c r="E54" s="35">
        <f>'Aug 14'!$D54*$C$6*$C$2</f>
        <v>89565.722648999988</v>
      </c>
      <c r="F54" s="35">
        <v>48135</v>
      </c>
      <c r="G54" s="71">
        <f>'Aug 14'!$E54/'Aug 14'!$F54</f>
        <v>1.8607192822062946</v>
      </c>
      <c r="H54" s="33">
        <v>1</v>
      </c>
      <c r="I54" s="33">
        <v>1</v>
      </c>
      <c r="J54" s="37">
        <f t="shared" si="4"/>
        <v>0</v>
      </c>
      <c r="K54" s="38">
        <f>'Aug 14'!$F54*'Aug 14'!$I54</f>
        <v>48135</v>
      </c>
      <c r="L54" s="39">
        <f>'Aug 14'!$K54/$K$2</f>
        <v>8.0434303483370136E-4</v>
      </c>
      <c r="M54" s="40"/>
      <c r="N54" s="2"/>
      <c r="O54" s="2">
        <f>Table13895845679[[#This Row],[Change]]*Table13895845679[[#This Row],[Last price]]</f>
        <v>0</v>
      </c>
      <c r="P54" s="42">
        <f t="shared" si="1"/>
        <v>0</v>
      </c>
    </row>
    <row r="55" spans="1:18" s="41" customFormat="1" ht="25.5" x14ac:dyDescent="0.2">
      <c r="A55" s="33" t="s">
        <v>195</v>
      </c>
      <c r="B55" s="33" t="s">
        <v>202</v>
      </c>
      <c r="C55" s="33" t="s">
        <v>92</v>
      </c>
      <c r="D55" s="34">
        <v>1.5E-3</v>
      </c>
      <c r="E55" s="35">
        <f>'Aug 14'!$D55*$C$6*$C$2</f>
        <v>89565.722648999988</v>
      </c>
      <c r="F55" s="35">
        <v>12102.666666666701</v>
      </c>
      <c r="G55" s="71">
        <f>'Aug 14'!$E55/'Aug 14'!$F55</f>
        <v>7.4004948757023028</v>
      </c>
      <c r="H55" s="33">
        <v>6</v>
      </c>
      <c r="I55" s="33">
        <v>7</v>
      </c>
      <c r="J55" s="37">
        <f t="shared" si="4"/>
        <v>1</v>
      </c>
      <c r="K55" s="38">
        <f>'Aug 14'!$F55*'Aug 14'!$I55</f>
        <v>84718.666666666904</v>
      </c>
      <c r="L55" s="39">
        <f>'Aug 14'!$K55/$K$2</f>
        <v>1.4156615654665335E-3</v>
      </c>
      <c r="M55" s="40"/>
      <c r="N55" s="2"/>
      <c r="O55" s="2">
        <f>Table13895845679[[#This Row],[Change]]*Table13895845679[[#This Row],[Last price]]</f>
        <v>12102.666666666701</v>
      </c>
      <c r="P55" s="42">
        <f t="shared" si="1"/>
        <v>12102.666666666701</v>
      </c>
    </row>
    <row r="56" spans="1:18" s="41" customFormat="1" ht="25.5" x14ac:dyDescent="0.2">
      <c r="A56" s="33" t="s">
        <v>195</v>
      </c>
      <c r="B56" s="33" t="s">
        <v>96</v>
      </c>
      <c r="C56" s="33" t="s">
        <v>97</v>
      </c>
      <c r="D56" s="34">
        <v>1.5E-3</v>
      </c>
      <c r="E56" s="35">
        <f>'Aug 14'!$D56*$C$6*$C$2</f>
        <v>89565.722648999988</v>
      </c>
      <c r="F56" s="35">
        <v>88142</v>
      </c>
      <c r="G56" s="71">
        <f>'Aug 14'!$E56/'Aug 14'!$F56</f>
        <v>1.0161526020398901</v>
      </c>
      <c r="H56" s="33">
        <v>1</v>
      </c>
      <c r="I56" s="33">
        <v>1</v>
      </c>
      <c r="J56" s="37">
        <f t="shared" si="4"/>
        <v>0</v>
      </c>
      <c r="K56" s="38">
        <f>'Aug 14'!$F56*'Aug 14'!$I56</f>
        <v>88142</v>
      </c>
      <c r="L56" s="39">
        <f>'Aug 14'!$K56/$K$2</f>
        <v>1.4728659764477428E-3</v>
      </c>
      <c r="M56" s="40"/>
      <c r="N56" s="2"/>
      <c r="O56" s="2">
        <f>Table13895845679[[#This Row],[Change]]*Table13895845679[[#This Row],[Last price]]</f>
        <v>0</v>
      </c>
      <c r="P56" s="42">
        <f t="shared" si="1"/>
        <v>0</v>
      </c>
    </row>
    <row r="57" spans="1:18" ht="26.25" x14ac:dyDescent="0.25">
      <c r="A57" s="33" t="s">
        <v>195</v>
      </c>
      <c r="B57" s="60" t="s">
        <v>123</v>
      </c>
      <c r="C57" s="60" t="s">
        <v>124</v>
      </c>
      <c r="D57" s="34">
        <v>1.5E-3</v>
      </c>
      <c r="E57" s="35">
        <f>'Aug 14'!$D57*$C$6*$C$2</f>
        <v>89565.722648999988</v>
      </c>
      <c r="F57" s="35">
        <v>59249</v>
      </c>
      <c r="G57" s="71">
        <f>'Aug 14'!$E57/'Aug 14'!$F57</f>
        <v>1.5116832798697022</v>
      </c>
      <c r="H57" s="33">
        <v>1</v>
      </c>
      <c r="I57" s="33">
        <v>1</v>
      </c>
      <c r="J57" s="37">
        <f t="shared" si="4"/>
        <v>0</v>
      </c>
      <c r="K57" s="38">
        <f>'Aug 14'!$F57*'Aug 14'!$I57</f>
        <v>59249</v>
      </c>
      <c r="L57" s="39">
        <f>'Aug 14'!$K57/$K$2</f>
        <v>9.9005963375635138E-4</v>
      </c>
      <c r="M57" s="62"/>
      <c r="O57" s="2">
        <f>Table13895845679[[#This Row],[Change]]*Table13895845679[[#This Row],[Last price]]</f>
        <v>0</v>
      </c>
      <c r="P57" s="42">
        <f t="shared" si="1"/>
        <v>0</v>
      </c>
    </row>
    <row r="58" spans="1:18" s="41" customFormat="1" ht="25.5" x14ac:dyDescent="0.2">
      <c r="A58" s="33" t="s">
        <v>195</v>
      </c>
      <c r="B58" s="33" t="s">
        <v>205</v>
      </c>
      <c r="C58" s="33" t="s">
        <v>95</v>
      </c>
      <c r="D58" s="34">
        <v>1.5E-3</v>
      </c>
      <c r="E58" s="35">
        <f>'Aug 14'!$D58*$C$6*$C$2</f>
        <v>89565.722648999988</v>
      </c>
      <c r="F58" s="35">
        <v>133150</v>
      </c>
      <c r="G58" s="71">
        <f>'Aug 14'!$E58/'Aug 14'!$F58</f>
        <v>0.67266783814494924</v>
      </c>
      <c r="H58" s="33">
        <v>1</v>
      </c>
      <c r="I58" s="33">
        <v>1</v>
      </c>
      <c r="J58" s="37">
        <f t="shared" si="4"/>
        <v>0</v>
      </c>
      <c r="K58" s="38">
        <f>'Aug 14'!$F58*'Aug 14'!$I58</f>
        <v>133150</v>
      </c>
      <c r="L58" s="39">
        <f>'Aug 14'!$K58/$K$2</f>
        <v>2.2249563745321975E-3</v>
      </c>
      <c r="M58" s="40"/>
      <c r="N58" s="2"/>
      <c r="O58" s="2">
        <f>Table13895845679[[#This Row],[Change]]*Table13895845679[[#This Row],[Last price]]</f>
        <v>0</v>
      </c>
      <c r="P58" s="42">
        <f t="shared" si="1"/>
        <v>0</v>
      </c>
    </row>
    <row r="59" spans="1:18" s="41" customFormat="1" ht="12.75" x14ac:dyDescent="0.2">
      <c r="A59" s="33"/>
      <c r="B59" s="33"/>
      <c r="C59" s="33"/>
      <c r="D59" s="34"/>
      <c r="E59" s="35"/>
      <c r="F59" s="35"/>
      <c r="G59" s="36"/>
      <c r="H59" s="33"/>
      <c r="I59" s="33"/>
      <c r="J59" s="40"/>
      <c r="K59" s="38"/>
      <c r="L59" s="39"/>
      <c r="M59" s="40"/>
      <c r="N59" s="2"/>
      <c r="O59" s="2">
        <f>Table13895845679[[#This Row],[Change]]*Table13895845679[[#This Row],[Last price]]</f>
        <v>0</v>
      </c>
      <c r="P59" s="42">
        <f t="shared" si="1"/>
        <v>0</v>
      </c>
    </row>
    <row r="60" spans="1:18" s="41" customFormat="1" ht="12.75" x14ac:dyDescent="0.2">
      <c r="A60" s="33"/>
      <c r="B60" s="33"/>
      <c r="C60" s="33"/>
      <c r="D60" s="34"/>
      <c r="E60" s="35"/>
      <c r="F60" s="35"/>
      <c r="G60" s="36"/>
      <c r="H60" s="33"/>
      <c r="I60" s="33"/>
      <c r="J60" s="40"/>
      <c r="K60" s="38"/>
      <c r="L60" s="39"/>
      <c r="M60" s="40"/>
      <c r="N60" s="2"/>
      <c r="O60" s="2">
        <f>Table13895845679[[#This Row],[Change]]*Table13895845679[[#This Row],[Last price]]</f>
        <v>0</v>
      </c>
      <c r="P60" s="42">
        <f t="shared" si="1"/>
        <v>0</v>
      </c>
    </row>
    <row r="61" spans="1:18" s="41" customFormat="1" ht="12.75" x14ac:dyDescent="0.2">
      <c r="A61" s="33"/>
      <c r="B61" s="33"/>
      <c r="C61" s="33"/>
      <c r="D61" s="34"/>
      <c r="E61" s="35"/>
      <c r="F61" s="35"/>
      <c r="G61" s="36"/>
      <c r="H61" s="33"/>
      <c r="I61" s="33"/>
      <c r="J61" s="40"/>
      <c r="K61" s="38"/>
      <c r="L61" s="39"/>
      <c r="M61" s="40"/>
      <c r="N61" s="2"/>
      <c r="O61" s="2">
        <f>Table13895845679[[#This Row],[Change]]*Table13895845679[[#This Row],[Last price]]</f>
        <v>0</v>
      </c>
      <c r="P61" s="42">
        <f t="shared" si="1"/>
        <v>0</v>
      </c>
    </row>
    <row r="62" spans="1:18" s="41" customFormat="1" ht="12.75" x14ac:dyDescent="0.2">
      <c r="A62" s="33"/>
      <c r="B62" s="33"/>
      <c r="C62" s="33"/>
      <c r="D62" s="34"/>
      <c r="E62" s="35"/>
      <c r="F62" s="35"/>
      <c r="G62" s="36"/>
      <c r="H62" s="33"/>
      <c r="I62" s="33"/>
      <c r="J62" s="40"/>
      <c r="K62" s="38"/>
      <c r="L62" s="39"/>
      <c r="M62" s="40"/>
      <c r="N62" s="2"/>
      <c r="O62" s="2">
        <f>Table13895845679[[#This Row],[Change]]*Table13895845679[[#This Row],[Last price]]</f>
        <v>0</v>
      </c>
      <c r="P62" s="42">
        <f t="shared" si="1"/>
        <v>0</v>
      </c>
    </row>
    <row r="63" spans="1:18" s="41" customFormat="1" ht="12.75" x14ac:dyDescent="0.2">
      <c r="A63" s="33"/>
      <c r="B63" s="33"/>
      <c r="C63" s="33"/>
      <c r="D63" s="34"/>
      <c r="E63" s="35"/>
      <c r="F63" s="35"/>
      <c r="G63" s="36"/>
      <c r="H63" s="33"/>
      <c r="I63" s="33"/>
      <c r="J63" s="40"/>
      <c r="K63" s="38"/>
      <c r="L63" s="39"/>
      <c r="M63" s="40"/>
      <c r="N63" s="2"/>
      <c r="O63" s="2">
        <f>Table13895845679[[#This Row],[Change]]*Table13895845679[[#This Row],[Last price]]</f>
        <v>0</v>
      </c>
      <c r="P63" s="42">
        <f t="shared" si="1"/>
        <v>0</v>
      </c>
    </row>
    <row r="64" spans="1:18" s="41" customFormat="1" ht="12.75" x14ac:dyDescent="0.2">
      <c r="A64" s="33"/>
      <c r="B64" s="33"/>
      <c r="C64" s="33"/>
      <c r="D64" s="34"/>
      <c r="E64" s="35"/>
      <c r="F64" s="35"/>
      <c r="G64" s="36"/>
      <c r="H64" s="33"/>
      <c r="I64" s="33"/>
      <c r="J64" s="40"/>
      <c r="K64" s="38"/>
      <c r="L64" s="39"/>
      <c r="M64" s="40"/>
      <c r="N64" s="2"/>
      <c r="O64" s="2">
        <f>Table13895845679[[#This Row],[Change]]*Table13895845679[[#This Row],[Last price]]</f>
        <v>0</v>
      </c>
      <c r="P64" s="42">
        <f t="shared" si="1"/>
        <v>0</v>
      </c>
    </row>
    <row r="65" spans="1:16" s="41" customFormat="1" ht="12.75" x14ac:dyDescent="0.2">
      <c r="A65" s="33"/>
      <c r="B65" s="33"/>
      <c r="C65" s="33"/>
      <c r="D65" s="34"/>
      <c r="E65" s="35"/>
      <c r="F65" s="35"/>
      <c r="G65" s="36"/>
      <c r="H65" s="33"/>
      <c r="I65" s="33"/>
      <c r="J65" s="40"/>
      <c r="K65" s="38"/>
      <c r="L65" s="39"/>
      <c r="M65" s="40"/>
      <c r="N65" s="2"/>
      <c r="O65" s="2">
        <f>Table13895845679[[#This Row],[Change]]*Table13895845679[[#This Row],[Last price]]</f>
        <v>0</v>
      </c>
      <c r="P65" s="42">
        <f t="shared" si="1"/>
        <v>0</v>
      </c>
    </row>
    <row r="66" spans="1:16" s="15" customFormat="1" ht="12.75" x14ac:dyDescent="0.2">
      <c r="A66" s="47" t="s">
        <v>206</v>
      </c>
      <c r="B66" s="65"/>
      <c r="C66" s="65"/>
      <c r="D66" s="72">
        <f>SUM(D49:D65)</f>
        <v>1.4999999999999998E-2</v>
      </c>
      <c r="E66" s="49">
        <f>SUM(E48:E65)</f>
        <v>895657.22648999991</v>
      </c>
      <c r="F66" s="70"/>
      <c r="G66" s="70"/>
      <c r="H66" s="65"/>
      <c r="I66" s="65"/>
      <c r="J66" s="47"/>
      <c r="K66" s="49">
        <f>SUM(K48:K65)</f>
        <v>1011824.6666666669</v>
      </c>
      <c r="L66" s="53">
        <f>'Aug 14'!$K66/$K$2</f>
        <v>1.6907741209229565E-2</v>
      </c>
      <c r="M66" s="50"/>
      <c r="O66" s="41"/>
      <c r="P66" s="41"/>
    </row>
    <row r="67" spans="1:16" x14ac:dyDescent="0.25">
      <c r="A67" s="33"/>
      <c r="B67" s="60"/>
      <c r="C67" s="60"/>
      <c r="D67" s="73"/>
      <c r="E67" s="35"/>
      <c r="F67" s="35"/>
      <c r="G67" s="36"/>
      <c r="H67" s="60"/>
      <c r="I67" s="60"/>
      <c r="J67" s="33"/>
      <c r="K67" s="33"/>
      <c r="L67" s="39"/>
      <c r="M67" s="62"/>
      <c r="O67" s="41"/>
      <c r="P67" s="41"/>
    </row>
    <row r="68" spans="1:16" x14ac:dyDescent="0.25">
      <c r="A68" s="33"/>
      <c r="B68" s="60"/>
      <c r="C68" s="60"/>
      <c r="D68" s="74"/>
      <c r="E68" s="63"/>
      <c r="F68" s="35"/>
      <c r="G68" s="61"/>
      <c r="H68" s="60"/>
      <c r="I68" s="60"/>
      <c r="J68" s="33"/>
      <c r="K68" s="33"/>
      <c r="L68" s="39"/>
      <c r="M68" s="62"/>
      <c r="O68" s="41"/>
      <c r="P68" s="41"/>
    </row>
    <row r="69" spans="1:16" s="15" customFormat="1" ht="12.75" x14ac:dyDescent="0.2">
      <c r="A69" s="47" t="s">
        <v>207</v>
      </c>
      <c r="B69" s="65"/>
      <c r="C69" s="65"/>
      <c r="D69" s="65"/>
      <c r="E69" s="75"/>
      <c r="F69" s="65"/>
      <c r="G69" s="65"/>
      <c r="H69" s="65"/>
      <c r="I69" s="65"/>
      <c r="J69" s="65"/>
      <c r="K69" s="75">
        <f>SUM(K23,K25,K35,K46,K66)</f>
        <v>59843869.985089079</v>
      </c>
      <c r="L69" s="53">
        <f>'Aug 14'!$K69/$K$2</f>
        <v>1</v>
      </c>
      <c r="M69" s="65"/>
      <c r="O69" s="41"/>
      <c r="P69" s="41"/>
    </row>
    <row r="70" spans="1:16" x14ac:dyDescent="0.25">
      <c r="A70" s="62"/>
      <c r="B70" s="62"/>
      <c r="C70" s="62"/>
      <c r="D70" s="76"/>
      <c r="E70" s="77"/>
      <c r="F70" s="35"/>
      <c r="G70" s="78"/>
      <c r="H70" s="62"/>
      <c r="I70" s="62"/>
      <c r="J70" s="62"/>
      <c r="K70" s="62"/>
      <c r="L70" s="39"/>
      <c r="M70" s="62"/>
      <c r="O70" s="41"/>
      <c r="P70" s="41"/>
    </row>
    <row r="71" spans="1:16" x14ac:dyDescent="0.25">
      <c r="A71" s="62"/>
      <c r="B71" s="62"/>
      <c r="C71" s="62"/>
      <c r="D71" s="76"/>
      <c r="E71" s="77"/>
      <c r="F71" s="35"/>
      <c r="G71" s="78"/>
      <c r="H71" s="62"/>
      <c r="I71" s="62"/>
      <c r="J71" s="62"/>
      <c r="K71" s="62"/>
      <c r="L71" s="39"/>
      <c r="M71" s="62"/>
      <c r="O71" s="41"/>
      <c r="P71" s="41"/>
    </row>
    <row r="72" spans="1:16" x14ac:dyDescent="0.25">
      <c r="A72" s="62"/>
      <c r="B72" s="62"/>
      <c r="C72" s="62"/>
      <c r="D72" s="76"/>
      <c r="E72" s="77"/>
      <c r="F72" s="35"/>
      <c r="G72" s="78"/>
      <c r="H72" s="62"/>
      <c r="I72" s="62"/>
      <c r="J72" s="62"/>
      <c r="K72" s="62"/>
      <c r="L72" s="39"/>
      <c r="M72" s="62"/>
      <c r="O72" s="41"/>
      <c r="P72" s="41"/>
    </row>
    <row r="73" spans="1:16" x14ac:dyDescent="0.25">
      <c r="A73" s="62"/>
      <c r="B73" s="62"/>
      <c r="C73" s="62"/>
      <c r="D73" s="76"/>
      <c r="E73" s="77"/>
      <c r="F73" s="35"/>
      <c r="G73" s="78"/>
      <c r="H73" s="62"/>
      <c r="I73" s="62"/>
      <c r="J73" s="62"/>
      <c r="K73" s="62"/>
      <c r="L73" s="39"/>
      <c r="M73" s="62"/>
      <c r="O73" s="15"/>
      <c r="P73" s="15"/>
    </row>
    <row r="74" spans="1:16" x14ac:dyDescent="0.25">
      <c r="A74" s="62"/>
      <c r="B74" s="62"/>
      <c r="C74" s="62"/>
      <c r="D74" s="76"/>
      <c r="E74" s="77"/>
      <c r="F74" s="35"/>
      <c r="G74" s="78"/>
      <c r="H74" s="62"/>
      <c r="I74" s="62"/>
      <c r="J74" s="62"/>
      <c r="K74" s="62"/>
      <c r="L74" s="39"/>
      <c r="M74" s="62"/>
    </row>
    <row r="75" spans="1:16" x14ac:dyDescent="0.25">
      <c r="A75" s="62"/>
      <c r="B75" s="62"/>
      <c r="C75" s="62"/>
      <c r="D75" s="76"/>
      <c r="E75" s="77"/>
      <c r="F75" s="35"/>
      <c r="G75" s="78"/>
      <c r="H75" s="62"/>
      <c r="I75" s="62"/>
      <c r="J75" s="62"/>
      <c r="K75" s="62"/>
      <c r="L75" s="39"/>
      <c r="M75" s="62"/>
    </row>
    <row r="76" spans="1:16" x14ac:dyDescent="0.25">
      <c r="A76" s="62"/>
      <c r="B76" s="62"/>
      <c r="C76" s="62"/>
      <c r="D76" s="76"/>
      <c r="E76" s="77"/>
      <c r="F76" s="35"/>
      <c r="G76" s="78"/>
      <c r="H76" s="62"/>
      <c r="I76" s="62"/>
      <c r="J76" s="62"/>
      <c r="K76" s="62"/>
      <c r="L76" s="39"/>
      <c r="M76" s="62"/>
      <c r="O76" s="15"/>
      <c r="P76" s="15"/>
    </row>
    <row r="77" spans="1:16" x14ac:dyDescent="0.25">
      <c r="A77" s="62"/>
      <c r="B77" s="62"/>
      <c r="C77" s="62"/>
      <c r="D77" s="76"/>
      <c r="E77" s="77"/>
      <c r="F77" s="35"/>
      <c r="G77" s="78"/>
      <c r="H77" s="62"/>
      <c r="I77" s="62"/>
      <c r="J77" s="62"/>
      <c r="K77" s="62"/>
      <c r="L77" s="39"/>
      <c r="M77" s="62"/>
    </row>
    <row r="78" spans="1:16" x14ac:dyDescent="0.25">
      <c r="A78" s="62"/>
      <c r="B78" s="62"/>
      <c r="C78" s="62"/>
      <c r="D78" s="76"/>
      <c r="E78" s="77"/>
      <c r="F78" s="35"/>
      <c r="G78" s="78"/>
      <c r="H78" s="62"/>
      <c r="I78" s="62"/>
      <c r="J78" s="62"/>
      <c r="K78" s="62"/>
      <c r="L78" s="39"/>
      <c r="M78" s="62"/>
    </row>
    <row r="79" spans="1:16" s="2" customFormat="1" ht="12.75" x14ac:dyDescent="0.2"/>
    <row r="80" spans="1:16" s="2" customFormat="1" ht="12.75" x14ac:dyDescent="0.2"/>
    <row r="82" spans="1:13" s="2" customFormat="1" ht="12.75" x14ac:dyDescent="0.2">
      <c r="A82" s="79"/>
      <c r="B82" s="79"/>
      <c r="E82" s="79"/>
      <c r="F82" s="79"/>
      <c r="G82" s="79"/>
      <c r="H82" s="80"/>
      <c r="M82" s="79"/>
    </row>
    <row r="83" spans="1:13" s="2" customFormat="1" ht="12.75" x14ac:dyDescent="0.2">
      <c r="A83" s="79"/>
      <c r="B83" s="79"/>
      <c r="E83" s="79"/>
      <c r="F83" s="79"/>
      <c r="G83" s="79"/>
      <c r="H83" s="80"/>
      <c r="M83" s="79"/>
    </row>
    <row r="84" spans="1:13" s="2" customFormat="1" ht="12.75" x14ac:dyDescent="0.2">
      <c r="A84" s="81"/>
      <c r="B84" s="81"/>
    </row>
    <row r="85" spans="1:13" s="2" customFormat="1" ht="12.75" x14ac:dyDescent="0.2">
      <c r="A85" s="82"/>
      <c r="B85" s="82"/>
      <c r="E85" s="82"/>
      <c r="F85" s="81"/>
      <c r="G85" s="81"/>
      <c r="M85" s="83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5"/>
  <sheetViews>
    <sheetView zoomScaleNormal="100" workbookViewId="0">
      <pane xSplit="2" topLeftCell="E1" activePane="topRight" state="frozen"/>
      <selection pane="topRight" activeCell="P7" sqref="P7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4" width="10.5703125" style="2" customWidth="1"/>
    <col min="15" max="15" width="13" style="2" customWidth="1"/>
    <col min="16" max="16" width="13.7109375" style="2" bestFit="1" customWidth="1"/>
    <col min="17" max="18" width="10.85546875" style="2" customWidth="1"/>
    <col min="19" max="19" width="11.28515625" style="2" customWidth="1"/>
    <col min="20" max="1024" width="9.140625" style="2"/>
  </cols>
  <sheetData>
    <row r="1" spans="1:19" s="2" customFormat="1" ht="25.5" x14ac:dyDescent="0.2">
      <c r="A1" s="3"/>
      <c r="B1" s="3" t="s">
        <v>137</v>
      </c>
      <c r="C1" s="4">
        <v>44061</v>
      </c>
      <c r="D1" s="5"/>
      <c r="E1" s="6" t="s">
        <v>138</v>
      </c>
      <c r="F1" s="7"/>
      <c r="G1" s="8"/>
      <c r="K1" s="9" t="s">
        <v>139</v>
      </c>
      <c r="L1" s="9" t="s">
        <v>140</v>
      </c>
      <c r="M1" s="10" t="s">
        <v>141</v>
      </c>
    </row>
    <row r="2" spans="1:19" x14ac:dyDescent="0.25">
      <c r="A2" s="3"/>
      <c r="B2" s="3" t="s">
        <v>142</v>
      </c>
      <c r="C2" s="11">
        <v>8.07</v>
      </c>
      <c r="D2" s="12"/>
      <c r="E2" s="13">
        <f>SUM(E23,E35,E46,E66,E25)</f>
        <v>64353159.705431521</v>
      </c>
      <c r="F2" s="14"/>
      <c r="G2" s="15"/>
      <c r="H2" s="12"/>
      <c r="I2" s="12"/>
      <c r="J2" s="12"/>
      <c r="K2" s="13">
        <f>SUM(K23,K35,K46,K66,K25)</f>
        <v>64179211.019845076</v>
      </c>
      <c r="L2" s="16">
        <f>SUM(L46,L66,L35,L23,L25)</f>
        <v>0.99999999999999989</v>
      </c>
      <c r="M2" s="17">
        <f>K2/$C$6</f>
        <v>8.0481543345493929</v>
      </c>
      <c r="P2" s="18"/>
    </row>
    <row r="3" spans="1:19" ht="26.25" x14ac:dyDescent="0.25">
      <c r="A3" s="3"/>
      <c r="B3" s="3" t="s">
        <v>143</v>
      </c>
      <c r="C3" s="19">
        <v>7974401.1299999999</v>
      </c>
      <c r="D3" s="20"/>
      <c r="E3" s="6" t="s">
        <v>144</v>
      </c>
      <c r="F3" s="14"/>
      <c r="G3" s="15"/>
      <c r="H3" s="12"/>
      <c r="I3" s="12"/>
      <c r="J3" s="12"/>
      <c r="K3" s="9" t="s">
        <v>139</v>
      </c>
      <c r="L3" s="12"/>
      <c r="M3" s="10" t="s">
        <v>145</v>
      </c>
      <c r="P3" s="21"/>
    </row>
    <row r="4" spans="1:19" x14ac:dyDescent="0.25">
      <c r="A4" s="3"/>
      <c r="B4" s="3" t="s">
        <v>146</v>
      </c>
      <c r="C4" s="19">
        <v>0</v>
      </c>
      <c r="D4" s="20"/>
      <c r="E4" s="13">
        <f>SUM(E23,E66,E25)</f>
        <v>11261654.935591143</v>
      </c>
      <c r="F4" s="14"/>
      <c r="G4" s="15"/>
      <c r="H4" s="12"/>
      <c r="I4" s="12"/>
      <c r="J4" s="12"/>
      <c r="K4" s="13">
        <f>SUM(K23,K25,K66)</f>
        <v>11327386.973424885</v>
      </c>
      <c r="L4" s="12"/>
      <c r="M4" s="17">
        <f>K4/$C$6</f>
        <v>1.420468670783418</v>
      </c>
      <c r="P4" s="21"/>
    </row>
    <row r="5" spans="1:19" x14ac:dyDescent="0.25">
      <c r="A5" s="3"/>
      <c r="B5" s="3" t="s">
        <v>147</v>
      </c>
      <c r="C5" s="19">
        <v>0</v>
      </c>
      <c r="D5" s="20"/>
      <c r="E5" s="14"/>
      <c r="F5" s="14"/>
      <c r="G5" s="15"/>
      <c r="H5" s="12"/>
      <c r="I5" s="12"/>
      <c r="J5" s="12"/>
      <c r="K5" s="12"/>
      <c r="L5" s="12"/>
      <c r="M5" s="12"/>
      <c r="P5" s="21"/>
    </row>
    <row r="6" spans="1:19" x14ac:dyDescent="0.25">
      <c r="A6" s="3"/>
      <c r="B6" s="3" t="s">
        <v>148</v>
      </c>
      <c r="C6" s="19">
        <f>C3+C4-C5</f>
        <v>7974401.1299999999</v>
      </c>
      <c r="D6" s="20"/>
      <c r="E6" s="14"/>
      <c r="F6" s="14"/>
      <c r="G6" s="15"/>
      <c r="H6" s="12"/>
      <c r="I6" s="12"/>
      <c r="J6" s="12"/>
      <c r="K6" s="12"/>
      <c r="L6" s="12"/>
      <c r="M6" s="12"/>
      <c r="P6" s="21"/>
    </row>
    <row r="7" spans="1:19" x14ac:dyDescent="0.25">
      <c r="A7" s="22"/>
      <c r="B7" s="23"/>
      <c r="C7" s="23"/>
      <c r="D7" s="24"/>
      <c r="E7" s="25"/>
      <c r="F7" s="25"/>
      <c r="G7" s="25"/>
      <c r="H7" s="26"/>
      <c r="I7" s="26"/>
      <c r="J7" s="26"/>
      <c r="K7" s="12"/>
      <c r="L7" s="12"/>
      <c r="M7" s="12"/>
      <c r="P7" s="219">
        <f>SUM(P9:P65)/2</f>
        <v>1995098.509922534</v>
      </c>
    </row>
    <row r="8" spans="1:19" s="30" customFormat="1" ht="38.25" x14ac:dyDescent="0.2">
      <c r="A8" s="27" t="s">
        <v>149</v>
      </c>
      <c r="B8" s="27" t="s">
        <v>150</v>
      </c>
      <c r="C8" s="28" t="s">
        <v>1</v>
      </c>
      <c r="D8" s="28" t="s">
        <v>151</v>
      </c>
      <c r="E8" s="28" t="s">
        <v>152</v>
      </c>
      <c r="F8" s="28" t="s">
        <v>153</v>
      </c>
      <c r="G8" s="28" t="s">
        <v>154</v>
      </c>
      <c r="H8" s="28" t="s">
        <v>155</v>
      </c>
      <c r="I8" s="28" t="s">
        <v>156</v>
      </c>
      <c r="J8" s="28" t="s">
        <v>157</v>
      </c>
      <c r="K8" s="29" t="s">
        <v>158</v>
      </c>
      <c r="L8" s="29" t="s">
        <v>159</v>
      </c>
      <c r="M8" s="29" t="s">
        <v>160</v>
      </c>
      <c r="P8" s="31"/>
      <c r="S8" s="32"/>
    </row>
    <row r="9" spans="1:19" s="41" customFormat="1" ht="12.75" x14ac:dyDescent="0.2">
      <c r="A9" s="33" t="s">
        <v>161</v>
      </c>
      <c r="B9" s="33" t="s">
        <v>41</v>
      </c>
      <c r="C9" s="33" t="s">
        <v>42</v>
      </c>
      <c r="D9" s="34">
        <v>5.4169999999999999E-3</v>
      </c>
      <c r="E9" s="35">
        <f>'Aug 18'!$D9*$C$6*$C$2</f>
        <v>348602.46053416468</v>
      </c>
      <c r="F9" s="35">
        <v>496.75036927621898</v>
      </c>
      <c r="G9" s="36">
        <f>'Aug 18'!$E9/'Aug 18'!$F9</f>
        <v>701.76588100395281</v>
      </c>
      <c r="H9" s="33">
        <v>677</v>
      </c>
      <c r="I9" s="33">
        <v>702</v>
      </c>
      <c r="J9" s="37">
        <f t="shared" ref="J9:J21" si="0">I9-H9</f>
        <v>25</v>
      </c>
      <c r="K9" s="38">
        <f>'Aug 18'!$F9*'Aug 18'!$I9</f>
        <v>348718.75923190574</v>
      </c>
      <c r="L9" s="39">
        <f>'Aug 18'!$K9/$K$2</f>
        <v>5.4335158330955048E-3</v>
      </c>
      <c r="M9" s="40"/>
      <c r="O9" s="2">
        <f>Table138958456799[[#This Row],[Change]]*Table138958456799[[#This Row],[Last price]]</f>
        <v>12418.759231905475</v>
      </c>
      <c r="P9" s="42">
        <f>ABS(O9)</f>
        <v>12418.759231905475</v>
      </c>
    </row>
    <row r="10" spans="1:19" s="41" customFormat="1" ht="25.5" customHeight="1" x14ac:dyDescent="0.2">
      <c r="A10" s="33" t="s">
        <v>161</v>
      </c>
      <c r="B10" s="33" t="s">
        <v>47</v>
      </c>
      <c r="C10" s="33" t="s">
        <v>48</v>
      </c>
      <c r="D10" s="34">
        <v>1.0833000000000001E-2</v>
      </c>
      <c r="E10" s="35">
        <f>'Aug 18'!$D10*$C$6*$C$2</f>
        <v>697140.56765121035</v>
      </c>
      <c r="F10" s="35">
        <v>620.80078508341501</v>
      </c>
      <c r="G10" s="36">
        <f>'Aug 18'!$E10/'Aug 18'!$F10</f>
        <v>1122.9698550679793</v>
      </c>
      <c r="H10" s="33">
        <v>1019</v>
      </c>
      <c r="I10" s="33">
        <v>1123</v>
      </c>
      <c r="J10" s="37">
        <f t="shared" si="0"/>
        <v>104</v>
      </c>
      <c r="K10" s="38">
        <f>'Aug 18'!$F10*'Aug 18'!$I10</f>
        <v>697159.2816486751</v>
      </c>
      <c r="L10" s="39">
        <f>'Aug 18'!$K10/$K$2</f>
        <v>1.0862696355570717E-2</v>
      </c>
      <c r="M10" s="40"/>
      <c r="O10" s="2">
        <f>Table138958456799[[#This Row],[Change]]*Table138958456799[[#This Row],[Last price]]</f>
        <v>64563.281648675162</v>
      </c>
      <c r="P10" s="42">
        <f t="shared" ref="P10:P65" si="1">ABS(O10)</f>
        <v>64563.281648675162</v>
      </c>
    </row>
    <row r="11" spans="1:19" s="41" customFormat="1" ht="12.75" customHeight="1" x14ac:dyDescent="0.2">
      <c r="A11" s="33" t="s">
        <v>161</v>
      </c>
      <c r="B11" s="33" t="s">
        <v>50</v>
      </c>
      <c r="C11" s="33" t="s">
        <v>51</v>
      </c>
      <c r="D11" s="34">
        <v>1.0833000000000001E-2</v>
      </c>
      <c r="E11" s="35">
        <f>'Aug 18'!$D11*$C$6*$C$2</f>
        <v>697140.56765121035</v>
      </c>
      <c r="F11" s="35">
        <v>1835</v>
      </c>
      <c r="G11" s="36">
        <f>'Aug 18'!$E11/'Aug 18'!$F11</f>
        <v>379.91311588621818</v>
      </c>
      <c r="H11" s="33">
        <v>380</v>
      </c>
      <c r="I11" s="33">
        <v>380</v>
      </c>
      <c r="J11" s="37">
        <f t="shared" si="0"/>
        <v>0</v>
      </c>
      <c r="K11" s="38">
        <f>'Aug 18'!$F11*'Aug 18'!$I11</f>
        <v>697300</v>
      </c>
      <c r="L11" s="39">
        <f>'Aug 18'!$K11/$K$2</f>
        <v>1.0864888940195688E-2</v>
      </c>
      <c r="M11" s="40"/>
      <c r="O11" s="2">
        <f>Table138958456799[[#This Row],[Change]]*Table138958456799[[#This Row],[Last price]]</f>
        <v>0</v>
      </c>
      <c r="P11" s="42">
        <f t="shared" si="1"/>
        <v>0</v>
      </c>
    </row>
    <row r="12" spans="1:19" s="41" customFormat="1" ht="12.75" customHeight="1" x14ac:dyDescent="0.2">
      <c r="A12" s="33" t="s">
        <v>161</v>
      </c>
      <c r="B12" s="33" t="s">
        <v>61</v>
      </c>
      <c r="C12" s="33" t="s">
        <v>62</v>
      </c>
      <c r="D12" s="34">
        <v>1.0833000000000001E-2</v>
      </c>
      <c r="E12" s="35">
        <f>'Aug 18'!$D12*$C$6*$C$2</f>
        <v>697140.56765121035</v>
      </c>
      <c r="F12" s="35">
        <v>459</v>
      </c>
      <c r="G12" s="36">
        <f>'Aug 18'!$E12/'Aug 18'!$F12</f>
        <v>1518.8247661246412</v>
      </c>
      <c r="H12" s="33">
        <v>1353</v>
      </c>
      <c r="I12" s="33">
        <v>1519</v>
      </c>
      <c r="J12" s="37">
        <f t="shared" si="0"/>
        <v>166</v>
      </c>
      <c r="K12" s="38">
        <f>'Aug 18'!$F12*'Aug 18'!$I12</f>
        <v>697221</v>
      </c>
      <c r="L12" s="39">
        <f>'Aug 18'!$K12/$K$2</f>
        <v>1.0863658012006566E-2</v>
      </c>
      <c r="M12" s="40"/>
      <c r="O12" s="2">
        <f>Table138958456799[[#This Row],[Change]]*Table138958456799[[#This Row],[Last price]]</f>
        <v>76194</v>
      </c>
      <c r="P12" s="42">
        <f t="shared" si="1"/>
        <v>76194</v>
      </c>
    </row>
    <row r="13" spans="1:19" s="41" customFormat="1" ht="12.75" customHeight="1" x14ac:dyDescent="0.2">
      <c r="A13" s="33" t="s">
        <v>161</v>
      </c>
      <c r="B13" s="33" t="s">
        <v>164</v>
      </c>
      <c r="C13" s="33" t="s">
        <v>165</v>
      </c>
      <c r="D13" s="34">
        <v>1.0833000000000001E-2</v>
      </c>
      <c r="E13" s="35">
        <f>'Aug 18'!$D13*$C$6*$C$2</f>
        <v>697140.56765121035</v>
      </c>
      <c r="F13" s="35">
        <v>440.92022393282002</v>
      </c>
      <c r="G13" s="36">
        <f>'Aug 18'!$E13/'Aug 18'!$F13</f>
        <v>1581.1036323827796</v>
      </c>
      <c r="H13" s="33">
        <v>1429</v>
      </c>
      <c r="I13" s="33">
        <v>1581</v>
      </c>
      <c r="J13" s="37">
        <f t="shared" si="0"/>
        <v>152</v>
      </c>
      <c r="K13" s="38">
        <f>'Aug 18'!$F13*'Aug 18'!$I13</f>
        <v>697094.87403778848</v>
      </c>
      <c r="L13" s="39">
        <f>'Aug 18'!$K13/$K$2</f>
        <v>1.0861692796788003E-2</v>
      </c>
      <c r="M13" s="40"/>
      <c r="O13" s="2">
        <f>Table138958456799[[#This Row],[Change]]*Table138958456799[[#This Row],[Last price]]</f>
        <v>67019.874037788642</v>
      </c>
      <c r="P13" s="42">
        <f t="shared" si="1"/>
        <v>67019.874037788642</v>
      </c>
    </row>
    <row r="14" spans="1:19" s="41" customFormat="1" ht="12.75" customHeight="1" x14ac:dyDescent="0.2">
      <c r="A14" s="33" t="s">
        <v>161</v>
      </c>
      <c r="B14" s="33" t="s">
        <v>53</v>
      </c>
      <c r="C14" s="33" t="s">
        <v>54</v>
      </c>
      <c r="D14" s="34">
        <v>1.0833000000000001E-2</v>
      </c>
      <c r="E14" s="35">
        <f>'Aug 18'!$D14*$C$6*$C$2</f>
        <v>697140.56765121035</v>
      </c>
      <c r="F14" s="35">
        <v>274.989827509951</v>
      </c>
      <c r="G14" s="36">
        <f>'Aug 18'!$E14/'Aug 18'!$F14</f>
        <v>2535.1503870665292</v>
      </c>
      <c r="H14" s="33">
        <v>2261</v>
      </c>
      <c r="I14" s="33">
        <v>2535</v>
      </c>
      <c r="J14" s="37">
        <f t="shared" si="0"/>
        <v>274</v>
      </c>
      <c r="K14" s="38">
        <f>'Aug 18'!$F14*'Aug 18'!$I14</f>
        <v>697099.21273772581</v>
      </c>
      <c r="L14" s="39">
        <f>'Aug 18'!$K14/$K$2</f>
        <v>1.08617603996748E-2</v>
      </c>
      <c r="M14" s="40"/>
      <c r="O14" s="2">
        <f>Table138958456799[[#This Row],[Change]]*Table138958456799[[#This Row],[Last price]]</f>
        <v>75347.212737726572</v>
      </c>
      <c r="P14" s="42">
        <f t="shared" si="1"/>
        <v>75347.212737726572</v>
      </c>
    </row>
    <row r="15" spans="1:19" s="41" customFormat="1" ht="12.75" customHeight="1" x14ac:dyDescent="0.2">
      <c r="A15" s="33" t="s">
        <v>161</v>
      </c>
      <c r="B15" s="33" t="s">
        <v>35</v>
      </c>
      <c r="C15" s="33" t="s">
        <v>36</v>
      </c>
      <c r="D15" s="34">
        <v>1.0833000000000001E-2</v>
      </c>
      <c r="E15" s="35">
        <f>'Aug 18'!$D15*$C$6*$C$2</f>
        <v>697140.56765121035</v>
      </c>
      <c r="F15" s="35">
        <v>67.309979838709694</v>
      </c>
      <c r="G15" s="36">
        <f>'Aug 18'!$E15/'Aug 18'!$F15</f>
        <v>10357.165004680148</v>
      </c>
      <c r="H15" s="33">
        <v>9920</v>
      </c>
      <c r="I15" s="33">
        <v>10357</v>
      </c>
      <c r="J15" s="37">
        <f t="shared" si="0"/>
        <v>437</v>
      </c>
      <c r="K15" s="38">
        <f>'Aug 18'!$F15*'Aug 18'!$I15</f>
        <v>697129.46118951635</v>
      </c>
      <c r="L15" s="39">
        <f>'Aug 18'!$K15/$K$2</f>
        <v>1.0862231711978424E-2</v>
      </c>
      <c r="M15" s="40"/>
      <c r="O15" s="2">
        <f>Table138958456799[[#This Row],[Change]]*Table138958456799[[#This Row],[Last price]]</f>
        <v>29414.461189516136</v>
      </c>
      <c r="P15" s="42">
        <f t="shared" si="1"/>
        <v>29414.461189516136</v>
      </c>
    </row>
    <row r="16" spans="1:19" s="44" customFormat="1" ht="12.75" customHeight="1" x14ac:dyDescent="0.2">
      <c r="A16" s="33" t="s">
        <v>161</v>
      </c>
      <c r="B16" s="43" t="s">
        <v>17</v>
      </c>
      <c r="C16" s="33" t="s">
        <v>170</v>
      </c>
      <c r="D16" s="34">
        <v>5.4169999999999999E-3</v>
      </c>
      <c r="E16" s="35">
        <f>'Aug 18'!$D16*$C$6*$C$2</f>
        <v>348602.46053416468</v>
      </c>
      <c r="F16" s="35">
        <v>82.459936742224599</v>
      </c>
      <c r="G16" s="36">
        <f>'Aug 18'!$E16/'Aug 18'!$F16</f>
        <v>4227.5373266889574</v>
      </c>
      <c r="H16" s="33">
        <v>3794</v>
      </c>
      <c r="I16" s="33">
        <v>4228</v>
      </c>
      <c r="J16" s="37">
        <f t="shared" si="0"/>
        <v>434</v>
      </c>
      <c r="K16" s="38">
        <f>'Aug 18'!$F16*'Aug 18'!$I16</f>
        <v>348640.6125461256</v>
      </c>
      <c r="L16" s="39">
        <f>'Aug 18'!$K16/$K$2</f>
        <v>5.4322982007105267E-3</v>
      </c>
      <c r="M16" s="33"/>
      <c r="O16" s="2">
        <f>Table138958456799[[#This Row],[Change]]*Table138958456799[[#This Row],[Last price]]</f>
        <v>35787.612546125478</v>
      </c>
      <c r="P16" s="42">
        <f t="shared" si="1"/>
        <v>35787.612546125478</v>
      </c>
    </row>
    <row r="17" spans="1:17" s="44" customFormat="1" ht="12.75" customHeight="1" x14ac:dyDescent="0.2">
      <c r="A17" s="33" t="s">
        <v>161</v>
      </c>
      <c r="B17" s="43" t="s">
        <v>232</v>
      </c>
      <c r="C17" s="33" t="s">
        <v>233</v>
      </c>
      <c r="D17" s="34">
        <v>1.0833000000000001E-2</v>
      </c>
      <c r="E17" s="35">
        <f>'Aug 18'!$D17*$C$6*$C$2</f>
        <v>697140.56765121035</v>
      </c>
      <c r="F17" s="35">
        <v>15.5000119855215</v>
      </c>
      <c r="G17" s="36">
        <f>'Aug 18'!$E17/'Aug 18'!$F17</f>
        <v>44976.776037489944</v>
      </c>
      <c r="H17" s="33">
        <v>41717</v>
      </c>
      <c r="I17" s="33">
        <v>44977</v>
      </c>
      <c r="J17" s="37">
        <f t="shared" si="0"/>
        <v>3260</v>
      </c>
      <c r="K17" s="38">
        <f>'Aug 18'!$F17*'Aug 18'!$I17</f>
        <v>697144.03907280054</v>
      </c>
      <c r="L17" s="39">
        <f>'Aug 18'!$K17/$K$2</f>
        <v>1.0862458855364149E-2</v>
      </c>
      <c r="M17" s="33"/>
      <c r="O17" s="2">
        <f>Table138958456799[[#This Row],[Change]]*Table138958456799[[#This Row],[Last price]]</f>
        <v>50530.039072800086</v>
      </c>
      <c r="P17" s="42">
        <f t="shared" si="1"/>
        <v>50530.039072800086</v>
      </c>
    </row>
    <row r="18" spans="1:17" s="44" customFormat="1" ht="12.75" customHeight="1" x14ac:dyDescent="0.2">
      <c r="A18" s="33" t="s">
        <v>161</v>
      </c>
      <c r="B18" s="43" t="s">
        <v>234</v>
      </c>
      <c r="C18" s="33" t="s">
        <v>235</v>
      </c>
      <c r="D18" s="34">
        <v>1.0833000000000001E-2</v>
      </c>
      <c r="E18" s="35">
        <f>'Aug 18'!$D18*$C$6*$C$2</f>
        <v>697140.56765121035</v>
      </c>
      <c r="F18" s="35">
        <v>160.50012804097301</v>
      </c>
      <c r="G18" s="36">
        <f>'Aug 18'!$E18/'Aug 18'!$F18</f>
        <v>4343.5514735118586</v>
      </c>
      <c r="H18" s="33">
        <v>3905</v>
      </c>
      <c r="I18" s="33">
        <v>4344</v>
      </c>
      <c r="J18" s="37">
        <f t="shared" si="0"/>
        <v>439</v>
      </c>
      <c r="K18" s="38">
        <f>'Aug 18'!$F18*'Aug 18'!$I18</f>
        <v>697212.5562099868</v>
      </c>
      <c r="L18" s="39">
        <f>'Aug 18'!$K18/$K$2</f>
        <v>1.0863526446194536E-2</v>
      </c>
      <c r="M18" s="33"/>
      <c r="O18" s="2">
        <f>Table138958456799[[#This Row],[Change]]*Table138958456799[[#This Row],[Last price]]</f>
        <v>70459.556209987146</v>
      </c>
      <c r="P18" s="42">
        <f t="shared" si="1"/>
        <v>70459.556209987146</v>
      </c>
    </row>
    <row r="19" spans="1:17" s="44" customFormat="1" ht="12.75" customHeight="1" x14ac:dyDescent="0.2">
      <c r="A19" s="33" t="s">
        <v>161</v>
      </c>
      <c r="B19" s="33" t="s">
        <v>236</v>
      </c>
      <c r="C19" s="33" t="s">
        <v>237</v>
      </c>
      <c r="D19" s="34">
        <v>1.0833000000000001E-2</v>
      </c>
      <c r="E19" s="35">
        <f>'Aug 18'!$D19*$C$6*$C$2</f>
        <v>697140.56765121035</v>
      </c>
      <c r="F19" s="35">
        <v>36.020014454884098</v>
      </c>
      <c r="G19" s="36">
        <f>'Aug 18'!$E19/'Aug 18'!$F19</f>
        <v>19354.255632639877</v>
      </c>
      <c r="H19" s="33">
        <v>17987</v>
      </c>
      <c r="I19" s="33">
        <v>19354</v>
      </c>
      <c r="J19" s="37">
        <f t="shared" si="0"/>
        <v>1367</v>
      </c>
      <c r="K19" s="38">
        <f>'Aug 18'!$F19*'Aug 18'!$I19</f>
        <v>697131.3597598268</v>
      </c>
      <c r="L19" s="39">
        <f>'Aug 18'!$K19/$K$2</f>
        <v>1.086226129430392E-2</v>
      </c>
      <c r="M19" s="33"/>
      <c r="O19" s="2">
        <f>Table138958456799[[#This Row],[Change]]*Table138958456799[[#This Row],[Last price]]</f>
        <v>49239.359759826562</v>
      </c>
      <c r="P19" s="42">
        <f t="shared" si="1"/>
        <v>49239.359759826562</v>
      </c>
    </row>
    <row r="20" spans="1:17" s="44" customFormat="1" ht="12.75" customHeight="1" x14ac:dyDescent="0.2">
      <c r="A20" s="33" t="s">
        <v>161</v>
      </c>
      <c r="B20" s="33" t="s">
        <v>26</v>
      </c>
      <c r="C20" s="33" t="s">
        <v>27</v>
      </c>
      <c r="D20" s="34">
        <v>1.0833000000000001E-2</v>
      </c>
      <c r="E20" s="35">
        <f>'Aug 18'!$D20*$C$6*$C$2</f>
        <v>697140.56765121035</v>
      </c>
      <c r="F20" s="35">
        <v>226</v>
      </c>
      <c r="G20" s="36">
        <f>'Aug 18'!$E20/'Aug 18'!$F20</f>
        <v>3084.6927772177451</v>
      </c>
      <c r="H20" s="33">
        <v>2763</v>
      </c>
      <c r="I20" s="33">
        <v>3085</v>
      </c>
      <c r="J20" s="37">
        <f t="shared" si="0"/>
        <v>322</v>
      </c>
      <c r="K20" s="38">
        <f>'Aug 18'!$F20*'Aug 18'!$I20</f>
        <v>697210</v>
      </c>
      <c r="L20" s="39">
        <f>'Aug 18'!$K20/$K$2</f>
        <v>1.0863486616942256E-2</v>
      </c>
      <c r="M20" s="33"/>
      <c r="O20" s="2">
        <f>Table138958456799[[#This Row],[Change]]*Table138958456799[[#This Row],[Last price]]</f>
        <v>72772</v>
      </c>
      <c r="P20" s="42">
        <f t="shared" si="1"/>
        <v>72772</v>
      </c>
    </row>
    <row r="21" spans="1:17" s="44" customFormat="1" ht="12.75" customHeight="1" x14ac:dyDescent="0.2">
      <c r="A21" s="33" t="s">
        <v>161</v>
      </c>
      <c r="B21" s="33" t="s">
        <v>11</v>
      </c>
      <c r="C21" s="33" t="s">
        <v>12</v>
      </c>
      <c r="D21" s="34">
        <v>1.0833000000000001E-2</v>
      </c>
      <c r="E21" s="35">
        <f>'Aug 18'!$D21*$C$6*$C$2</f>
        <v>697140.56765121035</v>
      </c>
      <c r="F21" s="35">
        <v>309.54982647496303</v>
      </c>
      <c r="G21" s="36">
        <f>'Aug 18'!$E21/'Aug 18'!$F21</f>
        <v>2252.1109948275043</v>
      </c>
      <c r="H21" s="33">
        <v>2017</v>
      </c>
      <c r="I21" s="33">
        <v>2252</v>
      </c>
      <c r="J21" s="37">
        <f t="shared" si="0"/>
        <v>235</v>
      </c>
      <c r="K21" s="38">
        <f>'Aug 18'!$F21*'Aug 18'!$I21</f>
        <v>697106.20922161674</v>
      </c>
      <c r="L21" s="39">
        <f>'Aug 18'!$K21/$K$2</f>
        <v>1.0861869414475384E-2</v>
      </c>
      <c r="M21" s="33"/>
      <c r="O21" s="2">
        <f>Table138958456799[[#This Row],[Change]]*Table138958456799[[#This Row],[Last price]]</f>
        <v>72744.209221616315</v>
      </c>
      <c r="P21" s="42">
        <f t="shared" si="1"/>
        <v>72744.209221616315</v>
      </c>
    </row>
    <row r="22" spans="1:17" s="44" customFormat="1" ht="12.75" customHeight="1" x14ac:dyDescent="0.2">
      <c r="A22" s="33"/>
      <c r="B22" s="33"/>
      <c r="C22" s="33"/>
      <c r="D22" s="34"/>
      <c r="E22" s="35"/>
      <c r="F22" s="35"/>
      <c r="G22" s="36"/>
      <c r="H22" s="33"/>
      <c r="I22" s="33"/>
      <c r="J22" s="45"/>
      <c r="K22" s="35"/>
      <c r="L22" s="46"/>
      <c r="M22" s="33"/>
      <c r="O22" s="2">
        <f>Table138958456799[[#This Row],[Change]]*Table138958456799[[#This Row],[Last price]]</f>
        <v>0</v>
      </c>
      <c r="P22" s="42">
        <f t="shared" si="1"/>
        <v>0</v>
      </c>
    </row>
    <row r="23" spans="1:17" s="54" customFormat="1" ht="12.75" customHeight="1" x14ac:dyDescent="0.2">
      <c r="A23" s="47" t="s">
        <v>177</v>
      </c>
      <c r="B23" s="47"/>
      <c r="C23" s="47"/>
      <c r="D23" s="48">
        <f>SUBTOTAL(9,D9:D22)</f>
        <v>0.129997</v>
      </c>
      <c r="E23" s="49">
        <f>'Aug 18'!$D23*$C$6*$C$2</f>
        <v>8365751.1652316423</v>
      </c>
      <c r="F23" s="51"/>
      <c r="G23" s="51"/>
      <c r="H23" s="47"/>
      <c r="I23" s="47"/>
      <c r="J23" s="52"/>
      <c r="K23" s="49">
        <f>SUM(K9:K22)</f>
        <v>8366167.3656559689</v>
      </c>
      <c r="L23" s="53">
        <f>'Aug 18'!$K23/$K$2</f>
        <v>0.1303563448773005</v>
      </c>
      <c r="M23" s="47"/>
      <c r="O23" s="2">
        <f>Table138958456799[[#This Row],[Change]]*Table138958456799[[#This Row],[Last price]]</f>
        <v>0</v>
      </c>
      <c r="P23" s="42">
        <f t="shared" si="1"/>
        <v>0</v>
      </c>
    </row>
    <row r="24" spans="1:17" s="44" customFormat="1" ht="12.75" customHeight="1" x14ac:dyDescent="0.2">
      <c r="A24" s="33"/>
      <c r="B24" s="33"/>
      <c r="C24" s="33"/>
      <c r="D24" s="34"/>
      <c r="E24" s="35"/>
      <c r="F24" s="35"/>
      <c r="G24" s="36"/>
      <c r="H24" s="33"/>
      <c r="I24" s="33"/>
      <c r="J24" s="45"/>
      <c r="K24" s="35"/>
      <c r="L24" s="39"/>
      <c r="M24" s="33"/>
      <c r="O24" s="2">
        <f>Table138958456799[[#This Row],[Change]]*Table138958456799[[#This Row],[Last price]]</f>
        <v>0</v>
      </c>
      <c r="P24" s="42">
        <f t="shared" si="1"/>
        <v>0</v>
      </c>
    </row>
    <row r="25" spans="1:17" s="41" customFormat="1" ht="12.75" customHeight="1" x14ac:dyDescent="0.2">
      <c r="A25" s="55"/>
      <c r="B25" s="47" t="s">
        <v>32</v>
      </c>
      <c r="C25" s="55" t="s">
        <v>33</v>
      </c>
      <c r="D25" s="56">
        <v>0.03</v>
      </c>
      <c r="E25" s="57">
        <f>'Aug 18'!$D25*$C$6*$C$2</f>
        <v>1930602.513573</v>
      </c>
      <c r="F25" s="51">
        <v>18.929996350174701</v>
      </c>
      <c r="G25" s="58">
        <f>'Aug 18'!$E25/'Aug 18'!$F25</f>
        <v>101986.41763368237</v>
      </c>
      <c r="H25" s="55">
        <v>95895</v>
      </c>
      <c r="I25" s="55">
        <v>101986</v>
      </c>
      <c r="J25" s="59">
        <f>I25-H25</f>
        <v>6091</v>
      </c>
      <c r="K25" s="50">
        <f>'Aug 18'!$F25*'Aug 18'!$I25</f>
        <v>1930594.607768917</v>
      </c>
      <c r="L25" s="53">
        <f>'Aug 18'!$K25/$K$2</f>
        <v>3.0081307904703772E-2</v>
      </c>
      <c r="M25" s="47"/>
      <c r="O25" s="2">
        <f>Table138958456799[[#This Row],[Change]]*Table138958456799[[#This Row],[Last price]]</f>
        <v>115302.60776891411</v>
      </c>
      <c r="P25" s="42">
        <f t="shared" si="1"/>
        <v>115302.60776891411</v>
      </c>
      <c r="Q25" s="42"/>
    </row>
    <row r="26" spans="1:17" s="41" customFormat="1" ht="12.75" customHeight="1" x14ac:dyDescent="0.2">
      <c r="A26" s="33"/>
      <c r="B26" s="33"/>
      <c r="C26" s="33"/>
      <c r="D26" s="34"/>
      <c r="E26" s="35"/>
      <c r="F26" s="35"/>
      <c r="G26" s="36"/>
      <c r="H26" s="33"/>
      <c r="I26" s="33"/>
      <c r="J26" s="45"/>
      <c r="K26" s="38"/>
      <c r="L26" s="39"/>
      <c r="M26" s="33"/>
      <c r="O26" s="2">
        <f>Table138958456799[[#This Row],[Change]]*Table138958456799[[#This Row],[Last price]]</f>
        <v>0</v>
      </c>
      <c r="P26" s="42">
        <f t="shared" si="1"/>
        <v>0</v>
      </c>
      <c r="Q26" s="42"/>
    </row>
    <row r="27" spans="1:17" ht="26.25" x14ac:dyDescent="0.25">
      <c r="A27" s="33" t="s">
        <v>178</v>
      </c>
      <c r="B27" s="60" t="s">
        <v>179</v>
      </c>
      <c r="C27" s="60" t="s">
        <v>106</v>
      </c>
      <c r="D27" s="34">
        <v>3.6110999999999997E-2</v>
      </c>
      <c r="E27" s="35">
        <f>'Aug 18'!$D27*$C$6*$C$2</f>
        <v>2323866.2455878197</v>
      </c>
      <c r="F27" s="35">
        <v>157681.5</v>
      </c>
      <c r="G27" s="61">
        <f>'Aug 18'!$E27/'Aug 18'!$F27</f>
        <v>14.737722850098583</v>
      </c>
      <c r="H27" s="33">
        <v>14</v>
      </c>
      <c r="I27" s="33">
        <v>15</v>
      </c>
      <c r="J27" s="37">
        <f t="shared" ref="J27:J33" si="2">I27-H27</f>
        <v>1</v>
      </c>
      <c r="K27" s="38">
        <f>'Aug 18'!$F27*'Aug 18'!$I27</f>
        <v>2365222.5</v>
      </c>
      <c r="L27" s="39">
        <f>'Aug 18'!$K27/$K$2</f>
        <v>3.6853405680986655E-2</v>
      </c>
      <c r="M27" s="62"/>
      <c r="O27" s="2">
        <f>Table138958456799[[#This Row],[Change]]*Table138958456799[[#This Row],[Last price]]</f>
        <v>157681.5</v>
      </c>
      <c r="P27" s="42">
        <f t="shared" si="1"/>
        <v>157681.5</v>
      </c>
    </row>
    <row r="28" spans="1:17" ht="26.25" x14ac:dyDescent="0.25">
      <c r="A28" s="33" t="s">
        <v>178</v>
      </c>
      <c r="B28" s="60" t="s">
        <v>180</v>
      </c>
      <c r="C28" s="60" t="s">
        <v>110</v>
      </c>
      <c r="D28" s="34">
        <v>3.6110999999999997E-2</v>
      </c>
      <c r="E28" s="35">
        <f>'Aug 18'!$D28*$C$6*$C$2</f>
        <v>2323866.2455878197</v>
      </c>
      <c r="F28" s="35">
        <v>219312.6</v>
      </c>
      <c r="G28" s="61">
        <f>'Aug 18'!$E28/'Aug 18'!$F28</f>
        <v>10.596136499169768</v>
      </c>
      <c r="H28" s="33">
        <v>10</v>
      </c>
      <c r="I28" s="33">
        <v>11</v>
      </c>
      <c r="J28" s="37">
        <f t="shared" si="2"/>
        <v>1</v>
      </c>
      <c r="K28" s="38">
        <f>'Aug 18'!$F28*'Aug 18'!$I28</f>
        <v>2412438.6</v>
      </c>
      <c r="L28" s="39">
        <f>'Aug 18'!$K28/$K$2</f>
        <v>3.758909718061261E-2</v>
      </c>
      <c r="M28" s="62"/>
      <c r="O28" s="2">
        <f>Table138958456799[[#This Row],[Change]]*Table138958456799[[#This Row],[Last price]]</f>
        <v>219312.6</v>
      </c>
      <c r="P28" s="42">
        <f t="shared" si="1"/>
        <v>219312.6</v>
      </c>
    </row>
    <row r="29" spans="1:17" ht="26.25" x14ac:dyDescent="0.25">
      <c r="A29" s="33" t="s">
        <v>178</v>
      </c>
      <c r="B29" s="60" t="s">
        <v>181</v>
      </c>
      <c r="C29" s="60" t="s">
        <v>113</v>
      </c>
      <c r="D29" s="34">
        <v>3.6110999999999997E-2</v>
      </c>
      <c r="E29" s="35">
        <f>'Aug 18'!$D29*$C$6*$C$2</f>
        <v>2323866.2455878197</v>
      </c>
      <c r="F29" s="35">
        <v>178776.25</v>
      </c>
      <c r="G29" s="61">
        <f>'Aug 18'!$E29/'Aug 18'!$F29</f>
        <v>12.998741418884331</v>
      </c>
      <c r="H29" s="33">
        <v>12</v>
      </c>
      <c r="I29" s="33">
        <v>13</v>
      </c>
      <c r="J29" s="37">
        <f t="shared" si="2"/>
        <v>1</v>
      </c>
      <c r="K29" s="38">
        <f>'Aug 18'!$F29*'Aug 18'!$I29</f>
        <v>2324091.25</v>
      </c>
      <c r="L29" s="39">
        <f>'Aug 18'!$K29/$K$2</f>
        <v>3.6212524477456723E-2</v>
      </c>
      <c r="M29" s="62"/>
      <c r="O29" s="2">
        <f>Table138958456799[[#This Row],[Change]]*Table138958456799[[#This Row],[Last price]]</f>
        <v>178776.25</v>
      </c>
      <c r="P29" s="42">
        <f t="shared" si="1"/>
        <v>178776.25</v>
      </c>
    </row>
    <row r="30" spans="1:17" ht="26.25" x14ac:dyDescent="0.25">
      <c r="A30" s="33" t="s">
        <v>178</v>
      </c>
      <c r="B30" s="60" t="s">
        <v>182</v>
      </c>
      <c r="C30" s="60" t="s">
        <v>116</v>
      </c>
      <c r="D30" s="34">
        <v>3.6110999999999997E-2</v>
      </c>
      <c r="E30" s="35">
        <f>'Aug 18'!$D30*$C$6*$C$2</f>
        <v>2323866.2455878197</v>
      </c>
      <c r="F30" s="35">
        <v>125826.411764706</v>
      </c>
      <c r="G30" s="61">
        <f>'Aug 18'!$E30/'Aug 18'!$F30</f>
        <v>18.468827116626546</v>
      </c>
      <c r="H30" s="33">
        <v>17</v>
      </c>
      <c r="I30" s="33">
        <v>18</v>
      </c>
      <c r="J30" s="37">
        <f t="shared" si="2"/>
        <v>1</v>
      </c>
      <c r="K30" s="38">
        <f>'Aug 18'!$F30*'Aug 18'!$I30</f>
        <v>2264875.4117647079</v>
      </c>
      <c r="L30" s="39">
        <f>'Aug 18'!$K30/$K$2</f>
        <v>3.528986062269257E-2</v>
      </c>
      <c r="M30" s="62"/>
      <c r="O30" s="2">
        <f>Table138958456799[[#This Row],[Change]]*Table138958456799[[#This Row],[Last price]]</f>
        <v>125826.411764706</v>
      </c>
      <c r="P30" s="42">
        <f t="shared" si="1"/>
        <v>125826.411764706</v>
      </c>
    </row>
    <row r="31" spans="1:17" ht="26.25" x14ac:dyDescent="0.25">
      <c r="A31" s="33" t="s">
        <v>178</v>
      </c>
      <c r="B31" s="60" t="s">
        <v>183</v>
      </c>
      <c r="C31" s="60" t="s">
        <v>119</v>
      </c>
      <c r="D31" s="34">
        <v>3.6110999999999997E-2</v>
      </c>
      <c r="E31" s="35">
        <f>'Aug 18'!$D31*$C$6*$C$2</f>
        <v>2323866.2455878197</v>
      </c>
      <c r="F31" s="35">
        <v>139468.75</v>
      </c>
      <c r="G31" s="61">
        <f>'Aug 18'!$E31/'Aug 18'!$F31</f>
        <v>16.66227198270451</v>
      </c>
      <c r="H31" s="33">
        <v>16</v>
      </c>
      <c r="I31" s="33">
        <v>17</v>
      </c>
      <c r="J31" s="37">
        <f t="shared" si="2"/>
        <v>1</v>
      </c>
      <c r="K31" s="38">
        <f>'Aug 18'!$F31*'Aug 18'!$I31</f>
        <v>2370968.75</v>
      </c>
      <c r="L31" s="39">
        <f>'Aug 18'!$K31/$K$2</f>
        <v>3.694294012537587E-2</v>
      </c>
      <c r="M31" s="62"/>
      <c r="O31" s="2">
        <f>Table138958456799[[#This Row],[Change]]*Table138958456799[[#This Row],[Last price]]</f>
        <v>139468.75</v>
      </c>
      <c r="P31" s="42">
        <f t="shared" si="1"/>
        <v>139468.75</v>
      </c>
    </row>
    <row r="32" spans="1:17" ht="26.25" x14ac:dyDescent="0.25">
      <c r="A32" s="33" t="s">
        <v>178</v>
      </c>
      <c r="B32" s="60" t="s">
        <v>184</v>
      </c>
      <c r="C32" s="60" t="s">
        <v>122</v>
      </c>
      <c r="D32" s="34">
        <v>0.125</v>
      </c>
      <c r="E32" s="35">
        <f>'Aug 18'!$D32*$C$6*$C$2</f>
        <v>8044177.1398875006</v>
      </c>
      <c r="F32" s="35">
        <v>416294.55555555603</v>
      </c>
      <c r="G32" s="61">
        <f>'Aug 18'!$E32/'Aug 18'!$F32</f>
        <v>19.323282114877372</v>
      </c>
      <c r="H32" s="33">
        <v>18</v>
      </c>
      <c r="I32" s="33">
        <v>19</v>
      </c>
      <c r="J32" s="37">
        <f t="shared" si="2"/>
        <v>1</v>
      </c>
      <c r="K32" s="38">
        <f>'Aug 18'!$F32*'Aug 18'!$I32</f>
        <v>7909596.5555555644</v>
      </c>
      <c r="L32" s="39">
        <f>'Aug 18'!$K32/$K$2</f>
        <v>0.12324234639017002</v>
      </c>
      <c r="M32" s="62"/>
      <c r="O32" s="2">
        <f>Table138958456799[[#This Row],[Change]]*Table138958456799[[#This Row],[Last price]]</f>
        <v>416294.55555555603</v>
      </c>
      <c r="P32" s="42">
        <f t="shared" si="1"/>
        <v>416294.55555555603</v>
      </c>
    </row>
    <row r="33" spans="1:17" ht="26.25" x14ac:dyDescent="0.25">
      <c r="A33" s="33" t="s">
        <v>178</v>
      </c>
      <c r="B33" s="60" t="s">
        <v>185</v>
      </c>
      <c r="C33" s="60" t="s">
        <v>127</v>
      </c>
      <c r="D33" s="34">
        <v>3.6110999999999997E-2</v>
      </c>
      <c r="E33" s="35">
        <f>'Aug 18'!$D33*$C$6*$C$2</f>
        <v>2323866.2455878197</v>
      </c>
      <c r="F33" s="35">
        <v>220796.9</v>
      </c>
      <c r="G33" s="61">
        <f>'Aug 18'!$E33/'Aug 18'!$F33</f>
        <v>10.524904315177523</v>
      </c>
      <c r="H33" s="33">
        <v>10</v>
      </c>
      <c r="I33" s="33">
        <v>11</v>
      </c>
      <c r="J33" s="37">
        <f t="shared" si="2"/>
        <v>1</v>
      </c>
      <c r="K33" s="38">
        <f>'Aug 18'!$F33*'Aug 18'!$I33</f>
        <v>2428765.9</v>
      </c>
      <c r="L33" s="39">
        <f>'Aug 18'!$K33/$K$2</f>
        <v>3.7843498874565361E-2</v>
      </c>
      <c r="M33" s="62"/>
      <c r="O33" s="2">
        <f>Table138958456799[[#This Row],[Change]]*Table138958456799[[#This Row],[Last price]]</f>
        <v>220796.9</v>
      </c>
      <c r="P33" s="42">
        <f t="shared" si="1"/>
        <v>220796.9</v>
      </c>
    </row>
    <row r="34" spans="1:17" s="64" customFormat="1" ht="12.75" x14ac:dyDescent="0.2">
      <c r="A34" s="33"/>
      <c r="B34" s="60"/>
      <c r="C34" s="60"/>
      <c r="D34" s="34"/>
      <c r="E34" s="63"/>
      <c r="F34" s="35"/>
      <c r="G34" s="61"/>
      <c r="H34" s="33"/>
      <c r="I34" s="33"/>
      <c r="J34" s="45"/>
      <c r="K34" s="35"/>
      <c r="L34" s="46"/>
      <c r="M34" s="62"/>
      <c r="O34" s="2">
        <f>Table138958456799[[#This Row],[Change]]*Table138958456799[[#This Row],[Last price]]</f>
        <v>0</v>
      </c>
      <c r="P34" s="42">
        <f t="shared" si="1"/>
        <v>0</v>
      </c>
    </row>
    <row r="35" spans="1:17" s="15" customFormat="1" ht="12.75" x14ac:dyDescent="0.2">
      <c r="A35" s="47" t="s">
        <v>186</v>
      </c>
      <c r="B35" s="65"/>
      <c r="C35" s="65"/>
      <c r="D35" s="56">
        <f>SUBTOTAL(9,D27:D34)</f>
        <v>0.34166600000000003</v>
      </c>
      <c r="E35" s="66">
        <f>'Aug 18'!$D35*$C$6*$C$2</f>
        <v>21987374.613414422</v>
      </c>
      <c r="F35" s="67"/>
      <c r="G35" s="67"/>
      <c r="H35" s="55"/>
      <c r="I35" s="55"/>
      <c r="J35" s="59"/>
      <c r="K35" s="66">
        <f>SUM(K27:K33)</f>
        <v>22075958.967320271</v>
      </c>
      <c r="L35" s="68">
        <f>'Aug 18'!$K35/$K$2</f>
        <v>0.3439736733518598</v>
      </c>
      <c r="M35" s="69"/>
      <c r="O35" s="2">
        <f>Table138958456799[[#This Row],[Change]]*Table138958456799[[#This Row],[Last price]]</f>
        <v>0</v>
      </c>
      <c r="P35" s="42">
        <f t="shared" si="1"/>
        <v>0</v>
      </c>
    </row>
    <row r="36" spans="1:17" s="64" customFormat="1" ht="12.75" x14ac:dyDescent="0.2">
      <c r="A36" s="33"/>
      <c r="B36" s="60"/>
      <c r="C36" s="60"/>
      <c r="D36" s="34"/>
      <c r="E36" s="63"/>
      <c r="F36" s="35"/>
      <c r="G36" s="61"/>
      <c r="H36" s="33"/>
      <c r="I36" s="33"/>
      <c r="J36" s="45"/>
      <c r="K36" s="35"/>
      <c r="L36" s="39"/>
      <c r="M36" s="62"/>
      <c r="O36" s="2">
        <f>Table138958456799[[#This Row],[Change]]*Table138958456799[[#This Row],[Last price]]</f>
        <v>0</v>
      </c>
      <c r="P36" s="42">
        <f t="shared" si="1"/>
        <v>0</v>
      </c>
    </row>
    <row r="37" spans="1:17" s="41" customFormat="1" ht="25.5" customHeight="1" x14ac:dyDescent="0.2">
      <c r="A37" s="33" t="s">
        <v>187</v>
      </c>
      <c r="B37" s="33" t="s">
        <v>63</v>
      </c>
      <c r="C37" s="33" t="s">
        <v>64</v>
      </c>
      <c r="D37" s="34">
        <v>3.6110999999999997E-2</v>
      </c>
      <c r="E37" s="35">
        <f>'Aug 18'!$D37*$C$6*$C$2</f>
        <v>2323866.2455878197</v>
      </c>
      <c r="F37" s="35">
        <v>95182.782608695605</v>
      </c>
      <c r="G37" s="36">
        <f>'Aug 18'!$E37/'Aug 18'!$F37</f>
        <v>24.414775255535748</v>
      </c>
      <c r="H37" s="33">
        <v>23</v>
      </c>
      <c r="I37" s="33">
        <v>24</v>
      </c>
      <c r="J37" s="37">
        <f t="shared" ref="J37:J42" si="3">I37-H37</f>
        <v>1</v>
      </c>
      <c r="K37" s="38">
        <f>'Aug 18'!$F37*'Aug 18'!$I37</f>
        <v>2284386.7826086944</v>
      </c>
      <c r="L37" s="39">
        <f>'Aug 18'!$K37/$K$2</f>
        <v>3.5593874500924161E-2</v>
      </c>
      <c r="M37" s="40"/>
      <c r="N37" s="2"/>
      <c r="O37" s="2">
        <f>Table138958456799[[#This Row],[Change]]*Table138958456799[[#This Row],[Last price]]</f>
        <v>95182.782608695605</v>
      </c>
      <c r="P37" s="42">
        <f t="shared" si="1"/>
        <v>95182.782608695605</v>
      </c>
      <c r="Q37" s="42"/>
    </row>
    <row r="38" spans="1:17" s="41" customFormat="1" ht="25.5" customHeight="1" x14ac:dyDescent="0.2">
      <c r="A38" s="33" t="s">
        <v>187</v>
      </c>
      <c r="B38" s="33" t="s">
        <v>188</v>
      </c>
      <c r="C38" s="33" t="s">
        <v>73</v>
      </c>
      <c r="D38" s="34">
        <v>3.6110999999999997E-2</v>
      </c>
      <c r="E38" s="35">
        <f>'Aug 18'!$D38*$C$6*$C$2</f>
        <v>2323866.2455878197</v>
      </c>
      <c r="F38" s="35">
        <v>116550.526315789</v>
      </c>
      <c r="G38" s="36">
        <f>'Aug 18'!$E38/'Aug 18'!$F38</f>
        <v>19.938702286863954</v>
      </c>
      <c r="H38" s="33">
        <v>19</v>
      </c>
      <c r="I38" s="33">
        <v>20</v>
      </c>
      <c r="J38" s="37">
        <f t="shared" si="3"/>
        <v>1</v>
      </c>
      <c r="K38" s="38">
        <f>'Aug 18'!$F38*'Aug 18'!$I38</f>
        <v>2331010.5263157799</v>
      </c>
      <c r="L38" s="39">
        <f>'Aug 18'!$K38/$K$2</f>
        <v>3.6320336278284883E-2</v>
      </c>
      <c r="M38" s="40"/>
      <c r="N38" s="2"/>
      <c r="O38" s="2">
        <f>Table138958456799[[#This Row],[Change]]*Table138958456799[[#This Row],[Last price]]</f>
        <v>116550.526315789</v>
      </c>
      <c r="P38" s="42">
        <f t="shared" si="1"/>
        <v>116550.526315789</v>
      </c>
    </row>
    <row r="39" spans="1:17" s="41" customFormat="1" ht="25.5" customHeight="1" x14ac:dyDescent="0.2">
      <c r="A39" s="33" t="s">
        <v>187</v>
      </c>
      <c r="B39" s="33" t="s">
        <v>76</v>
      </c>
      <c r="C39" s="33" t="s">
        <v>77</v>
      </c>
      <c r="D39" s="34">
        <v>3.6110999999999997E-2</v>
      </c>
      <c r="E39" s="35">
        <f>'Aug 18'!$D39*$C$6*$C$2</f>
        <v>2323866.2455878197</v>
      </c>
      <c r="F39" s="35">
        <v>113823.73684210501</v>
      </c>
      <c r="G39" s="36">
        <f>'Aug 18'!$E39/'Aug 18'!$F39</f>
        <v>20.416358749594213</v>
      </c>
      <c r="H39" s="33">
        <v>19</v>
      </c>
      <c r="I39" s="33">
        <v>20</v>
      </c>
      <c r="J39" s="37">
        <f t="shared" si="3"/>
        <v>1</v>
      </c>
      <c r="K39" s="38">
        <f>'Aug 18'!$F39*'Aug 18'!$I39</f>
        <v>2276474.7368421</v>
      </c>
      <c r="L39" s="39">
        <f>'Aug 18'!$K39/$K$2</f>
        <v>3.5470593992471849E-2</v>
      </c>
      <c r="M39" s="40"/>
      <c r="N39" s="2"/>
      <c r="O39" s="2">
        <f>Table138958456799[[#This Row],[Change]]*Table138958456799[[#This Row],[Last price]]</f>
        <v>113823.73684210501</v>
      </c>
      <c r="P39" s="42">
        <f t="shared" si="1"/>
        <v>113823.73684210501</v>
      </c>
    </row>
    <row r="40" spans="1:17" s="41" customFormat="1" ht="25.5" x14ac:dyDescent="0.2">
      <c r="A40" s="33" t="s">
        <v>187</v>
      </c>
      <c r="B40" s="33" t="s">
        <v>78</v>
      </c>
      <c r="C40" s="33" t="s">
        <v>79</v>
      </c>
      <c r="D40" s="34">
        <v>0.125</v>
      </c>
      <c r="E40" s="35">
        <f>'Aug 18'!$D40*$C$6*$C$2</f>
        <v>8044177.1398875006</v>
      </c>
      <c r="F40" s="35">
        <v>249418.76666666701</v>
      </c>
      <c r="G40" s="36">
        <f>'Aug 18'!$E40/'Aug 18'!$F40</f>
        <v>32.251691592389491</v>
      </c>
      <c r="H40" s="33">
        <v>30</v>
      </c>
      <c r="I40" s="33">
        <v>32</v>
      </c>
      <c r="J40" s="37">
        <f t="shared" si="3"/>
        <v>2</v>
      </c>
      <c r="K40" s="38">
        <f>'Aug 18'!$F40*'Aug 18'!$I40</f>
        <v>7981400.5333333444</v>
      </c>
      <c r="L40" s="39">
        <f>'Aug 18'!$K40/$K$2</f>
        <v>0.12436115069824383</v>
      </c>
      <c r="M40" s="40"/>
      <c r="N40" s="2"/>
      <c r="O40" s="2">
        <f>Table138958456799[[#This Row],[Change]]*Table138958456799[[#This Row],[Last price]]</f>
        <v>498837.53333333402</v>
      </c>
      <c r="P40" s="42">
        <f t="shared" si="1"/>
        <v>498837.53333333402</v>
      </c>
    </row>
    <row r="41" spans="1:17" s="41" customFormat="1" ht="25.5" x14ac:dyDescent="0.2">
      <c r="A41" s="33" t="s">
        <v>187</v>
      </c>
      <c r="B41" s="33" t="s">
        <v>193</v>
      </c>
      <c r="C41" s="33" t="s">
        <v>100</v>
      </c>
      <c r="D41" s="34">
        <v>0.125</v>
      </c>
      <c r="E41" s="35">
        <f>'Aug 18'!$D41*$C$6*$C$2</f>
        <v>8044177.1398875006</v>
      </c>
      <c r="F41" s="35">
        <v>416317.5</v>
      </c>
      <c r="G41" s="36">
        <f>'Aug 18'!$E41/'Aug 18'!$F41</f>
        <v>19.322217153704806</v>
      </c>
      <c r="H41" s="33">
        <v>18</v>
      </c>
      <c r="I41" s="33">
        <v>19</v>
      </c>
      <c r="J41" s="37">
        <f t="shared" si="3"/>
        <v>1</v>
      </c>
      <c r="K41" s="38">
        <f>'Aug 18'!$F41*'Aug 18'!$I41</f>
        <v>7910032.5</v>
      </c>
      <c r="L41" s="39">
        <f>'Aug 18'!$K41/$K$2</f>
        <v>0.12324913900163266</v>
      </c>
      <c r="M41" s="40"/>
      <c r="N41" s="2"/>
      <c r="O41" s="2">
        <f>Table138958456799[[#This Row],[Change]]*Table138958456799[[#This Row],[Last price]]</f>
        <v>416317.5</v>
      </c>
      <c r="P41" s="42">
        <f t="shared" si="1"/>
        <v>416317.5</v>
      </c>
    </row>
    <row r="42" spans="1:17" s="41" customFormat="1" ht="25.5" x14ac:dyDescent="0.2">
      <c r="A42" s="33" t="s">
        <v>187</v>
      </c>
      <c r="B42" s="33" t="s">
        <v>102</v>
      </c>
      <c r="C42" s="33" t="s">
        <v>103</v>
      </c>
      <c r="D42" s="34">
        <v>0.125</v>
      </c>
      <c r="E42" s="35">
        <f>'Aug 18'!$D42*$C$6*$C$2</f>
        <v>8044177.1398875006</v>
      </c>
      <c r="F42" s="35">
        <v>249767.5</v>
      </c>
      <c r="G42" s="36">
        <f>'Aug 18'!$E42/'Aug 18'!$F42</f>
        <v>32.206660754051271</v>
      </c>
      <c r="H42" s="33">
        <v>30</v>
      </c>
      <c r="I42" s="33">
        <v>32</v>
      </c>
      <c r="J42" s="37">
        <f t="shared" si="3"/>
        <v>2</v>
      </c>
      <c r="K42" s="38">
        <f>'Aug 18'!$F42*'Aug 18'!$I42</f>
        <v>7992560</v>
      </c>
      <c r="L42" s="39">
        <f>'Aug 18'!$K42/$K$2</f>
        <v>0.12453503047160541</v>
      </c>
      <c r="M42" s="40"/>
      <c r="N42" s="2"/>
      <c r="O42" s="2">
        <f>Table138958456799[[#This Row],[Change]]*Table138958456799[[#This Row],[Last price]]</f>
        <v>499535</v>
      </c>
      <c r="P42" s="42">
        <f t="shared" si="1"/>
        <v>499535</v>
      </c>
    </row>
    <row r="43" spans="1:17" s="41" customFormat="1" ht="12.75" x14ac:dyDescent="0.2">
      <c r="A43" s="33"/>
      <c r="B43" s="33"/>
      <c r="C43" s="33"/>
      <c r="D43" s="34"/>
      <c r="E43" s="35"/>
      <c r="F43" s="35"/>
      <c r="G43" s="36"/>
      <c r="H43" s="33"/>
      <c r="I43" s="33"/>
      <c r="J43" s="37"/>
      <c r="K43" s="38"/>
      <c r="L43" s="39"/>
      <c r="M43" s="40"/>
      <c r="N43" s="2"/>
      <c r="O43" s="2">
        <f>Table138958456799[[#This Row],[Change]]*Table138958456799[[#This Row],[Last price]]</f>
        <v>0</v>
      </c>
      <c r="P43" s="42">
        <f t="shared" si="1"/>
        <v>0</v>
      </c>
    </row>
    <row r="44" spans="1:17" s="41" customFormat="1" ht="12.75" x14ac:dyDescent="0.2">
      <c r="A44" s="33"/>
      <c r="B44" s="33"/>
      <c r="C44" s="33"/>
      <c r="D44" s="34"/>
      <c r="E44" s="35"/>
      <c r="F44" s="35"/>
      <c r="G44" s="36"/>
      <c r="H44" s="33"/>
      <c r="I44" s="33"/>
      <c r="J44" s="37"/>
      <c r="K44" s="38"/>
      <c r="L44" s="39"/>
      <c r="M44" s="40"/>
      <c r="N44" s="2"/>
      <c r="O44" s="2">
        <f>Table138958456799[[#This Row],[Change]]*Table138958456799[[#This Row],[Last price]]</f>
        <v>0</v>
      </c>
      <c r="P44" s="42">
        <f t="shared" si="1"/>
        <v>0</v>
      </c>
    </row>
    <row r="45" spans="1:17" s="44" customFormat="1" ht="12.75" x14ac:dyDescent="0.2">
      <c r="A45" s="33"/>
      <c r="B45" s="33"/>
      <c r="C45" s="33"/>
      <c r="D45" s="34"/>
      <c r="E45" s="35"/>
      <c r="F45" s="35"/>
      <c r="G45" s="36"/>
      <c r="H45" s="33"/>
      <c r="I45" s="33"/>
      <c r="J45" s="45"/>
      <c r="K45" s="35"/>
      <c r="L45" s="39"/>
      <c r="M45" s="33"/>
      <c r="N45" s="64"/>
      <c r="O45" s="2">
        <f>Table138958456799[[#This Row],[Change]]*Table138958456799[[#This Row],[Last price]]</f>
        <v>0</v>
      </c>
      <c r="P45" s="42">
        <f t="shared" si="1"/>
        <v>0</v>
      </c>
    </row>
    <row r="46" spans="1:17" s="54" customFormat="1" ht="12.75" x14ac:dyDescent="0.2">
      <c r="A46" s="47" t="s">
        <v>194</v>
      </c>
      <c r="B46" s="47"/>
      <c r="C46" s="47"/>
      <c r="D46" s="56">
        <f>SUBTOTAL(9,D37:D45)</f>
        <v>0.48333300000000001</v>
      </c>
      <c r="E46" s="49">
        <f>'Aug 18'!$D46*$C$6*$C$2</f>
        <v>31104130.15642596</v>
      </c>
      <c r="F46" s="70"/>
      <c r="G46" s="70"/>
      <c r="H46" s="55"/>
      <c r="I46" s="55"/>
      <c r="J46" s="59"/>
      <c r="K46" s="49">
        <f>SUM(K37:K45)</f>
        <v>30775865.079099916</v>
      </c>
      <c r="L46" s="68">
        <f>'Aug 18'!$K46/$K$2</f>
        <v>0.47953012494316272</v>
      </c>
      <c r="M46" s="47"/>
      <c r="N46" s="15"/>
      <c r="O46" s="2">
        <f>Table138958456799[[#This Row],[Change]]*Table138958456799[[#This Row],[Last price]]</f>
        <v>0</v>
      </c>
      <c r="P46" s="42">
        <f t="shared" si="1"/>
        <v>0</v>
      </c>
    </row>
    <row r="47" spans="1:17" s="44" customFormat="1" ht="12.75" x14ac:dyDescent="0.2">
      <c r="A47" s="33"/>
      <c r="B47" s="33"/>
      <c r="C47" s="33"/>
      <c r="D47" s="34"/>
      <c r="E47" s="35"/>
      <c r="F47" s="35"/>
      <c r="G47" s="36"/>
      <c r="H47" s="33"/>
      <c r="I47" s="33"/>
      <c r="J47" s="45"/>
      <c r="K47" s="35"/>
      <c r="L47" s="39"/>
      <c r="M47" s="33"/>
      <c r="N47" s="64"/>
      <c r="O47" s="2">
        <f>Table138958456799[[#This Row],[Change]]*Table138958456799[[#This Row],[Last price]]</f>
        <v>0</v>
      </c>
      <c r="P47" s="42">
        <f t="shared" si="1"/>
        <v>0</v>
      </c>
    </row>
    <row r="48" spans="1:17" s="41" customFormat="1" ht="12.75" x14ac:dyDescent="0.2">
      <c r="A48" s="33"/>
      <c r="B48" s="33"/>
      <c r="C48" s="33"/>
      <c r="D48" s="34"/>
      <c r="E48" s="35"/>
      <c r="F48" s="35"/>
      <c r="G48" s="71"/>
      <c r="H48" s="33"/>
      <c r="I48" s="33"/>
      <c r="J48" s="37"/>
      <c r="K48" s="38"/>
      <c r="L48" s="39"/>
      <c r="M48" s="40"/>
      <c r="N48" s="2"/>
      <c r="O48" s="2">
        <f>Table138958456799[[#This Row],[Change]]*Table138958456799[[#This Row],[Last price]]</f>
        <v>0</v>
      </c>
      <c r="P48" s="42">
        <f t="shared" si="1"/>
        <v>0</v>
      </c>
    </row>
    <row r="49" spans="1:18" s="41" customFormat="1" ht="25.5" x14ac:dyDescent="0.2">
      <c r="A49" s="33" t="s">
        <v>195</v>
      </c>
      <c r="B49" s="33" t="s">
        <v>67</v>
      </c>
      <c r="C49" s="33" t="s">
        <v>68</v>
      </c>
      <c r="D49" s="34">
        <v>1.5E-3</v>
      </c>
      <c r="E49" s="35">
        <f>'Aug 18'!$D49*$C$6*$C$2</f>
        <v>96530.125678650002</v>
      </c>
      <c r="F49" s="35">
        <v>43392</v>
      </c>
      <c r="G49" s="71">
        <f>'Aug 18'!$E49/'Aug 18'!$F49</f>
        <v>2.2246065099246404</v>
      </c>
      <c r="H49" s="33">
        <v>2</v>
      </c>
      <c r="I49" s="33">
        <v>2</v>
      </c>
      <c r="J49" s="37">
        <f t="shared" ref="J49:J58" si="4">I49-H49</f>
        <v>0</v>
      </c>
      <c r="K49" s="38">
        <f>'Aug 18'!$F49*'Aug 18'!$I49</f>
        <v>86784</v>
      </c>
      <c r="L49" s="39">
        <f>'Aug 18'!$K49/$K$2</f>
        <v>1.3522135691753086E-3</v>
      </c>
      <c r="M49" s="40"/>
      <c r="N49" s="2"/>
      <c r="O49" s="2">
        <f>Table138958456799[[#This Row],[Change]]*Table138958456799[[#This Row],[Last price]]</f>
        <v>0</v>
      </c>
      <c r="P49" s="42">
        <f t="shared" si="1"/>
        <v>0</v>
      </c>
    </row>
    <row r="50" spans="1:18" s="41" customFormat="1" ht="25.5" x14ac:dyDescent="0.2">
      <c r="A50" s="33" t="s">
        <v>195</v>
      </c>
      <c r="B50" s="33" t="s">
        <v>70</v>
      </c>
      <c r="C50" s="33" t="s">
        <v>71</v>
      </c>
      <c r="D50" s="34">
        <v>1.5E-3</v>
      </c>
      <c r="E50" s="35">
        <f>'Aug 18'!$D50*$C$6*$C$2</f>
        <v>96530.125678650002</v>
      </c>
      <c r="F50" s="35">
        <v>161059</v>
      </c>
      <c r="G50" s="71">
        <f>'Aug 18'!$E50/'Aug 18'!$F50</f>
        <v>0.59934636175966571</v>
      </c>
      <c r="H50" s="33">
        <v>1</v>
      </c>
      <c r="I50" s="33">
        <v>1</v>
      </c>
      <c r="J50" s="37">
        <f t="shared" si="4"/>
        <v>0</v>
      </c>
      <c r="K50" s="38">
        <f>'Aug 18'!$F50*'Aug 18'!$I50</f>
        <v>161059</v>
      </c>
      <c r="L50" s="39">
        <f>'Aug 18'!$K50/$K$2</f>
        <v>2.5095197874931553E-3</v>
      </c>
      <c r="M50" s="40"/>
      <c r="N50" s="2"/>
      <c r="O50" s="2">
        <f>Table138958456799[[#This Row],[Change]]*Table138958456799[[#This Row],[Last price]]</f>
        <v>0</v>
      </c>
      <c r="P50" s="42">
        <f t="shared" si="1"/>
        <v>0</v>
      </c>
      <c r="R50" s="41" t="s">
        <v>198</v>
      </c>
    </row>
    <row r="51" spans="1:18" s="41" customFormat="1" ht="25.5" x14ac:dyDescent="0.2">
      <c r="A51" s="33" t="s">
        <v>195</v>
      </c>
      <c r="B51" s="33" t="s">
        <v>81</v>
      </c>
      <c r="C51" s="33" t="s">
        <v>82</v>
      </c>
      <c r="D51" s="34">
        <v>1.5E-3</v>
      </c>
      <c r="E51" s="35">
        <f>'Aug 18'!$D51*$C$6*$C$2</f>
        <v>96530.125678650002</v>
      </c>
      <c r="F51" s="35">
        <v>87636</v>
      </c>
      <c r="G51" s="71">
        <f>'Aug 18'!$E51/'Aug 18'!$F51</f>
        <v>1.1014894070775709</v>
      </c>
      <c r="H51" s="33">
        <v>1</v>
      </c>
      <c r="I51" s="33">
        <v>1</v>
      </c>
      <c r="J51" s="37">
        <f t="shared" si="4"/>
        <v>0</v>
      </c>
      <c r="K51" s="38">
        <f>'Aug 18'!$F51*'Aug 18'!$I51</f>
        <v>87636</v>
      </c>
      <c r="L51" s="39">
        <f>'Aug 18'!$K51/$K$2</f>
        <v>1.3654888959744576E-3</v>
      </c>
      <c r="M51" s="40"/>
      <c r="N51" s="2"/>
      <c r="O51" s="2">
        <f>Table138958456799[[#This Row],[Change]]*Table138958456799[[#This Row],[Last price]]</f>
        <v>0</v>
      </c>
      <c r="P51" s="42">
        <f t="shared" si="1"/>
        <v>0</v>
      </c>
    </row>
    <row r="52" spans="1:18" s="41" customFormat="1" ht="25.5" x14ac:dyDescent="0.2">
      <c r="A52" s="33" t="s">
        <v>195</v>
      </c>
      <c r="B52" s="33" t="s">
        <v>200</v>
      </c>
      <c r="C52" s="33" t="s">
        <v>84</v>
      </c>
      <c r="D52" s="34">
        <v>1.5E-3</v>
      </c>
      <c r="E52" s="35">
        <f>'Aug 18'!$D52*$C$6*$C$2</f>
        <v>96530.125678650002</v>
      </c>
      <c r="F52" s="35">
        <v>222367</v>
      </c>
      <c r="G52" s="71">
        <f>'Aug 18'!$E52/'Aug 18'!$F52</f>
        <v>0.43410274761385459</v>
      </c>
      <c r="H52" s="33">
        <v>1</v>
      </c>
      <c r="I52" s="33">
        <v>1</v>
      </c>
      <c r="J52" s="37">
        <f t="shared" si="4"/>
        <v>0</v>
      </c>
      <c r="K52" s="38">
        <f>'Aug 18'!$F52*'Aug 18'!$I52</f>
        <v>222367</v>
      </c>
      <c r="L52" s="39">
        <f>'Aug 18'!$K52/$K$2</f>
        <v>3.4647823877305244E-3</v>
      </c>
      <c r="M52" s="40"/>
      <c r="N52" s="2"/>
      <c r="O52" s="2">
        <f>Table138958456799[[#This Row],[Change]]*Table138958456799[[#This Row],[Last price]]</f>
        <v>0</v>
      </c>
      <c r="P52" s="42">
        <f t="shared" si="1"/>
        <v>0</v>
      </c>
    </row>
    <row r="53" spans="1:18" s="41" customFormat="1" ht="25.5" x14ac:dyDescent="0.2">
      <c r="A53" s="33" t="s">
        <v>195</v>
      </c>
      <c r="B53" s="33" t="s">
        <v>86</v>
      </c>
      <c r="C53" s="33" t="s">
        <v>87</v>
      </c>
      <c r="D53" s="34">
        <v>1.5E-3</v>
      </c>
      <c r="E53" s="35">
        <f>'Aug 18'!$D53*$C$6*$C$2</f>
        <v>96530.125678650002</v>
      </c>
      <c r="F53" s="35">
        <v>48959</v>
      </c>
      <c r="G53" s="71">
        <f>'Aug 18'!$E53/'Aug 18'!$F53</f>
        <v>1.9716523147664373</v>
      </c>
      <c r="H53" s="33">
        <v>1</v>
      </c>
      <c r="I53" s="33">
        <v>1</v>
      </c>
      <c r="J53" s="37">
        <f t="shared" si="4"/>
        <v>0</v>
      </c>
      <c r="K53" s="38">
        <f>'Aug 18'!$F53*'Aug 18'!$I53</f>
        <v>48959</v>
      </c>
      <c r="L53" s="39">
        <f>'Aug 18'!$K53/$K$2</f>
        <v>7.6284826849711842E-4</v>
      </c>
      <c r="M53" s="40"/>
      <c r="N53" s="2"/>
      <c r="O53" s="2">
        <f>Table138958456799[[#This Row],[Change]]*Table138958456799[[#This Row],[Last price]]</f>
        <v>0</v>
      </c>
      <c r="P53" s="42">
        <f t="shared" si="1"/>
        <v>0</v>
      </c>
    </row>
    <row r="54" spans="1:18" s="41" customFormat="1" ht="25.5" x14ac:dyDescent="0.2">
      <c r="A54" s="33" t="s">
        <v>195</v>
      </c>
      <c r="B54" s="33" t="s">
        <v>89</v>
      </c>
      <c r="C54" s="33" t="s">
        <v>90</v>
      </c>
      <c r="D54" s="34">
        <v>1.5E-3</v>
      </c>
      <c r="E54" s="35">
        <f>'Aug 18'!$D54*$C$6*$C$2</f>
        <v>96530.125678650002</v>
      </c>
      <c r="F54" s="35">
        <v>48989</v>
      </c>
      <c r="G54" s="71">
        <f>'Aug 18'!$E54/'Aug 18'!$F54</f>
        <v>1.970444909646043</v>
      </c>
      <c r="H54" s="33">
        <v>1</v>
      </c>
      <c r="I54" s="33">
        <v>1</v>
      </c>
      <c r="J54" s="37">
        <f t="shared" si="4"/>
        <v>0</v>
      </c>
      <c r="K54" s="38">
        <f>'Aug 18'!$F54*'Aug 18'!$I54</f>
        <v>48989</v>
      </c>
      <c r="L54" s="39">
        <f>'Aug 18'!$K54/$K$2</f>
        <v>7.633157095815955E-4</v>
      </c>
      <c r="M54" s="40"/>
      <c r="N54" s="2"/>
      <c r="O54" s="2">
        <f>Table138958456799[[#This Row],[Change]]*Table138958456799[[#This Row],[Last price]]</f>
        <v>0</v>
      </c>
      <c r="P54" s="42">
        <f t="shared" si="1"/>
        <v>0</v>
      </c>
    </row>
    <row r="55" spans="1:18" s="41" customFormat="1" ht="25.5" x14ac:dyDescent="0.2">
      <c r="A55" s="33" t="s">
        <v>195</v>
      </c>
      <c r="B55" s="33" t="s">
        <v>202</v>
      </c>
      <c r="C55" s="33" t="s">
        <v>92</v>
      </c>
      <c r="D55" s="34">
        <v>1.5E-3</v>
      </c>
      <c r="E55" s="35">
        <f>'Aug 18'!$D55*$C$6*$C$2</f>
        <v>96530.125678650002</v>
      </c>
      <c r="F55" s="35">
        <v>12276</v>
      </c>
      <c r="G55" s="71">
        <f>'Aug 18'!$E55/'Aug 18'!$F55</f>
        <v>7.8633207623533723</v>
      </c>
      <c r="H55" s="33">
        <v>7</v>
      </c>
      <c r="I55" s="33">
        <v>7</v>
      </c>
      <c r="J55" s="37">
        <f t="shared" si="4"/>
        <v>0</v>
      </c>
      <c r="K55" s="38">
        <f>'Aug 18'!$F55*'Aug 18'!$I55</f>
        <v>85932</v>
      </c>
      <c r="L55" s="39">
        <f>'Aug 18'!$K55/$K$2</f>
        <v>1.3389382423761593E-3</v>
      </c>
      <c r="M55" s="40"/>
      <c r="N55" s="2"/>
      <c r="O55" s="2">
        <f>Table138958456799[[#This Row],[Change]]*Table138958456799[[#This Row],[Last price]]</f>
        <v>0</v>
      </c>
      <c r="P55" s="42">
        <f t="shared" si="1"/>
        <v>0</v>
      </c>
    </row>
    <row r="56" spans="1:18" s="41" customFormat="1" ht="25.5" x14ac:dyDescent="0.2">
      <c r="A56" s="33" t="s">
        <v>195</v>
      </c>
      <c r="B56" s="33" t="s">
        <v>96</v>
      </c>
      <c r="C56" s="33" t="s">
        <v>97</v>
      </c>
      <c r="D56" s="34">
        <v>1.5E-3</v>
      </c>
      <c r="E56" s="35">
        <f>'Aug 18'!$D56*$C$6*$C$2</f>
        <v>96530.125678650002</v>
      </c>
      <c r="F56" s="35">
        <v>87374</v>
      </c>
      <c r="G56" s="71">
        <f>'Aug 18'!$E56/'Aug 18'!$F56</f>
        <v>1.1047923372931308</v>
      </c>
      <c r="H56" s="33">
        <v>1</v>
      </c>
      <c r="I56" s="33">
        <v>1</v>
      </c>
      <c r="J56" s="37">
        <f t="shared" si="4"/>
        <v>0</v>
      </c>
      <c r="K56" s="38">
        <f>'Aug 18'!$F56*'Aug 18'!$I56</f>
        <v>87374</v>
      </c>
      <c r="L56" s="39">
        <f>'Aug 18'!$K56/$K$2</f>
        <v>1.3614065771700246E-3</v>
      </c>
      <c r="M56" s="40"/>
      <c r="N56" s="2"/>
      <c r="O56" s="2">
        <f>Table138958456799[[#This Row],[Change]]*Table138958456799[[#This Row],[Last price]]</f>
        <v>0</v>
      </c>
      <c r="P56" s="42">
        <f t="shared" si="1"/>
        <v>0</v>
      </c>
    </row>
    <row r="57" spans="1:18" ht="26.25" x14ac:dyDescent="0.25">
      <c r="A57" s="33" t="s">
        <v>195</v>
      </c>
      <c r="B57" s="60" t="s">
        <v>123</v>
      </c>
      <c r="C57" s="60" t="s">
        <v>124</v>
      </c>
      <c r="D57" s="34">
        <v>1.5E-3</v>
      </c>
      <c r="E57" s="35">
        <f>'Aug 18'!$D57*$C$6*$C$2</f>
        <v>96530.125678650002</v>
      </c>
      <c r="F57" s="35">
        <v>61025</v>
      </c>
      <c r="G57" s="71">
        <f>'Aug 18'!$E57/'Aug 18'!$F57</f>
        <v>1.5818127927677181</v>
      </c>
      <c r="H57" s="33">
        <v>1</v>
      </c>
      <c r="I57" s="33">
        <v>1</v>
      </c>
      <c r="J57" s="37">
        <f t="shared" si="4"/>
        <v>0</v>
      </c>
      <c r="K57" s="38">
        <f>'Aug 18'!$F57*'Aug 18'!$I57</f>
        <v>61025</v>
      </c>
      <c r="L57" s="39">
        <f>'Aug 18'!$K57/$K$2</f>
        <v>9.5085307267380164E-4</v>
      </c>
      <c r="M57" s="62"/>
      <c r="O57" s="2">
        <f>Table138958456799[[#This Row],[Change]]*Table138958456799[[#This Row],[Last price]]</f>
        <v>0</v>
      </c>
      <c r="P57" s="42">
        <f t="shared" si="1"/>
        <v>0</v>
      </c>
    </row>
    <row r="58" spans="1:18" s="41" customFormat="1" ht="25.5" x14ac:dyDescent="0.2">
      <c r="A58" s="33" t="s">
        <v>195</v>
      </c>
      <c r="B58" s="33" t="s">
        <v>205</v>
      </c>
      <c r="C58" s="33" t="s">
        <v>95</v>
      </c>
      <c r="D58" s="34">
        <v>1.5E-3</v>
      </c>
      <c r="E58" s="35">
        <f>'Aug 18'!$D58*$C$6*$C$2</f>
        <v>96530.125678650002</v>
      </c>
      <c r="F58" s="35">
        <v>140500</v>
      </c>
      <c r="G58" s="71">
        <f>'Aug 18'!$E58/'Aug 18'!$F58</f>
        <v>0.68704715785516013</v>
      </c>
      <c r="H58" s="33">
        <v>1</v>
      </c>
      <c r="I58" s="33">
        <v>1</v>
      </c>
      <c r="J58" s="37">
        <f t="shared" si="4"/>
        <v>0</v>
      </c>
      <c r="K58" s="38">
        <f>'Aug 18'!$F58*'Aug 18'!$I58</f>
        <v>140500</v>
      </c>
      <c r="L58" s="39">
        <f>'Aug 18'!$K58/$K$2</f>
        <v>2.1891824123010098E-3</v>
      </c>
      <c r="M58" s="40"/>
      <c r="N58" s="2"/>
      <c r="O58" s="2">
        <f>Table138958456799[[#This Row],[Change]]*Table138958456799[[#This Row],[Last price]]</f>
        <v>0</v>
      </c>
      <c r="P58" s="42">
        <f t="shared" si="1"/>
        <v>0</v>
      </c>
    </row>
    <row r="59" spans="1:18" s="41" customFormat="1" ht="12.75" x14ac:dyDescent="0.2">
      <c r="A59" s="33"/>
      <c r="B59" s="33"/>
      <c r="C59" s="33"/>
      <c r="D59" s="34"/>
      <c r="E59" s="35"/>
      <c r="F59" s="35"/>
      <c r="G59" s="36"/>
      <c r="H59" s="33"/>
      <c r="I59" s="33"/>
      <c r="J59" s="40"/>
      <c r="K59" s="38"/>
      <c r="L59" s="39"/>
      <c r="M59" s="40"/>
      <c r="N59" s="2"/>
      <c r="O59" s="2">
        <f>Table138958456799[[#This Row],[Change]]*Table138958456799[[#This Row],[Last price]]</f>
        <v>0</v>
      </c>
      <c r="P59" s="42">
        <f t="shared" si="1"/>
        <v>0</v>
      </c>
    </row>
    <row r="60" spans="1:18" s="41" customFormat="1" ht="12.75" x14ac:dyDescent="0.2">
      <c r="A60" s="33"/>
      <c r="B60" s="33"/>
      <c r="C60" s="33"/>
      <c r="D60" s="34"/>
      <c r="E60" s="35"/>
      <c r="F60" s="35"/>
      <c r="G60" s="36"/>
      <c r="H60" s="33"/>
      <c r="I60" s="33"/>
      <c r="J60" s="40"/>
      <c r="K60" s="38"/>
      <c r="L60" s="39"/>
      <c r="M60" s="40"/>
      <c r="N60" s="2"/>
      <c r="O60" s="2">
        <f>Table138958456799[[#This Row],[Change]]*Table138958456799[[#This Row],[Last price]]</f>
        <v>0</v>
      </c>
      <c r="P60" s="42">
        <f t="shared" si="1"/>
        <v>0</v>
      </c>
    </row>
    <row r="61" spans="1:18" s="41" customFormat="1" ht="12.75" x14ac:dyDescent="0.2">
      <c r="A61" s="33"/>
      <c r="B61" s="33"/>
      <c r="C61" s="33"/>
      <c r="D61" s="34"/>
      <c r="E61" s="35"/>
      <c r="F61" s="35"/>
      <c r="G61" s="36"/>
      <c r="H61" s="33"/>
      <c r="I61" s="33"/>
      <c r="J61" s="40"/>
      <c r="K61" s="38"/>
      <c r="L61" s="39"/>
      <c r="M61" s="40"/>
      <c r="N61" s="2"/>
      <c r="O61" s="2">
        <f>Table138958456799[[#This Row],[Change]]*Table138958456799[[#This Row],[Last price]]</f>
        <v>0</v>
      </c>
      <c r="P61" s="42">
        <f t="shared" si="1"/>
        <v>0</v>
      </c>
    </row>
    <row r="62" spans="1:18" s="41" customFormat="1" ht="12.75" x14ac:dyDescent="0.2">
      <c r="A62" s="33"/>
      <c r="B62" s="33"/>
      <c r="C62" s="33"/>
      <c r="D62" s="34"/>
      <c r="E62" s="35"/>
      <c r="F62" s="35"/>
      <c r="G62" s="36"/>
      <c r="H62" s="33"/>
      <c r="I62" s="33"/>
      <c r="J62" s="40"/>
      <c r="K62" s="38"/>
      <c r="L62" s="39"/>
      <c r="M62" s="40"/>
      <c r="N62" s="2"/>
      <c r="O62" s="2">
        <f>Table138958456799[[#This Row],[Change]]*Table138958456799[[#This Row],[Last price]]</f>
        <v>0</v>
      </c>
      <c r="P62" s="42">
        <f t="shared" si="1"/>
        <v>0</v>
      </c>
    </row>
    <row r="63" spans="1:18" s="41" customFormat="1" ht="12.75" x14ac:dyDescent="0.2">
      <c r="A63" s="33"/>
      <c r="B63" s="33"/>
      <c r="C63" s="33"/>
      <c r="D63" s="34"/>
      <c r="E63" s="35"/>
      <c r="F63" s="35"/>
      <c r="G63" s="36"/>
      <c r="H63" s="33"/>
      <c r="I63" s="33"/>
      <c r="J63" s="40"/>
      <c r="K63" s="38"/>
      <c r="L63" s="39"/>
      <c r="M63" s="40"/>
      <c r="N63" s="2"/>
      <c r="O63" s="2">
        <f>Table138958456799[[#This Row],[Change]]*Table138958456799[[#This Row],[Last price]]</f>
        <v>0</v>
      </c>
      <c r="P63" s="42">
        <f t="shared" si="1"/>
        <v>0</v>
      </c>
    </row>
    <row r="64" spans="1:18" s="41" customFormat="1" ht="12.75" x14ac:dyDescent="0.2">
      <c r="A64" s="33"/>
      <c r="B64" s="33"/>
      <c r="C64" s="33"/>
      <c r="D64" s="34"/>
      <c r="E64" s="35"/>
      <c r="F64" s="35"/>
      <c r="G64" s="36"/>
      <c r="H64" s="33"/>
      <c r="I64" s="33"/>
      <c r="J64" s="40"/>
      <c r="K64" s="38"/>
      <c r="L64" s="39"/>
      <c r="M64" s="40"/>
      <c r="N64" s="2"/>
      <c r="O64" s="2">
        <f>Table138958456799[[#This Row],[Change]]*Table138958456799[[#This Row],[Last price]]</f>
        <v>0</v>
      </c>
      <c r="P64" s="42">
        <f t="shared" si="1"/>
        <v>0</v>
      </c>
    </row>
    <row r="65" spans="1:16" s="41" customFormat="1" ht="12.75" x14ac:dyDescent="0.2">
      <c r="A65" s="33"/>
      <c r="B65" s="33"/>
      <c r="C65" s="33"/>
      <c r="D65" s="34"/>
      <c r="E65" s="35"/>
      <c r="F65" s="35"/>
      <c r="G65" s="36"/>
      <c r="H65" s="33"/>
      <c r="I65" s="33"/>
      <c r="J65" s="40"/>
      <c r="K65" s="38"/>
      <c r="L65" s="39"/>
      <c r="M65" s="40"/>
      <c r="N65" s="2"/>
      <c r="O65" s="2">
        <f>Table138958456799[[#This Row],[Change]]*Table138958456799[[#This Row],[Last price]]</f>
        <v>0</v>
      </c>
      <c r="P65" s="42">
        <f t="shared" si="1"/>
        <v>0</v>
      </c>
    </row>
    <row r="66" spans="1:16" s="15" customFormat="1" ht="12.75" x14ac:dyDescent="0.2">
      <c r="A66" s="47" t="s">
        <v>206</v>
      </c>
      <c r="B66" s="65"/>
      <c r="C66" s="65"/>
      <c r="D66" s="72">
        <f>SUM(D49:D65)</f>
        <v>1.4999999999999998E-2</v>
      </c>
      <c r="E66" s="49">
        <f>SUM(E48:E65)</f>
        <v>965301.25678649999</v>
      </c>
      <c r="F66" s="70"/>
      <c r="G66" s="70"/>
      <c r="H66" s="65"/>
      <c r="I66" s="65"/>
      <c r="J66" s="47"/>
      <c r="K66" s="49">
        <f>SUM(K48:K65)</f>
        <v>1030625</v>
      </c>
      <c r="L66" s="53">
        <f>'Aug 18'!$K66/$K$2</f>
        <v>1.6058548922973155E-2</v>
      </c>
      <c r="M66" s="50"/>
      <c r="O66" s="41"/>
      <c r="P66" s="41"/>
    </row>
    <row r="67" spans="1:16" x14ac:dyDescent="0.25">
      <c r="A67" s="33"/>
      <c r="B67" s="60"/>
      <c r="C67" s="60"/>
      <c r="D67" s="73"/>
      <c r="E67" s="35"/>
      <c r="F67" s="35"/>
      <c r="G67" s="36"/>
      <c r="H67" s="60"/>
      <c r="I67" s="60"/>
      <c r="J67" s="33"/>
      <c r="K67" s="33"/>
      <c r="L67" s="39"/>
      <c r="M67" s="62"/>
      <c r="O67" s="41"/>
      <c r="P67" s="41"/>
    </row>
    <row r="68" spans="1:16" x14ac:dyDescent="0.25">
      <c r="A68" s="33"/>
      <c r="B68" s="60"/>
      <c r="C68" s="60"/>
      <c r="D68" s="74"/>
      <c r="E68" s="63"/>
      <c r="F68" s="35"/>
      <c r="G68" s="61"/>
      <c r="H68" s="60"/>
      <c r="I68" s="60"/>
      <c r="J68" s="33"/>
      <c r="K68" s="33"/>
      <c r="L68" s="39"/>
      <c r="M68" s="62"/>
      <c r="O68" s="41"/>
      <c r="P68" s="41"/>
    </row>
    <row r="69" spans="1:16" s="15" customFormat="1" ht="12.75" x14ac:dyDescent="0.2">
      <c r="A69" s="47" t="s">
        <v>207</v>
      </c>
      <c r="B69" s="65"/>
      <c r="C69" s="65"/>
      <c r="D69" s="65"/>
      <c r="E69" s="75"/>
      <c r="F69" s="75"/>
      <c r="G69" s="65"/>
      <c r="H69" s="65"/>
      <c r="I69" s="65"/>
      <c r="J69" s="65"/>
      <c r="K69" s="75">
        <f>SUM(K23,K25,K35,K46,K66)</f>
        <v>64179211.019845068</v>
      </c>
      <c r="L69" s="53">
        <f>'Aug 18'!$K69/$K$2</f>
        <v>0.99999999999999989</v>
      </c>
      <c r="M69" s="65"/>
      <c r="O69" s="41"/>
      <c r="P69" s="41"/>
    </row>
    <row r="70" spans="1:16" x14ac:dyDescent="0.25">
      <c r="A70" s="62"/>
      <c r="B70" s="62"/>
      <c r="C70" s="62"/>
      <c r="D70" s="76"/>
      <c r="E70" s="77"/>
      <c r="F70" s="35"/>
      <c r="G70" s="78"/>
      <c r="H70" s="62"/>
      <c r="I70" s="62"/>
      <c r="J70" s="62"/>
      <c r="K70" s="62"/>
      <c r="L70" s="39"/>
      <c r="M70" s="62"/>
      <c r="O70" s="41"/>
      <c r="P70" s="41"/>
    </row>
    <row r="71" spans="1:16" x14ac:dyDescent="0.25">
      <c r="A71" s="62"/>
      <c r="B71" s="62"/>
      <c r="C71" s="62"/>
      <c r="D71" s="76"/>
      <c r="E71" s="77"/>
      <c r="F71" s="35"/>
      <c r="G71" s="78"/>
      <c r="H71" s="62"/>
      <c r="I71" s="62"/>
      <c r="J71" s="62"/>
      <c r="K71" s="62"/>
      <c r="L71" s="39"/>
      <c r="M71" s="62"/>
      <c r="O71" s="41"/>
      <c r="P71" s="41"/>
    </row>
    <row r="72" spans="1:16" x14ac:dyDescent="0.25">
      <c r="A72" s="62"/>
      <c r="B72" s="62"/>
      <c r="C72" s="62"/>
      <c r="D72" s="76"/>
      <c r="E72" s="77"/>
      <c r="F72" s="35"/>
      <c r="G72" s="78"/>
      <c r="H72" s="62"/>
      <c r="I72" s="62"/>
      <c r="J72" s="62"/>
      <c r="K72" s="62"/>
      <c r="L72" s="39"/>
      <c r="M72" s="62"/>
      <c r="O72" s="41"/>
      <c r="P72" s="41"/>
    </row>
    <row r="73" spans="1:16" x14ac:dyDescent="0.25">
      <c r="A73" s="62"/>
      <c r="B73" s="62"/>
      <c r="C73" s="62"/>
      <c r="D73" s="76"/>
      <c r="E73" s="77"/>
      <c r="F73" s="35"/>
      <c r="G73" s="78"/>
      <c r="H73" s="62"/>
      <c r="I73" s="62"/>
      <c r="J73" s="62"/>
      <c r="K73" s="62"/>
      <c r="L73" s="39"/>
      <c r="M73" s="62"/>
      <c r="O73" s="15"/>
      <c r="P73" s="15"/>
    </row>
    <row r="74" spans="1:16" x14ac:dyDescent="0.25">
      <c r="A74" s="62"/>
      <c r="B74" s="62"/>
      <c r="C74" s="62"/>
      <c r="D74" s="76"/>
      <c r="E74" s="77"/>
      <c r="F74" s="35"/>
      <c r="G74" s="78"/>
      <c r="H74" s="62"/>
      <c r="I74" s="62"/>
      <c r="J74" s="62"/>
      <c r="K74" s="62"/>
      <c r="L74" s="39"/>
      <c r="M74" s="62"/>
    </row>
    <row r="75" spans="1:16" x14ac:dyDescent="0.25">
      <c r="A75" s="62"/>
      <c r="B75" s="62"/>
      <c r="C75" s="62"/>
      <c r="D75" s="76"/>
      <c r="E75" s="77"/>
      <c r="F75" s="35"/>
      <c r="G75" s="78"/>
      <c r="H75" s="62"/>
      <c r="I75" s="62"/>
      <c r="J75" s="62"/>
      <c r="K75" s="62"/>
      <c r="L75" s="39"/>
      <c r="M75" s="62"/>
    </row>
    <row r="76" spans="1:16" x14ac:dyDescent="0.25">
      <c r="A76" s="62"/>
      <c r="B76" s="62"/>
      <c r="C76" s="62"/>
      <c r="D76" s="76"/>
      <c r="E76" s="77"/>
      <c r="F76" s="35"/>
      <c r="G76" s="78"/>
      <c r="H76" s="62"/>
      <c r="I76" s="62"/>
      <c r="J76" s="62"/>
      <c r="K76" s="62"/>
      <c r="L76" s="39"/>
      <c r="M76" s="62"/>
      <c r="O76" s="15"/>
      <c r="P76" s="15"/>
    </row>
    <row r="77" spans="1:16" x14ac:dyDescent="0.25">
      <c r="A77" s="62"/>
      <c r="B77" s="62"/>
      <c r="C77" s="62"/>
      <c r="D77" s="76"/>
      <c r="E77" s="77"/>
      <c r="F77" s="35"/>
      <c r="G77" s="78"/>
      <c r="H77" s="62"/>
      <c r="I77" s="62"/>
      <c r="J77" s="62"/>
      <c r="K77" s="62"/>
      <c r="L77" s="39"/>
      <c r="M77" s="62"/>
    </row>
    <row r="78" spans="1:16" x14ac:dyDescent="0.25">
      <c r="A78" s="62"/>
      <c r="B78" s="62"/>
      <c r="C78" s="62"/>
      <c r="D78" s="76"/>
      <c r="E78" s="77"/>
      <c r="F78" s="35"/>
      <c r="G78" s="78"/>
      <c r="H78" s="62"/>
      <c r="I78" s="62"/>
      <c r="J78" s="62"/>
      <c r="K78" s="62"/>
      <c r="L78" s="39"/>
      <c r="M78" s="62"/>
    </row>
    <row r="79" spans="1:16" s="2" customFormat="1" ht="12.75" x14ac:dyDescent="0.2"/>
    <row r="80" spans="1:16" s="2" customFormat="1" ht="12.75" x14ac:dyDescent="0.2"/>
    <row r="82" spans="1:13" s="2" customFormat="1" ht="12.75" x14ac:dyDescent="0.2">
      <c r="A82" s="79"/>
      <c r="B82" s="79"/>
      <c r="E82" s="79"/>
      <c r="F82" s="79"/>
      <c r="G82" s="79"/>
      <c r="H82" s="80"/>
      <c r="M82" s="79"/>
    </row>
    <row r="83" spans="1:13" s="2" customFormat="1" ht="12.75" x14ac:dyDescent="0.2">
      <c r="A83" s="79"/>
      <c r="B83" s="79"/>
      <c r="E83" s="79"/>
      <c r="F83" s="79"/>
      <c r="G83" s="79"/>
      <c r="H83" s="80"/>
      <c r="M83" s="79"/>
    </row>
    <row r="84" spans="1:13" s="2" customFormat="1" ht="12.75" x14ac:dyDescent="0.2">
      <c r="A84" s="81"/>
      <c r="B84" s="81"/>
    </row>
    <row r="85" spans="1:13" s="2" customFormat="1" ht="12.75" x14ac:dyDescent="0.2">
      <c r="A85" s="82"/>
      <c r="B85" s="82"/>
      <c r="E85" s="82"/>
      <c r="F85" s="81"/>
      <c r="G85" s="81"/>
      <c r="M85" s="83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TWS data</vt:lpstr>
      <vt:lpstr>Aug 3</vt:lpstr>
      <vt:lpstr>Aug 5</vt:lpstr>
      <vt:lpstr>July 7-14 - Second_old</vt:lpstr>
      <vt:lpstr>Aug 7</vt:lpstr>
      <vt:lpstr>Aug 10</vt:lpstr>
      <vt:lpstr>Aug 12</vt:lpstr>
      <vt:lpstr>Aug 14</vt:lpstr>
      <vt:lpstr>Aug 18</vt:lpstr>
      <vt:lpstr>Aug 21</vt:lpstr>
      <vt:lpstr>Aug 24</vt:lpstr>
      <vt:lpstr>Aug 26</vt:lpstr>
      <vt:lpstr>Aug 28</vt:lpstr>
      <vt:lpstr>Aug 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Golden Horse</dc:creator>
  <dc:description/>
  <cp:lastModifiedBy>Golden Horse</cp:lastModifiedBy>
  <cp:revision>38</cp:revision>
  <cp:lastPrinted>2020-06-30T06:21:10Z</cp:lastPrinted>
  <dcterms:created xsi:type="dcterms:W3CDTF">2020-06-30T03:42:56Z</dcterms:created>
  <dcterms:modified xsi:type="dcterms:W3CDTF">2020-09-07T10:25:18Z</dcterms:modified>
  <dc:language>en-SG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f59dd16a-6f38-4c61-8740-1c2c41fd22a2</vt:lpwstr>
  </property>
</Properties>
</file>