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xr:revisionPtr revIDLastSave="0" documentId="13_ncr:1_{9654099D-DA75-4266-8A9E-05416B0FCAD8}" xr6:coauthVersionLast="45" xr6:coauthVersionMax="45" xr10:uidLastSave="{00000000-0000-0000-0000-000000000000}"/>
  <bookViews>
    <workbookView xWindow="-28920" yWindow="-120" windowWidth="29040" windowHeight="15840" tabRatio="850" activeTab="19" xr2:uid="{00000000-000D-0000-FFFF-FFFF00000000}"/>
  </bookViews>
  <sheets>
    <sheet name="TWS data" sheetId="1" r:id="rId1"/>
    <sheet name="Dec 01" sheetId="2" r:id="rId2"/>
    <sheet name="Dec 02" sheetId="3" r:id="rId3"/>
    <sheet name="Dec 03" sheetId="4" r:id="rId4"/>
    <sheet name="Dec 04" sheetId="5" r:id="rId5"/>
    <sheet name="Dec 07" sheetId="6" r:id="rId6"/>
    <sheet name="Dec 08" sheetId="7" r:id="rId7"/>
    <sheet name="Dec 09" sheetId="8" r:id="rId8"/>
    <sheet name="Dec 10" sheetId="9" r:id="rId9"/>
    <sheet name="Dec 11" sheetId="10" r:id="rId10"/>
    <sheet name="Dec 14" sheetId="11" r:id="rId11"/>
    <sheet name="Dec 15" sheetId="12" r:id="rId12"/>
    <sheet name="Dec 16" sheetId="13" r:id="rId13"/>
    <sheet name="Dec 17" sheetId="14" r:id="rId14"/>
    <sheet name="Dec 18" sheetId="15" r:id="rId15"/>
    <sheet name="Dec 22" sheetId="16" r:id="rId16"/>
    <sheet name="Dec 23" sheetId="17" r:id="rId17"/>
    <sheet name="Dec 28" sheetId="18" r:id="rId18"/>
    <sheet name="Dec 29" sheetId="19" r:id="rId19"/>
    <sheet name="Dec 30" sheetId="21" r:id="rId2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31" i="21" l="1"/>
  <c r="K30" i="21"/>
  <c r="K29" i="21"/>
  <c r="K11" i="19"/>
  <c r="K10" i="19"/>
  <c r="K46" i="21"/>
  <c r="K45" i="21"/>
  <c r="K44" i="21"/>
  <c r="K43" i="21"/>
  <c r="M58" i="1" l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55" i="21"/>
  <c r="J55" i="21"/>
  <c r="D53" i="21"/>
  <c r="H51" i="21"/>
  <c r="J51" i="21" s="1"/>
  <c r="H50" i="21"/>
  <c r="J50" i="21" s="1"/>
  <c r="H49" i="21"/>
  <c r="J49" i="21" s="1"/>
  <c r="H48" i="21"/>
  <c r="J48" i="21" s="1"/>
  <c r="H47" i="21"/>
  <c r="J47" i="21" s="1"/>
  <c r="H46" i="21"/>
  <c r="J46" i="21" s="1"/>
  <c r="H45" i="21"/>
  <c r="J45" i="21" s="1"/>
  <c r="H44" i="21"/>
  <c r="J44" i="21" s="1"/>
  <c r="H43" i="21"/>
  <c r="J43" i="21" s="1"/>
  <c r="H42" i="21"/>
  <c r="J42" i="21" s="1"/>
  <c r="D40" i="21"/>
  <c r="H38" i="21"/>
  <c r="F38" i="21"/>
  <c r="H37" i="21"/>
  <c r="H36" i="21"/>
  <c r="H35" i="21"/>
  <c r="H34" i="21"/>
  <c r="H33" i="21"/>
  <c r="H32" i="21"/>
  <c r="H31" i="21"/>
  <c r="H30" i="21"/>
  <c r="H29" i="21"/>
  <c r="H28" i="21"/>
  <c r="H26" i="21"/>
  <c r="D24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C6" i="21"/>
  <c r="E44" i="21" s="1"/>
  <c r="K54" i="19"/>
  <c r="J54" i="19"/>
  <c r="E54" i="19"/>
  <c r="D52" i="19"/>
  <c r="K50" i="19"/>
  <c r="J50" i="19"/>
  <c r="G50" i="19"/>
  <c r="E50" i="19"/>
  <c r="K49" i="19"/>
  <c r="J49" i="19"/>
  <c r="E49" i="19"/>
  <c r="G49" i="19" s="1"/>
  <c r="K48" i="19"/>
  <c r="J48" i="19"/>
  <c r="E48" i="19"/>
  <c r="G48" i="19" s="1"/>
  <c r="K47" i="19"/>
  <c r="J47" i="19"/>
  <c r="E47" i="19"/>
  <c r="G47" i="19" s="1"/>
  <c r="K46" i="19"/>
  <c r="J46" i="19"/>
  <c r="E46" i="19"/>
  <c r="G46" i="19" s="1"/>
  <c r="K45" i="19"/>
  <c r="J45" i="19"/>
  <c r="E45" i="19"/>
  <c r="G45" i="19" s="1"/>
  <c r="K44" i="19"/>
  <c r="J44" i="19"/>
  <c r="K43" i="19"/>
  <c r="J43" i="19"/>
  <c r="K42" i="19"/>
  <c r="J42" i="19"/>
  <c r="G42" i="19"/>
  <c r="E42" i="19"/>
  <c r="K41" i="19"/>
  <c r="K52" i="19" s="1"/>
  <c r="J41" i="19"/>
  <c r="E41" i="19"/>
  <c r="G41" i="19" s="1"/>
  <c r="D39" i="19"/>
  <c r="E39" i="19" s="1"/>
  <c r="I37" i="19"/>
  <c r="K37" i="19" s="1"/>
  <c r="G37" i="19"/>
  <c r="E37" i="19"/>
  <c r="E36" i="19"/>
  <c r="G36" i="19" s="1"/>
  <c r="I36" i="19" s="1"/>
  <c r="E34" i="19"/>
  <c r="G34" i="19" s="1"/>
  <c r="I34" i="19" s="1"/>
  <c r="I33" i="19"/>
  <c r="E33" i="19"/>
  <c r="G33" i="19" s="1"/>
  <c r="G32" i="19"/>
  <c r="I32" i="19" s="1"/>
  <c r="E32" i="19"/>
  <c r="G31" i="19"/>
  <c r="I31" i="19" s="1"/>
  <c r="E31" i="19"/>
  <c r="I30" i="19"/>
  <c r="J30" i="19" s="1"/>
  <c r="E30" i="19"/>
  <c r="G30" i="19" s="1"/>
  <c r="E29" i="19"/>
  <c r="G29" i="19" s="1"/>
  <c r="I29" i="19" s="1"/>
  <c r="K28" i="19"/>
  <c r="E28" i="19"/>
  <c r="G28" i="19" s="1"/>
  <c r="I28" i="19" s="1"/>
  <c r="J28" i="19" s="1"/>
  <c r="E26" i="19"/>
  <c r="G26" i="19" s="1"/>
  <c r="I26" i="19" s="1"/>
  <c r="E24" i="19"/>
  <c r="D24" i="19"/>
  <c r="K22" i="19"/>
  <c r="J22" i="19"/>
  <c r="G22" i="19"/>
  <c r="I22" i="19" s="1"/>
  <c r="E22" i="19"/>
  <c r="E20" i="19"/>
  <c r="G20" i="19" s="1"/>
  <c r="I20" i="19" s="1"/>
  <c r="E19" i="19"/>
  <c r="G19" i="19" s="1"/>
  <c r="I19" i="19" s="1"/>
  <c r="E18" i="19"/>
  <c r="G18" i="19" s="1"/>
  <c r="I18" i="19" s="1"/>
  <c r="G17" i="19"/>
  <c r="I17" i="19" s="1"/>
  <c r="E17" i="19"/>
  <c r="E16" i="19"/>
  <c r="G16" i="19" s="1"/>
  <c r="I16" i="19" s="1"/>
  <c r="G15" i="19"/>
  <c r="I15" i="19" s="1"/>
  <c r="E15" i="19"/>
  <c r="E14" i="19"/>
  <c r="G14" i="19" s="1"/>
  <c r="I14" i="19" s="1"/>
  <c r="K14" i="19" s="1"/>
  <c r="E13" i="19"/>
  <c r="G13" i="19" s="1"/>
  <c r="I13" i="19" s="1"/>
  <c r="E12" i="19"/>
  <c r="G12" i="19" s="1"/>
  <c r="I12" i="19" s="1"/>
  <c r="J12" i="19" s="1"/>
  <c r="E11" i="19"/>
  <c r="G11" i="19" s="1"/>
  <c r="I11" i="19" s="1"/>
  <c r="E10" i="19"/>
  <c r="G10" i="19" s="1"/>
  <c r="I10" i="19" s="1"/>
  <c r="J10" i="19" s="1"/>
  <c r="G9" i="19"/>
  <c r="I9" i="19" s="1"/>
  <c r="E9" i="19"/>
  <c r="C6" i="19"/>
  <c r="E44" i="19" s="1"/>
  <c r="G44" i="19" s="1"/>
  <c r="G5" i="19"/>
  <c r="K54" i="18"/>
  <c r="J54" i="18"/>
  <c r="E54" i="18"/>
  <c r="K52" i="18"/>
  <c r="D52" i="18"/>
  <c r="K50" i="18"/>
  <c r="J50" i="18"/>
  <c r="K49" i="18"/>
  <c r="J49" i="18"/>
  <c r="G49" i="18"/>
  <c r="E49" i="18"/>
  <c r="K48" i="18"/>
  <c r="J48" i="18"/>
  <c r="E48" i="18"/>
  <c r="G48" i="18" s="1"/>
  <c r="K47" i="18"/>
  <c r="J47" i="18"/>
  <c r="E47" i="18"/>
  <c r="G47" i="18" s="1"/>
  <c r="K46" i="18"/>
  <c r="J46" i="18"/>
  <c r="K45" i="18"/>
  <c r="J45" i="18"/>
  <c r="E45" i="18"/>
  <c r="G45" i="18" s="1"/>
  <c r="K44" i="18"/>
  <c r="J44" i="18"/>
  <c r="E44" i="18"/>
  <c r="G44" i="18" s="1"/>
  <c r="K43" i="18"/>
  <c r="J43" i="18"/>
  <c r="G43" i="18"/>
  <c r="E43" i="18"/>
  <c r="K42" i="18"/>
  <c r="J42" i="18"/>
  <c r="K41" i="18"/>
  <c r="J41" i="18"/>
  <c r="E41" i="18"/>
  <c r="G41" i="18" s="1"/>
  <c r="D39" i="18"/>
  <c r="E39" i="18" s="1"/>
  <c r="E37" i="18"/>
  <c r="G37" i="18" s="1"/>
  <c r="I37" i="18" s="1"/>
  <c r="E35" i="18"/>
  <c r="G35" i="18" s="1"/>
  <c r="I35" i="18" s="1"/>
  <c r="E33" i="18"/>
  <c r="G33" i="18" s="1"/>
  <c r="I33" i="18" s="1"/>
  <c r="E29" i="18"/>
  <c r="G29" i="18" s="1"/>
  <c r="I29" i="18" s="1"/>
  <c r="E28" i="18"/>
  <c r="G28" i="18" s="1"/>
  <c r="I28" i="18" s="1"/>
  <c r="K28" i="18" s="1"/>
  <c r="G26" i="18"/>
  <c r="I26" i="18" s="1"/>
  <c r="E26" i="18"/>
  <c r="E24" i="18"/>
  <c r="D24" i="18"/>
  <c r="G5" i="18" s="1"/>
  <c r="E21" i="18"/>
  <c r="G21" i="18" s="1"/>
  <c r="I21" i="18" s="1"/>
  <c r="I19" i="18"/>
  <c r="G19" i="18"/>
  <c r="E19" i="18"/>
  <c r="E15" i="18"/>
  <c r="G15" i="18" s="1"/>
  <c r="I15" i="18" s="1"/>
  <c r="E14" i="18"/>
  <c r="G14" i="18" s="1"/>
  <c r="I14" i="18" s="1"/>
  <c r="K14" i="18" s="1"/>
  <c r="K13" i="18"/>
  <c r="J13" i="18"/>
  <c r="I13" i="18"/>
  <c r="G13" i="18"/>
  <c r="E13" i="18"/>
  <c r="E12" i="18"/>
  <c r="G12" i="18" s="1"/>
  <c r="I12" i="18" s="1"/>
  <c r="I10" i="18"/>
  <c r="K10" i="18" s="1"/>
  <c r="G10" i="18"/>
  <c r="E10" i="18"/>
  <c r="C6" i="18"/>
  <c r="E46" i="18" s="1"/>
  <c r="G46" i="18" s="1"/>
  <c r="K54" i="17"/>
  <c r="J54" i="17"/>
  <c r="E54" i="17"/>
  <c r="D52" i="17"/>
  <c r="K50" i="17"/>
  <c r="J50" i="17"/>
  <c r="K49" i="17"/>
  <c r="J49" i="17"/>
  <c r="K48" i="17"/>
  <c r="J48" i="17"/>
  <c r="E48" i="17"/>
  <c r="G48" i="17" s="1"/>
  <c r="K47" i="17"/>
  <c r="K52" i="17" s="1"/>
  <c r="J47" i="17"/>
  <c r="K46" i="17"/>
  <c r="J46" i="17"/>
  <c r="K45" i="17"/>
  <c r="J45" i="17"/>
  <c r="K44" i="17"/>
  <c r="J44" i="17"/>
  <c r="K43" i="17"/>
  <c r="J43" i="17"/>
  <c r="E43" i="17"/>
  <c r="G43" i="17" s="1"/>
  <c r="K42" i="17"/>
  <c r="J42" i="17"/>
  <c r="K41" i="17"/>
  <c r="J41" i="17"/>
  <c r="E41" i="17"/>
  <c r="D39" i="17"/>
  <c r="E37" i="17"/>
  <c r="G37" i="17" s="1"/>
  <c r="I37" i="17" s="1"/>
  <c r="I31" i="17"/>
  <c r="J31" i="17" s="1"/>
  <c r="E31" i="17"/>
  <c r="G31" i="17" s="1"/>
  <c r="K29" i="17"/>
  <c r="J29" i="17"/>
  <c r="E29" i="17"/>
  <c r="G29" i="17" s="1"/>
  <c r="I29" i="17" s="1"/>
  <c r="E28" i="17"/>
  <c r="G28" i="17" s="1"/>
  <c r="I28" i="17" s="1"/>
  <c r="D24" i="17"/>
  <c r="G19" i="17"/>
  <c r="I19" i="17" s="1"/>
  <c r="K19" i="17" s="1"/>
  <c r="E19" i="17"/>
  <c r="E17" i="17"/>
  <c r="G17" i="17" s="1"/>
  <c r="I17" i="17" s="1"/>
  <c r="G16" i="17"/>
  <c r="I16" i="17" s="1"/>
  <c r="E16" i="17"/>
  <c r="C6" i="17"/>
  <c r="G5" i="17"/>
  <c r="K54" i="16"/>
  <c r="J54" i="16"/>
  <c r="D52" i="16"/>
  <c r="K50" i="16"/>
  <c r="J50" i="16"/>
  <c r="K49" i="16"/>
  <c r="J49" i="16"/>
  <c r="K48" i="16"/>
  <c r="J48" i="16"/>
  <c r="E48" i="16"/>
  <c r="G48" i="16" s="1"/>
  <c r="K47" i="16"/>
  <c r="J47" i="16"/>
  <c r="K46" i="16"/>
  <c r="J46" i="16"/>
  <c r="E46" i="16"/>
  <c r="G46" i="16" s="1"/>
  <c r="K45" i="16"/>
  <c r="J45" i="16"/>
  <c r="K44" i="16"/>
  <c r="J44" i="16"/>
  <c r="E44" i="16"/>
  <c r="G44" i="16" s="1"/>
  <c r="K43" i="16"/>
  <c r="J43" i="16"/>
  <c r="K42" i="16"/>
  <c r="J42" i="16"/>
  <c r="K41" i="16"/>
  <c r="J41" i="16"/>
  <c r="D39" i="16"/>
  <c r="G5" i="16" s="1"/>
  <c r="G36" i="16"/>
  <c r="I36" i="16" s="1"/>
  <c r="E36" i="16"/>
  <c r="E34" i="16"/>
  <c r="G34" i="16" s="1"/>
  <c r="I34" i="16" s="1"/>
  <c r="E29" i="16"/>
  <c r="G29" i="16" s="1"/>
  <c r="I29" i="16" s="1"/>
  <c r="K29" i="16" s="1"/>
  <c r="E26" i="16"/>
  <c r="G26" i="16" s="1"/>
  <c r="I26" i="16" s="1"/>
  <c r="K26" i="16" s="1"/>
  <c r="E24" i="16"/>
  <c r="D24" i="16"/>
  <c r="E22" i="16"/>
  <c r="G22" i="16" s="1"/>
  <c r="I22" i="16" s="1"/>
  <c r="E16" i="16"/>
  <c r="G16" i="16" s="1"/>
  <c r="I16" i="16" s="1"/>
  <c r="J15" i="16"/>
  <c r="E15" i="16"/>
  <c r="G15" i="16" s="1"/>
  <c r="I15" i="16" s="1"/>
  <c r="K15" i="16" s="1"/>
  <c r="E13" i="16"/>
  <c r="G13" i="16" s="1"/>
  <c r="I13" i="16" s="1"/>
  <c r="C6" i="16"/>
  <c r="K54" i="15"/>
  <c r="J54" i="15"/>
  <c r="K52" i="15"/>
  <c r="D52" i="15"/>
  <c r="G5" i="15" s="1"/>
  <c r="K50" i="15"/>
  <c r="J50" i="15"/>
  <c r="K49" i="15"/>
  <c r="J49" i="15"/>
  <c r="G49" i="15"/>
  <c r="E49" i="15"/>
  <c r="K48" i="15"/>
  <c r="J48" i="15"/>
  <c r="G48" i="15"/>
  <c r="E48" i="15"/>
  <c r="K47" i="15"/>
  <c r="J47" i="15"/>
  <c r="G47" i="15"/>
  <c r="E47" i="15"/>
  <c r="K46" i="15"/>
  <c r="J46" i="15"/>
  <c r="G46" i="15"/>
  <c r="K45" i="15"/>
  <c r="J45" i="15"/>
  <c r="E45" i="15"/>
  <c r="G45" i="15" s="1"/>
  <c r="K44" i="15"/>
  <c r="J44" i="15"/>
  <c r="E44" i="15"/>
  <c r="G44" i="15" s="1"/>
  <c r="K43" i="15"/>
  <c r="J43" i="15"/>
  <c r="E43" i="15"/>
  <c r="G43" i="15" s="1"/>
  <c r="K42" i="15"/>
  <c r="J42" i="15"/>
  <c r="E42" i="15"/>
  <c r="G42" i="15" s="1"/>
  <c r="K41" i="15"/>
  <c r="J41" i="15"/>
  <c r="E41" i="15"/>
  <c r="G41" i="15" s="1"/>
  <c r="E39" i="15"/>
  <c r="D39" i="15"/>
  <c r="E36" i="15"/>
  <c r="G36" i="15" s="1"/>
  <c r="I36" i="15" s="1"/>
  <c r="E35" i="15"/>
  <c r="G35" i="15" s="1"/>
  <c r="I35" i="15" s="1"/>
  <c r="E34" i="15"/>
  <c r="G34" i="15" s="1"/>
  <c r="I34" i="15" s="1"/>
  <c r="I33" i="15"/>
  <c r="G33" i="15"/>
  <c r="E33" i="15"/>
  <c r="E32" i="15"/>
  <c r="G32" i="15" s="1"/>
  <c r="I32" i="15" s="1"/>
  <c r="E31" i="15"/>
  <c r="G31" i="15" s="1"/>
  <c r="I31" i="15" s="1"/>
  <c r="E30" i="15"/>
  <c r="G30" i="15" s="1"/>
  <c r="I30" i="15" s="1"/>
  <c r="K30" i="15" s="1"/>
  <c r="E29" i="15"/>
  <c r="G29" i="15" s="1"/>
  <c r="I29" i="15" s="1"/>
  <c r="E28" i="15"/>
  <c r="G28" i="15" s="1"/>
  <c r="I28" i="15" s="1"/>
  <c r="J28" i="15" s="1"/>
  <c r="E26" i="15"/>
  <c r="G26" i="15" s="1"/>
  <c r="I26" i="15" s="1"/>
  <c r="D24" i="15"/>
  <c r="E22" i="15"/>
  <c r="G22" i="15" s="1"/>
  <c r="I22" i="15" s="1"/>
  <c r="E21" i="15"/>
  <c r="G21" i="15" s="1"/>
  <c r="I21" i="15" s="1"/>
  <c r="G20" i="15"/>
  <c r="I20" i="15" s="1"/>
  <c r="E20" i="15"/>
  <c r="G19" i="15"/>
  <c r="I19" i="15" s="1"/>
  <c r="E19" i="15"/>
  <c r="K18" i="15"/>
  <c r="I18" i="15"/>
  <c r="J18" i="15" s="1"/>
  <c r="E18" i="15"/>
  <c r="G18" i="15" s="1"/>
  <c r="E17" i="15"/>
  <c r="G17" i="15" s="1"/>
  <c r="I17" i="15" s="1"/>
  <c r="K16" i="15"/>
  <c r="E16" i="15"/>
  <c r="G16" i="15" s="1"/>
  <c r="I16" i="15" s="1"/>
  <c r="J16" i="15" s="1"/>
  <c r="E15" i="15"/>
  <c r="G15" i="15" s="1"/>
  <c r="I15" i="15" s="1"/>
  <c r="E14" i="15"/>
  <c r="G14" i="15" s="1"/>
  <c r="I14" i="15" s="1"/>
  <c r="J14" i="15" s="1"/>
  <c r="E13" i="15"/>
  <c r="G13" i="15" s="1"/>
  <c r="I13" i="15" s="1"/>
  <c r="K12" i="15"/>
  <c r="E12" i="15"/>
  <c r="G12" i="15" s="1"/>
  <c r="I12" i="15" s="1"/>
  <c r="J12" i="15" s="1"/>
  <c r="G10" i="15"/>
  <c r="I10" i="15" s="1"/>
  <c r="J10" i="15" s="1"/>
  <c r="E10" i="15"/>
  <c r="E9" i="15"/>
  <c r="G9" i="15" s="1"/>
  <c r="I9" i="15" s="1"/>
  <c r="J9" i="15" s="1"/>
  <c r="C6" i="15"/>
  <c r="E46" i="15" s="1"/>
  <c r="K54" i="14"/>
  <c r="J54" i="14"/>
  <c r="E54" i="14"/>
  <c r="D52" i="14"/>
  <c r="G5" i="14" s="1"/>
  <c r="K50" i="14"/>
  <c r="J50" i="14"/>
  <c r="E50" i="14"/>
  <c r="G50" i="14" s="1"/>
  <c r="K49" i="14"/>
  <c r="J49" i="14"/>
  <c r="E49" i="14"/>
  <c r="G49" i="14" s="1"/>
  <c r="K48" i="14"/>
  <c r="J48" i="14"/>
  <c r="E48" i="14"/>
  <c r="G48" i="14" s="1"/>
  <c r="K47" i="14"/>
  <c r="J47" i="14"/>
  <c r="K46" i="14"/>
  <c r="J46" i="14"/>
  <c r="K45" i="14"/>
  <c r="J45" i="14"/>
  <c r="K44" i="14"/>
  <c r="J44" i="14"/>
  <c r="K43" i="14"/>
  <c r="J43" i="14"/>
  <c r="E43" i="14"/>
  <c r="G43" i="14" s="1"/>
  <c r="K42" i="14"/>
  <c r="J42" i="14"/>
  <c r="E42" i="14"/>
  <c r="G42" i="14" s="1"/>
  <c r="K41" i="14"/>
  <c r="J41" i="14"/>
  <c r="E41" i="14"/>
  <c r="E39" i="14"/>
  <c r="D39" i="14"/>
  <c r="E37" i="14"/>
  <c r="G37" i="14" s="1"/>
  <c r="I37" i="14" s="1"/>
  <c r="G31" i="14"/>
  <c r="I31" i="14" s="1"/>
  <c r="J31" i="14" s="1"/>
  <c r="E31" i="14"/>
  <c r="G30" i="14"/>
  <c r="I30" i="14" s="1"/>
  <c r="K30" i="14" s="1"/>
  <c r="E30" i="14"/>
  <c r="D24" i="14"/>
  <c r="E24" i="14" s="1"/>
  <c r="E21" i="14"/>
  <c r="G21" i="14" s="1"/>
  <c r="I21" i="14" s="1"/>
  <c r="E15" i="14"/>
  <c r="G15" i="14" s="1"/>
  <c r="I15" i="14" s="1"/>
  <c r="E14" i="14"/>
  <c r="G14" i="14" s="1"/>
  <c r="I14" i="14" s="1"/>
  <c r="E12" i="14"/>
  <c r="G12" i="14" s="1"/>
  <c r="I12" i="14" s="1"/>
  <c r="C6" i="14"/>
  <c r="K54" i="13"/>
  <c r="J54" i="13"/>
  <c r="E54" i="13"/>
  <c r="D52" i="13"/>
  <c r="K50" i="13"/>
  <c r="J50" i="13"/>
  <c r="E50" i="13"/>
  <c r="G50" i="13" s="1"/>
  <c r="K49" i="13"/>
  <c r="J49" i="13"/>
  <c r="G49" i="13"/>
  <c r="E49" i="13"/>
  <c r="K48" i="13"/>
  <c r="J48" i="13"/>
  <c r="E48" i="13"/>
  <c r="G48" i="13" s="1"/>
  <c r="K47" i="13"/>
  <c r="J47" i="13"/>
  <c r="E47" i="13"/>
  <c r="G47" i="13" s="1"/>
  <c r="K46" i="13"/>
  <c r="J46" i="13"/>
  <c r="E46" i="13"/>
  <c r="G46" i="13" s="1"/>
  <c r="K45" i="13"/>
  <c r="J45" i="13"/>
  <c r="G45" i="13"/>
  <c r="E45" i="13"/>
  <c r="K44" i="13"/>
  <c r="J44" i="13"/>
  <c r="E44" i="13"/>
  <c r="G44" i="13" s="1"/>
  <c r="K43" i="13"/>
  <c r="J43" i="13"/>
  <c r="E43" i="13"/>
  <c r="G43" i="13" s="1"/>
  <c r="K42" i="13"/>
  <c r="J42" i="13"/>
  <c r="E42" i="13"/>
  <c r="G42" i="13" s="1"/>
  <c r="K41" i="13"/>
  <c r="J41" i="13"/>
  <c r="E41" i="13"/>
  <c r="D39" i="13"/>
  <c r="E39" i="13" s="1"/>
  <c r="E37" i="13"/>
  <c r="G37" i="13" s="1"/>
  <c r="I37" i="13" s="1"/>
  <c r="E36" i="13"/>
  <c r="G36" i="13" s="1"/>
  <c r="I36" i="13" s="1"/>
  <c r="E35" i="13"/>
  <c r="G35" i="13" s="1"/>
  <c r="I35" i="13" s="1"/>
  <c r="E34" i="13"/>
  <c r="G34" i="13" s="1"/>
  <c r="I34" i="13" s="1"/>
  <c r="E33" i="13"/>
  <c r="G33" i="13" s="1"/>
  <c r="I33" i="13" s="1"/>
  <c r="I32" i="13"/>
  <c r="G32" i="13"/>
  <c r="E32" i="13"/>
  <c r="K31" i="13"/>
  <c r="E31" i="13"/>
  <c r="G31" i="13" s="1"/>
  <c r="I31" i="13" s="1"/>
  <c r="J31" i="13" s="1"/>
  <c r="G30" i="13"/>
  <c r="I30" i="13" s="1"/>
  <c r="E30" i="13"/>
  <c r="E29" i="13"/>
  <c r="G29" i="13" s="1"/>
  <c r="I29" i="13" s="1"/>
  <c r="E28" i="13"/>
  <c r="G28" i="13" s="1"/>
  <c r="I28" i="13" s="1"/>
  <c r="E26" i="13"/>
  <c r="G26" i="13" s="1"/>
  <c r="I26" i="13" s="1"/>
  <c r="J26" i="13" s="1"/>
  <c r="D24" i="13"/>
  <c r="E24" i="13" s="1"/>
  <c r="I22" i="13"/>
  <c r="E22" i="13"/>
  <c r="G22" i="13" s="1"/>
  <c r="G21" i="13"/>
  <c r="I21" i="13" s="1"/>
  <c r="E21" i="13"/>
  <c r="G20" i="13"/>
  <c r="I20" i="13" s="1"/>
  <c r="E20" i="13"/>
  <c r="E19" i="13"/>
  <c r="G19" i="13" s="1"/>
  <c r="I19" i="13" s="1"/>
  <c r="E18" i="13"/>
  <c r="G18" i="13" s="1"/>
  <c r="I18" i="13" s="1"/>
  <c r="E17" i="13"/>
  <c r="G17" i="13" s="1"/>
  <c r="I17" i="13" s="1"/>
  <c r="E16" i="13"/>
  <c r="G16" i="13" s="1"/>
  <c r="I16" i="13" s="1"/>
  <c r="E15" i="13"/>
  <c r="G15" i="13" s="1"/>
  <c r="I15" i="13" s="1"/>
  <c r="I14" i="13"/>
  <c r="K14" i="13" s="1"/>
  <c r="E14" i="13"/>
  <c r="G14" i="13" s="1"/>
  <c r="E13" i="13"/>
  <c r="G13" i="13" s="1"/>
  <c r="I13" i="13" s="1"/>
  <c r="J13" i="13" s="1"/>
  <c r="I12" i="13"/>
  <c r="K12" i="13" s="1"/>
  <c r="G12" i="13"/>
  <c r="E12" i="13"/>
  <c r="E11" i="13"/>
  <c r="G11" i="13" s="1"/>
  <c r="I11" i="13" s="1"/>
  <c r="G10" i="13"/>
  <c r="I10" i="13" s="1"/>
  <c r="E10" i="13"/>
  <c r="I9" i="13"/>
  <c r="G9" i="13"/>
  <c r="E9" i="13"/>
  <c r="C6" i="13"/>
  <c r="K54" i="12"/>
  <c r="J54" i="12"/>
  <c r="D52" i="12"/>
  <c r="K50" i="12"/>
  <c r="J50" i="12"/>
  <c r="E50" i="12"/>
  <c r="G50" i="12" s="1"/>
  <c r="K49" i="12"/>
  <c r="J49" i="12"/>
  <c r="E49" i="12"/>
  <c r="G49" i="12" s="1"/>
  <c r="K48" i="12"/>
  <c r="J48" i="12"/>
  <c r="E48" i="12"/>
  <c r="G48" i="12" s="1"/>
  <c r="K47" i="12"/>
  <c r="J47" i="12"/>
  <c r="K46" i="12"/>
  <c r="J46" i="12"/>
  <c r="E46" i="12"/>
  <c r="G46" i="12" s="1"/>
  <c r="K45" i="12"/>
  <c r="J45" i="12"/>
  <c r="K44" i="12"/>
  <c r="J44" i="12"/>
  <c r="K43" i="12"/>
  <c r="J43" i="12"/>
  <c r="K42" i="12"/>
  <c r="J42" i="12"/>
  <c r="G42" i="12"/>
  <c r="E42" i="12"/>
  <c r="K41" i="12"/>
  <c r="J41" i="12"/>
  <c r="D39" i="12"/>
  <c r="G5" i="12" s="1"/>
  <c r="J36" i="12"/>
  <c r="I36" i="12"/>
  <c r="K36" i="12" s="1"/>
  <c r="G36" i="12"/>
  <c r="E36" i="12"/>
  <c r="I32" i="12"/>
  <c r="G32" i="12"/>
  <c r="E32" i="12"/>
  <c r="G31" i="12"/>
  <c r="I31" i="12" s="1"/>
  <c r="K31" i="12" s="1"/>
  <c r="E31" i="12"/>
  <c r="I30" i="12"/>
  <c r="K30" i="12" s="1"/>
  <c r="G30" i="12"/>
  <c r="E30" i="12"/>
  <c r="E29" i="12"/>
  <c r="G29" i="12" s="1"/>
  <c r="I29" i="12" s="1"/>
  <c r="D24" i="12"/>
  <c r="E22" i="12"/>
  <c r="G22" i="12" s="1"/>
  <c r="I22" i="12" s="1"/>
  <c r="G21" i="12"/>
  <c r="I21" i="12" s="1"/>
  <c r="E21" i="12"/>
  <c r="K18" i="12"/>
  <c r="J18" i="12"/>
  <c r="E18" i="12"/>
  <c r="G18" i="12" s="1"/>
  <c r="I18" i="12" s="1"/>
  <c r="G15" i="12"/>
  <c r="I15" i="12" s="1"/>
  <c r="E15" i="12"/>
  <c r="E13" i="12"/>
  <c r="G13" i="12" s="1"/>
  <c r="I13" i="12" s="1"/>
  <c r="G11" i="12"/>
  <c r="I11" i="12" s="1"/>
  <c r="E11" i="12"/>
  <c r="C6" i="12"/>
  <c r="K56" i="11"/>
  <c r="J56" i="11"/>
  <c r="E56" i="11"/>
  <c r="K54" i="11"/>
  <c r="D54" i="11"/>
  <c r="K52" i="11"/>
  <c r="J52" i="11"/>
  <c r="G52" i="11"/>
  <c r="E52" i="11"/>
  <c r="K51" i="11"/>
  <c r="J51" i="11"/>
  <c r="K50" i="11"/>
  <c r="J50" i="11"/>
  <c r="K49" i="11"/>
  <c r="J49" i="11"/>
  <c r="K48" i="11"/>
  <c r="J48" i="11"/>
  <c r="K47" i="11"/>
  <c r="J47" i="11"/>
  <c r="G47" i="11"/>
  <c r="E47" i="11"/>
  <c r="K46" i="11"/>
  <c r="J46" i="11"/>
  <c r="G46" i="11"/>
  <c r="E46" i="11"/>
  <c r="K45" i="11"/>
  <c r="J45" i="11"/>
  <c r="E45" i="11"/>
  <c r="G45" i="11" s="1"/>
  <c r="K44" i="11"/>
  <c r="J44" i="11"/>
  <c r="K43" i="11"/>
  <c r="J43" i="11"/>
  <c r="D41" i="11"/>
  <c r="E41" i="11" s="1"/>
  <c r="E39" i="11"/>
  <c r="G39" i="11" s="1"/>
  <c r="I39" i="11" s="1"/>
  <c r="E38" i="11"/>
  <c r="G38" i="11" s="1"/>
  <c r="I38" i="11" s="1"/>
  <c r="G37" i="11"/>
  <c r="I37" i="11" s="1"/>
  <c r="E37" i="11"/>
  <c r="K36" i="11"/>
  <c r="I36" i="11"/>
  <c r="J36" i="11" s="1"/>
  <c r="E36" i="11"/>
  <c r="G36" i="11" s="1"/>
  <c r="E35" i="11"/>
  <c r="G35" i="11" s="1"/>
  <c r="I35" i="11" s="1"/>
  <c r="G32" i="11"/>
  <c r="I32" i="11" s="1"/>
  <c r="E32" i="11"/>
  <c r="K31" i="11"/>
  <c r="J31" i="11"/>
  <c r="I31" i="11"/>
  <c r="E31" i="11"/>
  <c r="G31" i="11" s="1"/>
  <c r="E30" i="11"/>
  <c r="G30" i="11" s="1"/>
  <c r="I30" i="11" s="1"/>
  <c r="J30" i="11" s="1"/>
  <c r="E28" i="11"/>
  <c r="G28" i="11" s="1"/>
  <c r="I28" i="11" s="1"/>
  <c r="D26" i="11"/>
  <c r="E22" i="11"/>
  <c r="G22" i="11" s="1"/>
  <c r="I22" i="11" s="1"/>
  <c r="E21" i="11"/>
  <c r="G21" i="11" s="1"/>
  <c r="I21" i="11" s="1"/>
  <c r="K20" i="11"/>
  <c r="J20" i="11"/>
  <c r="I20" i="11"/>
  <c r="E20" i="11"/>
  <c r="G20" i="11" s="1"/>
  <c r="E19" i="11"/>
  <c r="G19" i="11" s="1"/>
  <c r="I19" i="11" s="1"/>
  <c r="I18" i="11"/>
  <c r="K18" i="11" s="1"/>
  <c r="G18" i="11"/>
  <c r="E18" i="11"/>
  <c r="E16" i="11"/>
  <c r="G16" i="11" s="1"/>
  <c r="I16" i="11" s="1"/>
  <c r="J16" i="11" s="1"/>
  <c r="E15" i="11"/>
  <c r="G15" i="11" s="1"/>
  <c r="I15" i="11" s="1"/>
  <c r="K14" i="11"/>
  <c r="G14" i="11"/>
  <c r="I14" i="11" s="1"/>
  <c r="J14" i="11" s="1"/>
  <c r="E14" i="11"/>
  <c r="E13" i="11"/>
  <c r="G13" i="11" s="1"/>
  <c r="I13" i="11" s="1"/>
  <c r="E12" i="11"/>
  <c r="G12" i="11" s="1"/>
  <c r="I12" i="11" s="1"/>
  <c r="C6" i="11"/>
  <c r="K54" i="10"/>
  <c r="J54" i="10"/>
  <c r="D52" i="10"/>
  <c r="K50" i="10"/>
  <c r="J50" i="10"/>
  <c r="G50" i="10"/>
  <c r="E50" i="10"/>
  <c r="K49" i="10"/>
  <c r="J49" i="10"/>
  <c r="K48" i="10"/>
  <c r="J48" i="10"/>
  <c r="K47" i="10"/>
  <c r="J47" i="10"/>
  <c r="E47" i="10"/>
  <c r="G47" i="10" s="1"/>
  <c r="K46" i="10"/>
  <c r="J46" i="10"/>
  <c r="E46" i="10"/>
  <c r="G46" i="10" s="1"/>
  <c r="K45" i="10"/>
  <c r="J45" i="10"/>
  <c r="K44" i="10"/>
  <c r="J44" i="10"/>
  <c r="E44" i="10"/>
  <c r="G44" i="10" s="1"/>
  <c r="K43" i="10"/>
  <c r="J43" i="10"/>
  <c r="E43" i="10"/>
  <c r="G43" i="10" s="1"/>
  <c r="K42" i="10"/>
  <c r="J42" i="10"/>
  <c r="K41" i="10"/>
  <c r="J41" i="10"/>
  <c r="D39" i="10"/>
  <c r="G5" i="10" s="1"/>
  <c r="E35" i="10"/>
  <c r="G35" i="10" s="1"/>
  <c r="I35" i="10" s="1"/>
  <c r="G34" i="10"/>
  <c r="I34" i="10" s="1"/>
  <c r="K34" i="10" s="1"/>
  <c r="E34" i="10"/>
  <c r="E32" i="10"/>
  <c r="G32" i="10" s="1"/>
  <c r="I32" i="10" s="1"/>
  <c r="G30" i="10"/>
  <c r="I30" i="10" s="1"/>
  <c r="E30" i="10"/>
  <c r="E28" i="10"/>
  <c r="G28" i="10" s="1"/>
  <c r="I28" i="10" s="1"/>
  <c r="J28" i="10" s="1"/>
  <c r="E26" i="10"/>
  <c r="G26" i="10" s="1"/>
  <c r="I26" i="10" s="1"/>
  <c r="D24" i="10"/>
  <c r="E21" i="10"/>
  <c r="G21" i="10" s="1"/>
  <c r="I21" i="10" s="1"/>
  <c r="E20" i="10"/>
  <c r="G20" i="10" s="1"/>
  <c r="I20" i="10" s="1"/>
  <c r="E19" i="10"/>
  <c r="G19" i="10" s="1"/>
  <c r="I19" i="10" s="1"/>
  <c r="G18" i="10"/>
  <c r="I18" i="10" s="1"/>
  <c r="E18" i="10"/>
  <c r="E14" i="10"/>
  <c r="G14" i="10" s="1"/>
  <c r="I14" i="10" s="1"/>
  <c r="G13" i="10"/>
  <c r="I13" i="10" s="1"/>
  <c r="K13" i="10" s="1"/>
  <c r="E13" i="10"/>
  <c r="E11" i="10"/>
  <c r="G11" i="10" s="1"/>
  <c r="I11" i="10" s="1"/>
  <c r="C6" i="10"/>
  <c r="E48" i="10" s="1"/>
  <c r="G48" i="10" s="1"/>
  <c r="K54" i="9"/>
  <c r="J54" i="9"/>
  <c r="E54" i="9"/>
  <c r="D52" i="9"/>
  <c r="G5" i="9" s="1"/>
  <c r="K50" i="9"/>
  <c r="J50" i="9"/>
  <c r="E50" i="9"/>
  <c r="G50" i="9" s="1"/>
  <c r="K49" i="9"/>
  <c r="J49" i="9"/>
  <c r="K48" i="9"/>
  <c r="J48" i="9"/>
  <c r="K47" i="9"/>
  <c r="J47" i="9"/>
  <c r="K46" i="9"/>
  <c r="J46" i="9"/>
  <c r="K45" i="9"/>
  <c r="J45" i="9"/>
  <c r="K44" i="9"/>
  <c r="J44" i="9"/>
  <c r="K43" i="9"/>
  <c r="J43" i="9"/>
  <c r="K42" i="9"/>
  <c r="J42" i="9"/>
  <c r="G42" i="9"/>
  <c r="E42" i="9"/>
  <c r="K41" i="9"/>
  <c r="J41" i="9"/>
  <c r="D39" i="9"/>
  <c r="E33" i="9"/>
  <c r="G33" i="9" s="1"/>
  <c r="I33" i="9" s="1"/>
  <c r="E29" i="9"/>
  <c r="G29" i="9" s="1"/>
  <c r="I29" i="9" s="1"/>
  <c r="D24" i="9"/>
  <c r="E24" i="9" s="1"/>
  <c r="E19" i="9"/>
  <c r="G19" i="9" s="1"/>
  <c r="I19" i="9" s="1"/>
  <c r="E18" i="9"/>
  <c r="G18" i="9" s="1"/>
  <c r="I18" i="9" s="1"/>
  <c r="E15" i="9"/>
  <c r="G15" i="9" s="1"/>
  <c r="I15" i="9" s="1"/>
  <c r="I9" i="9"/>
  <c r="J9" i="9" s="1"/>
  <c r="G9" i="9"/>
  <c r="E9" i="9"/>
  <c r="C6" i="9"/>
  <c r="E43" i="9" s="1"/>
  <c r="G43" i="9" s="1"/>
  <c r="K54" i="8"/>
  <c r="J54" i="8"/>
  <c r="D52" i="8"/>
  <c r="K50" i="8"/>
  <c r="J50" i="8"/>
  <c r="K49" i="8"/>
  <c r="J49" i="8"/>
  <c r="K48" i="8"/>
  <c r="J48" i="8"/>
  <c r="E48" i="8"/>
  <c r="G48" i="8" s="1"/>
  <c r="K47" i="8"/>
  <c r="J47" i="8"/>
  <c r="E47" i="8"/>
  <c r="G47" i="8" s="1"/>
  <c r="K46" i="8"/>
  <c r="J46" i="8"/>
  <c r="E46" i="8"/>
  <c r="G46" i="8" s="1"/>
  <c r="K45" i="8"/>
  <c r="J45" i="8"/>
  <c r="K44" i="8"/>
  <c r="J44" i="8"/>
  <c r="K43" i="8"/>
  <c r="J43" i="8"/>
  <c r="K42" i="8"/>
  <c r="J42" i="8"/>
  <c r="G42" i="8"/>
  <c r="E42" i="8"/>
  <c r="K41" i="8"/>
  <c r="J41" i="8"/>
  <c r="E41" i="8"/>
  <c r="D39" i="8"/>
  <c r="E39" i="8" s="1"/>
  <c r="E35" i="8"/>
  <c r="G35" i="8" s="1"/>
  <c r="I35" i="8" s="1"/>
  <c r="E34" i="8"/>
  <c r="G34" i="8" s="1"/>
  <c r="I34" i="8" s="1"/>
  <c r="E33" i="8"/>
  <c r="G33" i="8" s="1"/>
  <c r="I33" i="8" s="1"/>
  <c r="G32" i="8"/>
  <c r="I32" i="8" s="1"/>
  <c r="E32" i="8"/>
  <c r="E29" i="8"/>
  <c r="G29" i="8" s="1"/>
  <c r="I29" i="8" s="1"/>
  <c r="E28" i="8"/>
  <c r="G28" i="8" s="1"/>
  <c r="I28" i="8" s="1"/>
  <c r="E26" i="8"/>
  <c r="G26" i="8" s="1"/>
  <c r="I26" i="8" s="1"/>
  <c r="E24" i="8"/>
  <c r="D24" i="8"/>
  <c r="E21" i="8"/>
  <c r="G21" i="8" s="1"/>
  <c r="I21" i="8" s="1"/>
  <c r="E18" i="8"/>
  <c r="G18" i="8" s="1"/>
  <c r="I18" i="8" s="1"/>
  <c r="E15" i="8"/>
  <c r="G15" i="8" s="1"/>
  <c r="I15" i="8" s="1"/>
  <c r="G14" i="8"/>
  <c r="I14" i="8" s="1"/>
  <c r="E14" i="8"/>
  <c r="I13" i="8"/>
  <c r="K13" i="8" s="1"/>
  <c r="G13" i="8"/>
  <c r="E13" i="8"/>
  <c r="C6" i="8"/>
  <c r="K56" i="7"/>
  <c r="J56" i="7"/>
  <c r="D54" i="7"/>
  <c r="K52" i="7"/>
  <c r="J52" i="7"/>
  <c r="E52" i="7"/>
  <c r="G52" i="7" s="1"/>
  <c r="K51" i="7"/>
  <c r="J51" i="7"/>
  <c r="E51" i="7"/>
  <c r="G51" i="7" s="1"/>
  <c r="K50" i="7"/>
  <c r="J50" i="7"/>
  <c r="E50" i="7"/>
  <c r="G50" i="7" s="1"/>
  <c r="K49" i="7"/>
  <c r="J49" i="7"/>
  <c r="G49" i="7"/>
  <c r="E49" i="7"/>
  <c r="K48" i="7"/>
  <c r="J48" i="7"/>
  <c r="G48" i="7"/>
  <c r="K47" i="7"/>
  <c r="J47" i="7"/>
  <c r="K46" i="7"/>
  <c r="J46" i="7"/>
  <c r="E46" i="7"/>
  <c r="G46" i="7" s="1"/>
  <c r="K45" i="7"/>
  <c r="J45" i="7"/>
  <c r="E45" i="7"/>
  <c r="G45" i="7" s="1"/>
  <c r="K44" i="7"/>
  <c r="J44" i="7"/>
  <c r="E44" i="7"/>
  <c r="G44" i="7" s="1"/>
  <c r="K43" i="7"/>
  <c r="K54" i="7" s="1"/>
  <c r="J43" i="7"/>
  <c r="E43" i="7"/>
  <c r="D41" i="7"/>
  <c r="E41" i="7" s="1"/>
  <c r="E38" i="7"/>
  <c r="G38" i="7" s="1"/>
  <c r="I38" i="7" s="1"/>
  <c r="I37" i="7"/>
  <c r="K37" i="7" s="1"/>
  <c r="E37" i="7"/>
  <c r="G37" i="7" s="1"/>
  <c r="E36" i="7"/>
  <c r="G36" i="7" s="1"/>
  <c r="I36" i="7" s="1"/>
  <c r="E35" i="7"/>
  <c r="G35" i="7" s="1"/>
  <c r="I35" i="7" s="1"/>
  <c r="G32" i="7"/>
  <c r="I32" i="7" s="1"/>
  <c r="E32" i="7"/>
  <c r="E31" i="7"/>
  <c r="G31" i="7" s="1"/>
  <c r="I31" i="7" s="1"/>
  <c r="G30" i="7"/>
  <c r="I30" i="7" s="1"/>
  <c r="E30" i="7"/>
  <c r="G28" i="7"/>
  <c r="I28" i="7" s="1"/>
  <c r="E28" i="7"/>
  <c r="D26" i="7"/>
  <c r="E26" i="7" s="1"/>
  <c r="E24" i="7"/>
  <c r="G24" i="7" s="1"/>
  <c r="I24" i="7" s="1"/>
  <c r="E23" i="7"/>
  <c r="G23" i="7" s="1"/>
  <c r="I23" i="7" s="1"/>
  <c r="E22" i="7"/>
  <c r="G22" i="7" s="1"/>
  <c r="I22" i="7" s="1"/>
  <c r="G21" i="7"/>
  <c r="I21" i="7" s="1"/>
  <c r="E21" i="7"/>
  <c r="E18" i="7"/>
  <c r="G18" i="7" s="1"/>
  <c r="I18" i="7" s="1"/>
  <c r="E17" i="7"/>
  <c r="G17" i="7" s="1"/>
  <c r="I17" i="7" s="1"/>
  <c r="E16" i="7"/>
  <c r="G16" i="7" s="1"/>
  <c r="I16" i="7" s="1"/>
  <c r="G15" i="7"/>
  <c r="I15" i="7" s="1"/>
  <c r="E15" i="7"/>
  <c r="G13" i="7"/>
  <c r="I13" i="7" s="1"/>
  <c r="E13" i="7"/>
  <c r="G12" i="7"/>
  <c r="I12" i="7" s="1"/>
  <c r="E12" i="7"/>
  <c r="G11" i="7"/>
  <c r="I11" i="7" s="1"/>
  <c r="E11" i="7"/>
  <c r="I10" i="7"/>
  <c r="K10" i="7" s="1"/>
  <c r="G10" i="7"/>
  <c r="E10" i="7"/>
  <c r="E9" i="7"/>
  <c r="G9" i="7" s="1"/>
  <c r="I9" i="7" s="1"/>
  <c r="J9" i="7" s="1"/>
  <c r="C6" i="7"/>
  <c r="E48" i="7" s="1"/>
  <c r="K61" i="6"/>
  <c r="J61" i="6"/>
  <c r="D59" i="6"/>
  <c r="K57" i="6"/>
  <c r="J57" i="6"/>
  <c r="K56" i="6"/>
  <c r="J56" i="6"/>
  <c r="K55" i="6"/>
  <c r="J55" i="6"/>
  <c r="K54" i="6"/>
  <c r="J54" i="6"/>
  <c r="K53" i="6"/>
  <c r="J53" i="6"/>
  <c r="K52" i="6"/>
  <c r="J52" i="6"/>
  <c r="K51" i="6"/>
  <c r="J51" i="6"/>
  <c r="K50" i="6"/>
  <c r="J50" i="6"/>
  <c r="K49" i="6"/>
  <c r="J49" i="6"/>
  <c r="K48" i="6"/>
  <c r="J48" i="6"/>
  <c r="K45" i="6"/>
  <c r="D41" i="6"/>
  <c r="D26" i="6"/>
  <c r="G5" i="6" s="1"/>
  <c r="C6" i="6"/>
  <c r="K63" i="5"/>
  <c r="J63" i="5"/>
  <c r="D61" i="5"/>
  <c r="K59" i="5"/>
  <c r="J59" i="5"/>
  <c r="E59" i="5"/>
  <c r="G59" i="5" s="1"/>
  <c r="K58" i="5"/>
  <c r="J58" i="5"/>
  <c r="E58" i="5"/>
  <c r="G58" i="5" s="1"/>
  <c r="K57" i="5"/>
  <c r="J57" i="5"/>
  <c r="E57" i="5"/>
  <c r="G57" i="5" s="1"/>
  <c r="K56" i="5"/>
  <c r="J56" i="5"/>
  <c r="K55" i="5"/>
  <c r="J55" i="5"/>
  <c r="K54" i="5"/>
  <c r="J54" i="5"/>
  <c r="K53" i="5"/>
  <c r="J53" i="5"/>
  <c r="K52" i="5"/>
  <c r="J52" i="5"/>
  <c r="E52" i="5"/>
  <c r="G52" i="5" s="1"/>
  <c r="K51" i="5"/>
  <c r="J51" i="5"/>
  <c r="E51" i="5"/>
  <c r="G51" i="5" s="1"/>
  <c r="K50" i="5"/>
  <c r="J50" i="5"/>
  <c r="E50" i="5"/>
  <c r="K47" i="5"/>
  <c r="D47" i="5"/>
  <c r="E47" i="5" s="1"/>
  <c r="K45" i="5"/>
  <c r="J45" i="5"/>
  <c r="K44" i="5"/>
  <c r="J44" i="5"/>
  <c r="K43" i="5"/>
  <c r="J43" i="5"/>
  <c r="D41" i="5"/>
  <c r="E41" i="5" s="1"/>
  <c r="G39" i="5"/>
  <c r="I39" i="5" s="1"/>
  <c r="E39" i="5"/>
  <c r="E38" i="5"/>
  <c r="G38" i="5" s="1"/>
  <c r="I38" i="5" s="1"/>
  <c r="E37" i="5"/>
  <c r="G37" i="5" s="1"/>
  <c r="I37" i="5" s="1"/>
  <c r="K37" i="5" s="1"/>
  <c r="E33" i="5"/>
  <c r="G33" i="5" s="1"/>
  <c r="I33" i="5" s="1"/>
  <c r="D26" i="5"/>
  <c r="E24" i="5"/>
  <c r="G24" i="5" s="1"/>
  <c r="I24" i="5" s="1"/>
  <c r="K23" i="5"/>
  <c r="J23" i="5"/>
  <c r="E23" i="5"/>
  <c r="G23" i="5" s="1"/>
  <c r="I23" i="5" s="1"/>
  <c r="E21" i="5"/>
  <c r="G21" i="5" s="1"/>
  <c r="I21" i="5" s="1"/>
  <c r="E17" i="5"/>
  <c r="G17" i="5" s="1"/>
  <c r="I17" i="5" s="1"/>
  <c r="G16" i="5"/>
  <c r="I16" i="5" s="1"/>
  <c r="E16" i="5"/>
  <c r="E11" i="5"/>
  <c r="G11" i="5" s="1"/>
  <c r="I11" i="5" s="1"/>
  <c r="E10" i="5"/>
  <c r="G10" i="5" s="1"/>
  <c r="I10" i="5" s="1"/>
  <c r="E9" i="5"/>
  <c r="G9" i="5" s="1"/>
  <c r="I9" i="5" s="1"/>
  <c r="K9" i="5" s="1"/>
  <c r="C6" i="5"/>
  <c r="G5" i="5"/>
  <c r="K64" i="4"/>
  <c r="J64" i="4"/>
  <c r="D62" i="4"/>
  <c r="K60" i="4"/>
  <c r="J60" i="4"/>
  <c r="E60" i="4"/>
  <c r="G60" i="4" s="1"/>
  <c r="K59" i="4"/>
  <c r="J59" i="4"/>
  <c r="E59" i="4"/>
  <c r="G59" i="4" s="1"/>
  <c r="K58" i="4"/>
  <c r="J58" i="4"/>
  <c r="E58" i="4"/>
  <c r="G58" i="4" s="1"/>
  <c r="K57" i="4"/>
  <c r="J57" i="4"/>
  <c r="E57" i="4"/>
  <c r="G57" i="4" s="1"/>
  <c r="K56" i="4"/>
  <c r="J56" i="4"/>
  <c r="E56" i="4"/>
  <c r="G56" i="4" s="1"/>
  <c r="K55" i="4"/>
  <c r="J55" i="4"/>
  <c r="K54" i="4"/>
  <c r="J54" i="4"/>
  <c r="K53" i="4"/>
  <c r="J53" i="4"/>
  <c r="E53" i="4"/>
  <c r="G53" i="4" s="1"/>
  <c r="K52" i="4"/>
  <c r="J52" i="4"/>
  <c r="G52" i="4"/>
  <c r="E52" i="4"/>
  <c r="K51" i="4"/>
  <c r="J51" i="4"/>
  <c r="G51" i="4"/>
  <c r="E51" i="4"/>
  <c r="K48" i="4"/>
  <c r="D48" i="4"/>
  <c r="E48" i="4" s="1"/>
  <c r="K46" i="4"/>
  <c r="J46" i="4"/>
  <c r="E46" i="4"/>
  <c r="G46" i="4" s="1"/>
  <c r="K45" i="4"/>
  <c r="J45" i="4"/>
  <c r="G45" i="4"/>
  <c r="E45" i="4"/>
  <c r="K44" i="4"/>
  <c r="J44" i="4"/>
  <c r="D42" i="4"/>
  <c r="E42" i="4" s="1"/>
  <c r="I40" i="4"/>
  <c r="G40" i="4"/>
  <c r="E40" i="4"/>
  <c r="E39" i="4"/>
  <c r="G39" i="4" s="1"/>
  <c r="I39" i="4" s="1"/>
  <c r="E38" i="4"/>
  <c r="G38" i="4" s="1"/>
  <c r="I38" i="4" s="1"/>
  <c r="G37" i="4"/>
  <c r="I37" i="4" s="1"/>
  <c r="E37" i="4"/>
  <c r="E36" i="4"/>
  <c r="G36" i="4" s="1"/>
  <c r="I36" i="4" s="1"/>
  <c r="E35" i="4"/>
  <c r="G35" i="4" s="1"/>
  <c r="I35" i="4" s="1"/>
  <c r="G34" i="4"/>
  <c r="I34" i="4" s="1"/>
  <c r="E34" i="4"/>
  <c r="E33" i="4"/>
  <c r="G33" i="4" s="1"/>
  <c r="I33" i="4" s="1"/>
  <c r="K32" i="4"/>
  <c r="I32" i="4"/>
  <c r="J32" i="4" s="1"/>
  <c r="E32" i="4"/>
  <c r="G32" i="4" s="1"/>
  <c r="K31" i="4"/>
  <c r="G31" i="4"/>
  <c r="I31" i="4" s="1"/>
  <c r="J31" i="4" s="1"/>
  <c r="E31" i="4"/>
  <c r="E29" i="4"/>
  <c r="G29" i="4" s="1"/>
  <c r="I29" i="4" s="1"/>
  <c r="D27" i="4"/>
  <c r="E25" i="4"/>
  <c r="G25" i="4" s="1"/>
  <c r="I25" i="4" s="1"/>
  <c r="G24" i="4"/>
  <c r="I24" i="4" s="1"/>
  <c r="E24" i="4"/>
  <c r="G23" i="4"/>
  <c r="I23" i="4" s="1"/>
  <c r="E23" i="4"/>
  <c r="E21" i="4"/>
  <c r="G21" i="4" s="1"/>
  <c r="I21" i="4" s="1"/>
  <c r="E20" i="4"/>
  <c r="G20" i="4" s="1"/>
  <c r="I20" i="4" s="1"/>
  <c r="E19" i="4"/>
  <c r="G19" i="4" s="1"/>
  <c r="I19" i="4" s="1"/>
  <c r="K19" i="4" s="1"/>
  <c r="E18" i="4"/>
  <c r="G18" i="4" s="1"/>
  <c r="I18" i="4" s="1"/>
  <c r="E17" i="4"/>
  <c r="G17" i="4" s="1"/>
  <c r="I17" i="4" s="1"/>
  <c r="E16" i="4"/>
  <c r="G16" i="4" s="1"/>
  <c r="I16" i="4" s="1"/>
  <c r="J16" i="4" s="1"/>
  <c r="E14" i="4"/>
  <c r="G14" i="4" s="1"/>
  <c r="I14" i="4" s="1"/>
  <c r="E13" i="4"/>
  <c r="G13" i="4" s="1"/>
  <c r="I13" i="4" s="1"/>
  <c r="E12" i="4"/>
  <c r="G12" i="4" s="1"/>
  <c r="I12" i="4" s="1"/>
  <c r="J12" i="4" s="1"/>
  <c r="E11" i="4"/>
  <c r="G11" i="4" s="1"/>
  <c r="I11" i="4" s="1"/>
  <c r="E10" i="4"/>
  <c r="G10" i="4" s="1"/>
  <c r="I10" i="4" s="1"/>
  <c r="E9" i="4"/>
  <c r="G9" i="4" s="1"/>
  <c r="I9" i="4" s="1"/>
  <c r="C6" i="4"/>
  <c r="K67" i="3"/>
  <c r="J67" i="3"/>
  <c r="D65" i="3"/>
  <c r="K63" i="3"/>
  <c r="J63" i="3"/>
  <c r="K62" i="3"/>
  <c r="J62" i="3"/>
  <c r="K61" i="3"/>
  <c r="J61" i="3"/>
  <c r="K60" i="3"/>
  <c r="J60" i="3"/>
  <c r="K59" i="3"/>
  <c r="J59" i="3"/>
  <c r="K58" i="3"/>
  <c r="J58" i="3"/>
  <c r="K57" i="3"/>
  <c r="J57" i="3"/>
  <c r="K56" i="3"/>
  <c r="J56" i="3"/>
  <c r="K55" i="3"/>
  <c r="J55" i="3"/>
  <c r="K54" i="3"/>
  <c r="J54" i="3"/>
  <c r="K53" i="3"/>
  <c r="J53" i="3"/>
  <c r="D50" i="3"/>
  <c r="K48" i="3"/>
  <c r="J48" i="3"/>
  <c r="K47" i="3"/>
  <c r="J47" i="3"/>
  <c r="J46" i="3"/>
  <c r="K45" i="3"/>
  <c r="J45" i="3"/>
  <c r="J44" i="3"/>
  <c r="D42" i="3"/>
  <c r="D27" i="3"/>
  <c r="E21" i="3"/>
  <c r="G21" i="3" s="1"/>
  <c r="I21" i="3" s="1"/>
  <c r="C6" i="3"/>
  <c r="E59" i="3" s="1"/>
  <c r="G59" i="3" s="1"/>
  <c r="G5" i="3"/>
  <c r="K70" i="2"/>
  <c r="J70" i="2"/>
  <c r="D68" i="2"/>
  <c r="K66" i="2"/>
  <c r="J66" i="2"/>
  <c r="E66" i="2"/>
  <c r="G66" i="2" s="1"/>
  <c r="K65" i="2"/>
  <c r="J65" i="2"/>
  <c r="G65" i="2"/>
  <c r="E65" i="2"/>
  <c r="K64" i="2"/>
  <c r="J64" i="2"/>
  <c r="E64" i="2"/>
  <c r="G64" i="2" s="1"/>
  <c r="K63" i="2"/>
  <c r="J63" i="2"/>
  <c r="K62" i="2"/>
  <c r="J62" i="2"/>
  <c r="K61" i="2"/>
  <c r="J61" i="2"/>
  <c r="E61" i="2"/>
  <c r="G61" i="2" s="1"/>
  <c r="K60" i="2"/>
  <c r="J60" i="2"/>
  <c r="E60" i="2"/>
  <c r="G60" i="2" s="1"/>
  <c r="K59" i="2"/>
  <c r="J59" i="2"/>
  <c r="G59" i="2"/>
  <c r="E59" i="2"/>
  <c r="K58" i="2"/>
  <c r="J58" i="2"/>
  <c r="G58" i="2"/>
  <c r="E58" i="2"/>
  <c r="K57" i="2"/>
  <c r="J57" i="2"/>
  <c r="K56" i="2"/>
  <c r="J56" i="2"/>
  <c r="D53" i="2"/>
  <c r="K51" i="2"/>
  <c r="J51" i="2"/>
  <c r="E51" i="2"/>
  <c r="G51" i="2" s="1"/>
  <c r="K50" i="2"/>
  <c r="J50" i="2"/>
  <c r="E50" i="2"/>
  <c r="G50" i="2" s="1"/>
  <c r="K49" i="2"/>
  <c r="J49" i="2"/>
  <c r="E49" i="2"/>
  <c r="G49" i="2" s="1"/>
  <c r="K48" i="2"/>
  <c r="K53" i="2" s="1"/>
  <c r="J48" i="2"/>
  <c r="G48" i="2"/>
  <c r="E48" i="2"/>
  <c r="K47" i="2"/>
  <c r="J47" i="2"/>
  <c r="D45" i="2"/>
  <c r="E43" i="2"/>
  <c r="G43" i="2" s="1"/>
  <c r="I43" i="2" s="1"/>
  <c r="E42" i="2"/>
  <c r="G42" i="2" s="1"/>
  <c r="I42" i="2" s="1"/>
  <c r="E41" i="2"/>
  <c r="G41" i="2" s="1"/>
  <c r="I41" i="2" s="1"/>
  <c r="E37" i="2"/>
  <c r="G37" i="2" s="1"/>
  <c r="I37" i="2" s="1"/>
  <c r="G36" i="2"/>
  <c r="I36" i="2" s="1"/>
  <c r="E36" i="2"/>
  <c r="E35" i="2"/>
  <c r="G35" i="2" s="1"/>
  <c r="I35" i="2" s="1"/>
  <c r="D30" i="2"/>
  <c r="G5" i="2" s="1"/>
  <c r="G28" i="2"/>
  <c r="I28" i="2" s="1"/>
  <c r="E28" i="2"/>
  <c r="E27" i="2"/>
  <c r="G27" i="2" s="1"/>
  <c r="I27" i="2" s="1"/>
  <c r="E23" i="2"/>
  <c r="G23" i="2" s="1"/>
  <c r="I23" i="2" s="1"/>
  <c r="E22" i="2"/>
  <c r="G22" i="2" s="1"/>
  <c r="I22" i="2" s="1"/>
  <c r="I21" i="2"/>
  <c r="K21" i="2" s="1"/>
  <c r="E21" i="2"/>
  <c r="G21" i="2" s="1"/>
  <c r="E18" i="2"/>
  <c r="G18" i="2" s="1"/>
  <c r="I18" i="2" s="1"/>
  <c r="E17" i="2"/>
  <c r="G17" i="2" s="1"/>
  <c r="I17" i="2" s="1"/>
  <c r="E16" i="2"/>
  <c r="G16" i="2" s="1"/>
  <c r="I16" i="2" s="1"/>
  <c r="E13" i="2"/>
  <c r="G13" i="2" s="1"/>
  <c r="I13" i="2" s="1"/>
  <c r="E12" i="2"/>
  <c r="G12" i="2" s="1"/>
  <c r="I12" i="2" s="1"/>
  <c r="E11" i="2"/>
  <c r="G11" i="2" s="1"/>
  <c r="I11" i="2" s="1"/>
  <c r="C6" i="2"/>
  <c r="E40" i="2" s="1"/>
  <c r="G40" i="2" s="1"/>
  <c r="I40" i="2" s="1"/>
  <c r="E11" i="21" l="1"/>
  <c r="E42" i="21"/>
  <c r="E12" i="21"/>
  <c r="E15" i="21"/>
  <c r="E16" i="21"/>
  <c r="E19" i="21"/>
  <c r="E20" i="21"/>
  <c r="J22" i="2"/>
  <c r="K22" i="2"/>
  <c r="K39" i="4"/>
  <c r="J39" i="4"/>
  <c r="J34" i="4"/>
  <c r="K34" i="4"/>
  <c r="K21" i="3"/>
  <c r="J21" i="3"/>
  <c r="K33" i="8"/>
  <c r="J33" i="8"/>
  <c r="J36" i="2"/>
  <c r="K36" i="2"/>
  <c r="K15" i="9"/>
  <c r="J15" i="9"/>
  <c r="K41" i="2"/>
  <c r="J41" i="2"/>
  <c r="J18" i="4"/>
  <c r="K18" i="4"/>
  <c r="K11" i="4"/>
  <c r="J11" i="4"/>
  <c r="K17" i="4"/>
  <c r="J17" i="4"/>
  <c r="K35" i="2"/>
  <c r="J35" i="2"/>
  <c r="K11" i="7"/>
  <c r="J11" i="7"/>
  <c r="K31" i="7"/>
  <c r="J31" i="7"/>
  <c r="J23" i="4"/>
  <c r="K23" i="4"/>
  <c r="J27" i="2"/>
  <c r="K27" i="2"/>
  <c r="K38" i="4"/>
  <c r="J38" i="4"/>
  <c r="K42" i="2"/>
  <c r="J42" i="2"/>
  <c r="J40" i="2"/>
  <c r="K40" i="2"/>
  <c r="K17" i="2"/>
  <c r="J17" i="2"/>
  <c r="J11" i="2"/>
  <c r="K11" i="2"/>
  <c r="K12" i="2"/>
  <c r="J12" i="2"/>
  <c r="K16" i="2"/>
  <c r="J16" i="2"/>
  <c r="J34" i="13"/>
  <c r="K34" i="13"/>
  <c r="K16" i="13"/>
  <c r="J16" i="13"/>
  <c r="K20" i="15"/>
  <c r="J20" i="15"/>
  <c r="K13" i="2"/>
  <c r="J13" i="2"/>
  <c r="E42" i="3"/>
  <c r="J39" i="5"/>
  <c r="K39" i="5"/>
  <c r="K15" i="8"/>
  <c r="J15" i="8"/>
  <c r="K12" i="14"/>
  <c r="J12" i="14"/>
  <c r="K21" i="15"/>
  <c r="J21" i="15"/>
  <c r="K14" i="8"/>
  <c r="J14" i="8"/>
  <c r="K52" i="9"/>
  <c r="F26" i="21"/>
  <c r="K43" i="2"/>
  <c r="J43" i="2"/>
  <c r="K13" i="4"/>
  <c r="J13" i="4"/>
  <c r="K18" i="8"/>
  <c r="J18" i="8"/>
  <c r="K21" i="11"/>
  <c r="J21" i="11"/>
  <c r="K21" i="12"/>
  <c r="J21" i="12"/>
  <c r="K22" i="15"/>
  <c r="J22" i="15"/>
  <c r="F11" i="21"/>
  <c r="G11" i="21" s="1"/>
  <c r="K14" i="4"/>
  <c r="J14" i="4"/>
  <c r="K21" i="7"/>
  <c r="J21" i="7"/>
  <c r="K18" i="10"/>
  <c r="J18" i="10"/>
  <c r="J19" i="13"/>
  <c r="K19" i="13"/>
  <c r="K14" i="14"/>
  <c r="J14" i="14"/>
  <c r="K22" i="7"/>
  <c r="J22" i="7"/>
  <c r="K19" i="10"/>
  <c r="J19" i="10"/>
  <c r="K18" i="7"/>
  <c r="J18" i="7"/>
  <c r="K21" i="14"/>
  <c r="J21" i="14"/>
  <c r="K16" i="4"/>
  <c r="K21" i="13"/>
  <c r="J21" i="13"/>
  <c r="K28" i="17"/>
  <c r="J28" i="17"/>
  <c r="E57" i="3"/>
  <c r="G57" i="3" s="1"/>
  <c r="E63" i="3"/>
  <c r="G63" i="3" s="1"/>
  <c r="E47" i="3"/>
  <c r="G47" i="3" s="1"/>
  <c r="E60" i="3"/>
  <c r="G60" i="3" s="1"/>
  <c r="E33" i="3"/>
  <c r="G33" i="3" s="1"/>
  <c r="I33" i="3" s="1"/>
  <c r="E19" i="3"/>
  <c r="G19" i="3" s="1"/>
  <c r="I19" i="3" s="1"/>
  <c r="E46" i="3"/>
  <c r="E17" i="3"/>
  <c r="G17" i="3" s="1"/>
  <c r="I17" i="3" s="1"/>
  <c r="E38" i="3"/>
  <c r="G38" i="3" s="1"/>
  <c r="I38" i="3" s="1"/>
  <c r="E24" i="3"/>
  <c r="G24" i="3" s="1"/>
  <c r="I24" i="3" s="1"/>
  <c r="E13" i="3"/>
  <c r="G13" i="3" s="1"/>
  <c r="I13" i="3" s="1"/>
  <c r="E56" i="3"/>
  <c r="G56" i="3" s="1"/>
  <c r="E36" i="3"/>
  <c r="G36" i="3" s="1"/>
  <c r="I36" i="3" s="1"/>
  <c r="E62" i="3"/>
  <c r="G62" i="3" s="1"/>
  <c r="E32" i="3"/>
  <c r="G32" i="3" s="1"/>
  <c r="I32" i="3" s="1"/>
  <c r="E18" i="3"/>
  <c r="G18" i="3" s="1"/>
  <c r="I18" i="3" s="1"/>
  <c r="E44" i="3"/>
  <c r="E37" i="3"/>
  <c r="G37" i="3" s="1"/>
  <c r="I37" i="3" s="1"/>
  <c r="E23" i="3"/>
  <c r="G23" i="3" s="1"/>
  <c r="I23" i="3" s="1"/>
  <c r="E11" i="3"/>
  <c r="G11" i="3" s="1"/>
  <c r="I11" i="3" s="1"/>
  <c r="E55" i="3"/>
  <c r="G55" i="3" s="1"/>
  <c r="E45" i="3"/>
  <c r="G45" i="3" s="1"/>
  <c r="E12" i="3"/>
  <c r="G12" i="3" s="1"/>
  <c r="I12" i="3" s="1"/>
  <c r="E54" i="3"/>
  <c r="G54" i="3" s="1"/>
  <c r="E61" i="3"/>
  <c r="G61" i="3" s="1"/>
  <c r="E31" i="3"/>
  <c r="G31" i="3" s="1"/>
  <c r="I31" i="3" s="1"/>
  <c r="E22" i="3"/>
  <c r="G22" i="3" s="1"/>
  <c r="I22" i="3" s="1"/>
  <c r="E40" i="3"/>
  <c r="G40" i="3" s="1"/>
  <c r="I40" i="3" s="1"/>
  <c r="E10" i="3"/>
  <c r="G10" i="3" s="1"/>
  <c r="I10" i="3" s="1"/>
  <c r="E48" i="3"/>
  <c r="G48" i="3" s="1"/>
  <c r="E39" i="3"/>
  <c r="G39" i="3" s="1"/>
  <c r="I39" i="3" s="1"/>
  <c r="E25" i="3"/>
  <c r="G25" i="3" s="1"/>
  <c r="I25" i="3" s="1"/>
  <c r="E9" i="3"/>
  <c r="G9" i="3" s="1"/>
  <c r="I9" i="3" s="1"/>
  <c r="K31" i="15"/>
  <c r="J31" i="15"/>
  <c r="K32" i="19"/>
  <c r="J32" i="19"/>
  <c r="K28" i="11"/>
  <c r="J28" i="11"/>
  <c r="E56" i="6"/>
  <c r="G56" i="6" s="1"/>
  <c r="E37" i="6"/>
  <c r="G37" i="6" s="1"/>
  <c r="I37" i="6" s="1"/>
  <c r="E23" i="6"/>
  <c r="G23" i="6" s="1"/>
  <c r="I23" i="6" s="1"/>
  <c r="E12" i="6"/>
  <c r="G12" i="6" s="1"/>
  <c r="I12" i="6" s="1"/>
  <c r="E49" i="6"/>
  <c r="G49" i="6" s="1"/>
  <c r="E31" i="6"/>
  <c r="G31" i="6" s="1"/>
  <c r="I31" i="6" s="1"/>
  <c r="E17" i="6"/>
  <c r="G17" i="6" s="1"/>
  <c r="I17" i="6" s="1"/>
  <c r="E55" i="6"/>
  <c r="G55" i="6" s="1"/>
  <c r="E48" i="6"/>
  <c r="E11" i="6"/>
  <c r="G11" i="6" s="1"/>
  <c r="I11" i="6" s="1"/>
  <c r="E41" i="6"/>
  <c r="E52" i="6"/>
  <c r="G52" i="6" s="1"/>
  <c r="E22" i="6"/>
  <c r="G22" i="6" s="1"/>
  <c r="I22" i="6" s="1"/>
  <c r="E15" i="6"/>
  <c r="G15" i="6" s="1"/>
  <c r="I15" i="6" s="1"/>
  <c r="E33" i="6"/>
  <c r="G33" i="6" s="1"/>
  <c r="I33" i="6" s="1"/>
  <c r="E54" i="6"/>
  <c r="G54" i="6" s="1"/>
  <c r="E38" i="6"/>
  <c r="G38" i="6" s="1"/>
  <c r="I38" i="6" s="1"/>
  <c r="E21" i="6"/>
  <c r="G21" i="6" s="1"/>
  <c r="I21" i="6" s="1"/>
  <c r="E53" i="6"/>
  <c r="G53" i="6" s="1"/>
  <c r="E39" i="6"/>
  <c r="G39" i="6" s="1"/>
  <c r="I39" i="6" s="1"/>
  <c r="E14" i="6"/>
  <c r="G14" i="6" s="1"/>
  <c r="I14" i="6" s="1"/>
  <c r="E32" i="6"/>
  <c r="G32" i="6" s="1"/>
  <c r="I32" i="6" s="1"/>
  <c r="E13" i="6"/>
  <c r="G13" i="6" s="1"/>
  <c r="I13" i="6" s="1"/>
  <c r="E30" i="6"/>
  <c r="G30" i="6" s="1"/>
  <c r="I30" i="6" s="1"/>
  <c r="E20" i="6"/>
  <c r="G20" i="6" s="1"/>
  <c r="I20" i="6" s="1"/>
  <c r="E61" i="6"/>
  <c r="E51" i="6"/>
  <c r="G51" i="6" s="1"/>
  <c r="E28" i="6"/>
  <c r="G28" i="6" s="1"/>
  <c r="I28" i="6" s="1"/>
  <c r="E19" i="6"/>
  <c r="G19" i="6" s="1"/>
  <c r="I19" i="6" s="1"/>
  <c r="E36" i="6"/>
  <c r="G36" i="6" s="1"/>
  <c r="I36" i="6" s="1"/>
  <c r="E50" i="6"/>
  <c r="G50" i="6" s="1"/>
  <c r="E35" i="6"/>
  <c r="G35" i="6" s="1"/>
  <c r="I35" i="6" s="1"/>
  <c r="E18" i="6"/>
  <c r="G18" i="6" s="1"/>
  <c r="I18" i="6" s="1"/>
  <c r="E10" i="6"/>
  <c r="G10" i="6" s="1"/>
  <c r="I10" i="6" s="1"/>
  <c r="E57" i="6"/>
  <c r="G57" i="6" s="1"/>
  <c r="E24" i="6"/>
  <c r="G24" i="6" s="1"/>
  <c r="I24" i="6" s="1"/>
  <c r="E16" i="6"/>
  <c r="G16" i="6" s="1"/>
  <c r="I16" i="6" s="1"/>
  <c r="E34" i="6"/>
  <c r="G34" i="6" s="1"/>
  <c r="I34" i="6" s="1"/>
  <c r="K29" i="8"/>
  <c r="J29" i="8"/>
  <c r="K28" i="10"/>
  <c r="E9" i="6"/>
  <c r="G9" i="6" s="1"/>
  <c r="I9" i="6" s="1"/>
  <c r="K30" i="7"/>
  <c r="J30" i="7"/>
  <c r="J31" i="12"/>
  <c r="K32" i="8"/>
  <c r="J32" i="8"/>
  <c r="K28" i="13"/>
  <c r="J28" i="13"/>
  <c r="F21" i="21"/>
  <c r="K34" i="15"/>
  <c r="J34" i="15"/>
  <c r="J37" i="17"/>
  <c r="K37" i="17"/>
  <c r="J10" i="18"/>
  <c r="K16" i="5"/>
  <c r="J16" i="5"/>
  <c r="K34" i="8"/>
  <c r="J34" i="8"/>
  <c r="K28" i="7"/>
  <c r="J28" i="7"/>
  <c r="K35" i="10"/>
  <c r="J35" i="10"/>
  <c r="K37" i="11"/>
  <c r="J37" i="11"/>
  <c r="F15" i="21"/>
  <c r="G15" i="21" s="1"/>
  <c r="F35" i="21"/>
  <c r="J21" i="2"/>
  <c r="K13" i="11"/>
  <c r="J13" i="11"/>
  <c r="K38" i="11"/>
  <c r="J38" i="11"/>
  <c r="K23" i="7"/>
  <c r="J23" i="7"/>
  <c r="E29" i="3"/>
  <c r="G29" i="3" s="1"/>
  <c r="I29" i="3" s="1"/>
  <c r="K20" i="4"/>
  <c r="J20" i="4"/>
  <c r="K21" i="5"/>
  <c r="J21" i="5"/>
  <c r="E35" i="3"/>
  <c r="G35" i="3" s="1"/>
  <c r="I35" i="3" s="1"/>
  <c r="K13" i="15"/>
  <c r="J13" i="15"/>
  <c r="K33" i="4"/>
  <c r="J33" i="4"/>
  <c r="K10" i="5"/>
  <c r="J10" i="5"/>
  <c r="F37" i="21"/>
  <c r="K50" i="3"/>
  <c r="K17" i="5"/>
  <c r="J17" i="5"/>
  <c r="J37" i="2"/>
  <c r="K37" i="2"/>
  <c r="K40" i="4"/>
  <c r="J40" i="4"/>
  <c r="E45" i="6"/>
  <c r="K9" i="13"/>
  <c r="J9" i="13"/>
  <c r="J33" i="13"/>
  <c r="K33" i="13"/>
  <c r="K38" i="5"/>
  <c r="J38" i="5"/>
  <c r="K26" i="8"/>
  <c r="J26" i="8"/>
  <c r="F42" i="21"/>
  <c r="K36" i="4"/>
  <c r="J36" i="4"/>
  <c r="K12" i="11"/>
  <c r="J12" i="11"/>
  <c r="K20" i="10"/>
  <c r="J20" i="10"/>
  <c r="K26" i="10"/>
  <c r="J26" i="10"/>
  <c r="E27" i="3"/>
  <c r="J11" i="5"/>
  <c r="K11" i="5"/>
  <c r="F34" i="21"/>
  <c r="J37" i="4"/>
  <c r="K37" i="4"/>
  <c r="F43" i="21"/>
  <c r="E67" i="3"/>
  <c r="E16" i="3"/>
  <c r="G16" i="3" s="1"/>
  <c r="I16" i="3" s="1"/>
  <c r="K9" i="4"/>
  <c r="J9" i="4"/>
  <c r="J24" i="5"/>
  <c r="K24" i="5"/>
  <c r="G43" i="7"/>
  <c r="K18" i="9"/>
  <c r="J18" i="9"/>
  <c r="K10" i="13"/>
  <c r="J10" i="13"/>
  <c r="K13" i="16"/>
  <c r="J13" i="16"/>
  <c r="K15" i="13"/>
  <c r="J15" i="13"/>
  <c r="F19" i="21"/>
  <c r="K35" i="7"/>
  <c r="J35" i="7"/>
  <c r="K10" i="4"/>
  <c r="J10" i="4"/>
  <c r="K24" i="4"/>
  <c r="J24" i="4"/>
  <c r="J12" i="7"/>
  <c r="K12" i="7"/>
  <c r="K19" i="9"/>
  <c r="J19" i="9"/>
  <c r="K35" i="13"/>
  <c r="J35" i="13"/>
  <c r="K35" i="11"/>
  <c r="J35" i="11"/>
  <c r="K36" i="7"/>
  <c r="J36" i="7"/>
  <c r="J28" i="8"/>
  <c r="K28" i="8"/>
  <c r="F36" i="21"/>
  <c r="K25" i="4"/>
  <c r="J25" i="4"/>
  <c r="K11" i="12"/>
  <c r="J11" i="12"/>
  <c r="K29" i="12"/>
  <c r="J29" i="12"/>
  <c r="F9" i="21"/>
  <c r="J9" i="5"/>
  <c r="E14" i="3"/>
  <c r="G14" i="3" s="1"/>
  <c r="I14" i="3" s="1"/>
  <c r="K65" i="3"/>
  <c r="K23" i="2"/>
  <c r="J23" i="2"/>
  <c r="K68" i="2"/>
  <c r="E20" i="3"/>
  <c r="G20" i="3" s="1"/>
  <c r="I20" i="3" s="1"/>
  <c r="G5" i="4"/>
  <c r="K13" i="12"/>
  <c r="J13" i="12"/>
  <c r="J28" i="2"/>
  <c r="K28" i="2"/>
  <c r="K18" i="2"/>
  <c r="J18" i="2"/>
  <c r="E34" i="3"/>
  <c r="G34" i="3" s="1"/>
  <c r="I34" i="3" s="1"/>
  <c r="E15" i="3"/>
  <c r="G15" i="3" s="1"/>
  <c r="I15" i="3" s="1"/>
  <c r="K29" i="4"/>
  <c r="J29" i="4"/>
  <c r="J33" i="5"/>
  <c r="K33" i="5"/>
  <c r="K15" i="7"/>
  <c r="J15" i="7"/>
  <c r="K29" i="9"/>
  <c r="J29" i="9"/>
  <c r="K11" i="10"/>
  <c r="J11" i="10"/>
  <c r="J18" i="11"/>
  <c r="K12" i="4"/>
  <c r="K35" i="4"/>
  <c r="J35" i="4"/>
  <c r="E50" i="3"/>
  <c r="E53" i="3"/>
  <c r="K21" i="4"/>
  <c r="J21" i="4"/>
  <c r="E58" i="3"/>
  <c r="G58" i="3" s="1"/>
  <c r="K16" i="7"/>
  <c r="J16" i="7"/>
  <c r="K33" i="9"/>
  <c r="J33" i="9"/>
  <c r="K19" i="11"/>
  <c r="J19" i="11"/>
  <c r="K15" i="12"/>
  <c r="J15" i="12"/>
  <c r="J37" i="5"/>
  <c r="K17" i="7"/>
  <c r="J17" i="7"/>
  <c r="K19" i="15"/>
  <c r="J19" i="15"/>
  <c r="F20" i="21"/>
  <c r="E55" i="5"/>
  <c r="G55" i="5" s="1"/>
  <c r="E32" i="5"/>
  <c r="G32" i="5" s="1"/>
  <c r="I32" i="5" s="1"/>
  <c r="E18" i="5"/>
  <c r="G18" i="5" s="1"/>
  <c r="I18" i="5" s="1"/>
  <c r="E63" i="5"/>
  <c r="E54" i="5"/>
  <c r="G54" i="5" s="1"/>
  <c r="E44" i="5"/>
  <c r="G44" i="5" s="1"/>
  <c r="E36" i="5"/>
  <c r="G36" i="5" s="1"/>
  <c r="I36" i="5" s="1"/>
  <c r="E22" i="5"/>
  <c r="G22" i="5" s="1"/>
  <c r="I22" i="5" s="1"/>
  <c r="E15" i="5"/>
  <c r="G15" i="5" s="1"/>
  <c r="I15" i="5" s="1"/>
  <c r="E31" i="5"/>
  <c r="G31" i="5" s="1"/>
  <c r="I31" i="5" s="1"/>
  <c r="J20" i="13"/>
  <c r="K20" i="13"/>
  <c r="K9" i="19"/>
  <c r="J9" i="19"/>
  <c r="K32" i="11"/>
  <c r="J32" i="11"/>
  <c r="K37" i="14"/>
  <c r="J37" i="14"/>
  <c r="K12" i="18"/>
  <c r="J12" i="18"/>
  <c r="K21" i="8"/>
  <c r="J21" i="8"/>
  <c r="K32" i="12"/>
  <c r="J32" i="12"/>
  <c r="K34" i="16"/>
  <c r="J34" i="16"/>
  <c r="J11" i="19"/>
  <c r="K34" i="19"/>
  <c r="J34" i="19"/>
  <c r="G50" i="5"/>
  <c r="J13" i="8"/>
  <c r="K36" i="19"/>
  <c r="J36" i="19"/>
  <c r="K32" i="7"/>
  <c r="J32" i="7"/>
  <c r="K30" i="10"/>
  <c r="J30" i="10"/>
  <c r="K15" i="14"/>
  <c r="J15" i="14"/>
  <c r="K36" i="16"/>
  <c r="J36" i="16"/>
  <c r="K13" i="19"/>
  <c r="J13" i="19"/>
  <c r="K61" i="5"/>
  <c r="K32" i="10"/>
  <c r="J32" i="10"/>
  <c r="K36" i="13"/>
  <c r="J36" i="13"/>
  <c r="K62" i="4"/>
  <c r="K37" i="13"/>
  <c r="J37" i="13"/>
  <c r="G41" i="14"/>
  <c r="E52" i="15"/>
  <c r="J14" i="19"/>
  <c r="E46" i="9"/>
  <c r="G46" i="9" s="1"/>
  <c r="E45" i="9"/>
  <c r="G45" i="9" s="1"/>
  <c r="E39" i="9"/>
  <c r="E32" i="9"/>
  <c r="G32" i="9" s="1"/>
  <c r="I32" i="9" s="1"/>
  <c r="E17" i="9"/>
  <c r="G17" i="9" s="1"/>
  <c r="I17" i="9" s="1"/>
  <c r="E47" i="9"/>
  <c r="G47" i="9" s="1"/>
  <c r="E31" i="9"/>
  <c r="G31" i="9" s="1"/>
  <c r="I31" i="9" s="1"/>
  <c r="E22" i="9"/>
  <c r="G22" i="9" s="1"/>
  <c r="I22" i="9" s="1"/>
  <c r="E11" i="9"/>
  <c r="G11" i="9" s="1"/>
  <c r="I11" i="9" s="1"/>
  <c r="E37" i="9"/>
  <c r="G37" i="9" s="1"/>
  <c r="I37" i="9" s="1"/>
  <c r="E16" i="9"/>
  <c r="G16" i="9" s="1"/>
  <c r="I16" i="9" s="1"/>
  <c r="E36" i="9"/>
  <c r="G36" i="9" s="1"/>
  <c r="I36" i="9" s="1"/>
  <c r="E30" i="9"/>
  <c r="G30" i="9" s="1"/>
  <c r="I30" i="9" s="1"/>
  <c r="E21" i="9"/>
  <c r="G21" i="9" s="1"/>
  <c r="I21" i="9" s="1"/>
  <c r="E10" i="9"/>
  <c r="G10" i="9" s="1"/>
  <c r="I10" i="9" s="1"/>
  <c r="E44" i="9"/>
  <c r="G44" i="9" s="1"/>
  <c r="J11" i="13"/>
  <c r="K11" i="13"/>
  <c r="E26" i="6"/>
  <c r="K22" i="13"/>
  <c r="J22" i="13"/>
  <c r="K52" i="14"/>
  <c r="K15" i="18"/>
  <c r="J15" i="18"/>
  <c r="K15" i="19"/>
  <c r="J15" i="19"/>
  <c r="K59" i="6"/>
  <c r="K13" i="7"/>
  <c r="J13" i="7"/>
  <c r="K35" i="8"/>
  <c r="J35" i="8"/>
  <c r="J16" i="19"/>
  <c r="K16" i="19"/>
  <c r="K9" i="15"/>
  <c r="K9" i="9"/>
  <c r="K16" i="17"/>
  <c r="J16" i="17"/>
  <c r="K19" i="18"/>
  <c r="J19" i="18"/>
  <c r="K17" i="19"/>
  <c r="J17" i="19"/>
  <c r="J17" i="17"/>
  <c r="K17" i="17"/>
  <c r="K21" i="18"/>
  <c r="J21" i="18"/>
  <c r="K18" i="19"/>
  <c r="J18" i="19"/>
  <c r="F50" i="21"/>
  <c r="E12" i="9"/>
  <c r="G12" i="9" s="1"/>
  <c r="I12" i="9" s="1"/>
  <c r="J34" i="10"/>
  <c r="K22" i="12"/>
  <c r="J22" i="12"/>
  <c r="K26" i="15"/>
  <c r="J26" i="15"/>
  <c r="K19" i="19"/>
  <c r="J19" i="19"/>
  <c r="J22" i="11"/>
  <c r="K22" i="11"/>
  <c r="J14" i="13"/>
  <c r="K26" i="13"/>
  <c r="K10" i="15"/>
  <c r="K20" i="19"/>
  <c r="J20" i="19"/>
  <c r="E34" i="5"/>
  <c r="G34" i="5" s="1"/>
  <c r="I34" i="5" s="1"/>
  <c r="K29" i="15"/>
  <c r="J29" i="15"/>
  <c r="J19" i="17"/>
  <c r="E20" i="9"/>
  <c r="G20" i="9" s="1"/>
  <c r="I20" i="9" s="1"/>
  <c r="E34" i="9"/>
  <c r="G34" i="9" s="1"/>
  <c r="I34" i="9" s="1"/>
  <c r="K21" i="10"/>
  <c r="J21" i="10"/>
  <c r="K26" i="18"/>
  <c r="J26" i="18"/>
  <c r="E70" i="2"/>
  <c r="E27" i="4"/>
  <c r="E53" i="5"/>
  <c r="G53" i="5" s="1"/>
  <c r="E39" i="12"/>
  <c r="K29" i="13"/>
  <c r="J29" i="13"/>
  <c r="J30" i="15"/>
  <c r="E24" i="2"/>
  <c r="G24" i="2" s="1"/>
  <c r="I24" i="2" s="1"/>
  <c r="F49" i="21"/>
  <c r="E64" i="4"/>
  <c r="E55" i="4"/>
  <c r="G55" i="4" s="1"/>
  <c r="E44" i="4"/>
  <c r="G44" i="4" s="1"/>
  <c r="E54" i="4"/>
  <c r="G54" i="4" s="1"/>
  <c r="E43" i="5"/>
  <c r="G43" i="5" s="1"/>
  <c r="E26" i="11"/>
  <c r="G5" i="11"/>
  <c r="K29" i="18"/>
  <c r="J29" i="18"/>
  <c r="F29" i="21"/>
  <c r="E19" i="5"/>
  <c r="G19" i="5" s="1"/>
  <c r="I19" i="5" s="1"/>
  <c r="E26" i="5"/>
  <c r="G5" i="8"/>
  <c r="E13" i="9"/>
  <c r="G13" i="9" s="1"/>
  <c r="I13" i="9" s="1"/>
  <c r="K30" i="13"/>
  <c r="J30" i="13"/>
  <c r="F44" i="21"/>
  <c r="F46" i="21"/>
  <c r="E30" i="2"/>
  <c r="E32" i="2"/>
  <c r="G32" i="2" s="1"/>
  <c r="I32" i="2" s="1"/>
  <c r="E53" i="2"/>
  <c r="E13" i="5"/>
  <c r="G13" i="5" s="1"/>
  <c r="I13" i="5" s="1"/>
  <c r="E54" i="8"/>
  <c r="E37" i="8"/>
  <c r="G37" i="8" s="1"/>
  <c r="I37" i="8" s="1"/>
  <c r="E45" i="8"/>
  <c r="G45" i="8" s="1"/>
  <c r="E12" i="8"/>
  <c r="G12" i="8" s="1"/>
  <c r="I12" i="8" s="1"/>
  <c r="E31" i="8"/>
  <c r="G31" i="8" s="1"/>
  <c r="I31" i="8" s="1"/>
  <c r="E17" i="8"/>
  <c r="G17" i="8" s="1"/>
  <c r="I17" i="8" s="1"/>
  <c r="E36" i="8"/>
  <c r="G36" i="8" s="1"/>
  <c r="I36" i="8" s="1"/>
  <c r="E22" i="8"/>
  <c r="G22" i="8" s="1"/>
  <c r="I22" i="8" s="1"/>
  <c r="E44" i="8"/>
  <c r="G44" i="8" s="1"/>
  <c r="E11" i="8"/>
  <c r="G11" i="8" s="1"/>
  <c r="I11" i="8" s="1"/>
  <c r="E50" i="8"/>
  <c r="G50" i="8" s="1"/>
  <c r="E30" i="8"/>
  <c r="G30" i="8" s="1"/>
  <c r="I30" i="8" s="1"/>
  <c r="E16" i="8"/>
  <c r="G16" i="8" s="1"/>
  <c r="I16" i="8" s="1"/>
  <c r="E49" i="8"/>
  <c r="G49" i="8" s="1"/>
  <c r="E10" i="8"/>
  <c r="G10" i="8" s="1"/>
  <c r="I10" i="8" s="1"/>
  <c r="G41" i="8"/>
  <c r="K16" i="16"/>
  <c r="J16" i="16"/>
  <c r="E38" i="2"/>
  <c r="G38" i="2" s="1"/>
  <c r="I38" i="2" s="1"/>
  <c r="E19" i="2"/>
  <c r="G19" i="2" s="1"/>
  <c r="I19" i="2" s="1"/>
  <c r="F30" i="21"/>
  <c r="E62" i="2"/>
  <c r="G62" i="2" s="1"/>
  <c r="F31" i="21"/>
  <c r="E14" i="2"/>
  <c r="G14" i="2" s="1"/>
  <c r="I14" i="2" s="1"/>
  <c r="E15" i="4"/>
  <c r="G15" i="4" s="1"/>
  <c r="I15" i="4" s="1"/>
  <c r="E35" i="5"/>
  <c r="G35" i="5" s="1"/>
  <c r="I35" i="5" s="1"/>
  <c r="K9" i="7"/>
  <c r="E9" i="8"/>
  <c r="G9" i="8" s="1"/>
  <c r="I9" i="8" s="1"/>
  <c r="E48" i="9"/>
  <c r="G48" i="9" s="1"/>
  <c r="J39" i="11"/>
  <c r="K39" i="11"/>
  <c r="K33" i="18"/>
  <c r="J33" i="18"/>
  <c r="K26" i="19"/>
  <c r="J26" i="19"/>
  <c r="F22" i="21"/>
  <c r="E45" i="2"/>
  <c r="E56" i="2"/>
  <c r="E28" i="5"/>
  <c r="G28" i="5" s="1"/>
  <c r="I28" i="5" s="1"/>
  <c r="K52" i="8"/>
  <c r="E35" i="9"/>
  <c r="G35" i="9" s="1"/>
  <c r="I35" i="9" s="1"/>
  <c r="J32" i="15"/>
  <c r="K32" i="15"/>
  <c r="K35" i="18"/>
  <c r="J35" i="18"/>
  <c r="F32" i="21"/>
  <c r="F17" i="21"/>
  <c r="F51" i="21"/>
  <c r="E9" i="2"/>
  <c r="G9" i="2" s="1"/>
  <c r="I9" i="2" s="1"/>
  <c r="E25" i="2"/>
  <c r="G25" i="2" s="1"/>
  <c r="I25" i="2" s="1"/>
  <c r="E39" i="2"/>
  <c r="G39" i="2" s="1"/>
  <c r="I39" i="2" s="1"/>
  <c r="J37" i="7"/>
  <c r="E19" i="8"/>
  <c r="G19" i="8" s="1"/>
  <c r="I19" i="8" s="1"/>
  <c r="E26" i="9"/>
  <c r="G26" i="9" s="1"/>
  <c r="I26" i="9" s="1"/>
  <c r="J30" i="14"/>
  <c r="K37" i="18"/>
  <c r="J37" i="18"/>
  <c r="F48" i="21"/>
  <c r="J19" i="4"/>
  <c r="K38" i="7"/>
  <c r="J38" i="7"/>
  <c r="K29" i="19"/>
  <c r="J29" i="19"/>
  <c r="F45" i="21"/>
  <c r="F28" i="21"/>
  <c r="F12" i="21"/>
  <c r="E20" i="2"/>
  <c r="G20" i="2" s="1"/>
  <c r="I20" i="2" s="1"/>
  <c r="E47" i="2"/>
  <c r="G47" i="2" s="1"/>
  <c r="E63" i="2"/>
  <c r="G63" i="2" s="1"/>
  <c r="E20" i="5"/>
  <c r="G20" i="5" s="1"/>
  <c r="I20" i="5" s="1"/>
  <c r="E14" i="9"/>
  <c r="G14" i="9" s="1"/>
  <c r="I14" i="9" s="1"/>
  <c r="K32" i="13"/>
  <c r="J32" i="13"/>
  <c r="K15" i="15"/>
  <c r="J15" i="15"/>
  <c r="K33" i="15"/>
  <c r="J33" i="15"/>
  <c r="K22" i="16"/>
  <c r="J22" i="16"/>
  <c r="K24" i="7"/>
  <c r="J24" i="7"/>
  <c r="E14" i="5"/>
  <c r="G14" i="5" s="1"/>
  <c r="I14" i="5" s="1"/>
  <c r="E45" i="5"/>
  <c r="G45" i="5" s="1"/>
  <c r="J10" i="7"/>
  <c r="E49" i="9"/>
  <c r="G49" i="9" s="1"/>
  <c r="J13" i="10"/>
  <c r="K15" i="11"/>
  <c r="J15" i="11"/>
  <c r="J30" i="12"/>
  <c r="K31" i="14"/>
  <c r="F33" i="21"/>
  <c r="K30" i="11"/>
  <c r="G5" i="13"/>
  <c r="K17" i="13"/>
  <c r="J17" i="13"/>
  <c r="E12" i="5"/>
  <c r="G12" i="5" s="1"/>
  <c r="I12" i="5" s="1"/>
  <c r="F14" i="21"/>
  <c r="E34" i="2"/>
  <c r="G34" i="2" s="1"/>
  <c r="I34" i="2" s="1"/>
  <c r="F16" i="21"/>
  <c r="E15" i="2"/>
  <c r="G15" i="2" s="1"/>
  <c r="I15" i="2" s="1"/>
  <c r="E57" i="2"/>
  <c r="G57" i="2" s="1"/>
  <c r="F18" i="21"/>
  <c r="E22" i="4"/>
  <c r="G22" i="4" s="1"/>
  <c r="I22" i="4" s="1"/>
  <c r="E30" i="5"/>
  <c r="G30" i="5" s="1"/>
  <c r="I30" i="5" s="1"/>
  <c r="E41" i="9"/>
  <c r="K14" i="10"/>
  <c r="J14" i="10"/>
  <c r="K17" i="15"/>
  <c r="J17" i="15"/>
  <c r="K35" i="15"/>
  <c r="J35" i="15"/>
  <c r="K31" i="19"/>
  <c r="J31" i="19"/>
  <c r="F47" i="21"/>
  <c r="F10" i="21"/>
  <c r="F13" i="21"/>
  <c r="E10" i="2"/>
  <c r="G10" i="2" s="1"/>
  <c r="I10" i="2" s="1"/>
  <c r="E26" i="2"/>
  <c r="G26" i="2" s="1"/>
  <c r="I26" i="2" s="1"/>
  <c r="E56" i="5"/>
  <c r="G56" i="5" s="1"/>
  <c r="E20" i="8"/>
  <c r="G20" i="8" s="1"/>
  <c r="I20" i="8" s="1"/>
  <c r="E43" i="8"/>
  <c r="G43" i="8" s="1"/>
  <c r="E28" i="9"/>
  <c r="G28" i="9" s="1"/>
  <c r="I28" i="9" s="1"/>
  <c r="K18" i="13"/>
  <c r="J18" i="13"/>
  <c r="K36" i="15"/>
  <c r="J36" i="15"/>
  <c r="J26" i="16"/>
  <c r="E39" i="17"/>
  <c r="E32" i="17"/>
  <c r="G32" i="17" s="1"/>
  <c r="I32" i="17" s="1"/>
  <c r="E18" i="17"/>
  <c r="G18" i="17" s="1"/>
  <c r="I18" i="17" s="1"/>
  <c r="E36" i="17"/>
  <c r="G36" i="17" s="1"/>
  <c r="I36" i="17" s="1"/>
  <c r="E22" i="17"/>
  <c r="G22" i="17" s="1"/>
  <c r="I22" i="17" s="1"/>
  <c r="E44" i="17"/>
  <c r="G44" i="17" s="1"/>
  <c r="E49" i="17"/>
  <c r="G49" i="17" s="1"/>
  <c r="E10" i="17"/>
  <c r="G10" i="17" s="1"/>
  <c r="I10" i="17" s="1"/>
  <c r="E42" i="17"/>
  <c r="G42" i="17" s="1"/>
  <c r="E34" i="17"/>
  <c r="G34" i="17" s="1"/>
  <c r="I34" i="17" s="1"/>
  <c r="E20" i="17"/>
  <c r="G20" i="17" s="1"/>
  <c r="I20" i="17" s="1"/>
  <c r="E30" i="17"/>
  <c r="G30" i="17" s="1"/>
  <c r="I30" i="17" s="1"/>
  <c r="G41" i="17"/>
  <c r="E9" i="17"/>
  <c r="G9" i="17" s="1"/>
  <c r="I9" i="17" s="1"/>
  <c r="E50" i="17"/>
  <c r="G50" i="17" s="1"/>
  <c r="G19" i="21"/>
  <c r="G42" i="21"/>
  <c r="K31" i="17"/>
  <c r="J14" i="18"/>
  <c r="J37" i="19"/>
  <c r="K52" i="12"/>
  <c r="K14" i="15"/>
  <c r="E11" i="17"/>
  <c r="G11" i="17" s="1"/>
  <c r="I11" i="17" s="1"/>
  <c r="E33" i="17"/>
  <c r="G33" i="17" s="1"/>
  <c r="I33" i="17" s="1"/>
  <c r="E12" i="17"/>
  <c r="G12" i="17" s="1"/>
  <c r="I12" i="17" s="1"/>
  <c r="E21" i="17"/>
  <c r="G21" i="17" s="1"/>
  <c r="I21" i="17" s="1"/>
  <c r="K30" i="19"/>
  <c r="E34" i="14"/>
  <c r="G34" i="14" s="1"/>
  <c r="I34" i="14" s="1"/>
  <c r="E20" i="14"/>
  <c r="G20" i="14" s="1"/>
  <c r="I20" i="14" s="1"/>
  <c r="E47" i="14"/>
  <c r="G47" i="14" s="1"/>
  <c r="E33" i="14"/>
  <c r="G33" i="14" s="1"/>
  <c r="I33" i="14" s="1"/>
  <c r="E19" i="14"/>
  <c r="G19" i="14" s="1"/>
  <c r="I19" i="14" s="1"/>
  <c r="E26" i="14"/>
  <c r="G26" i="14" s="1"/>
  <c r="I26" i="14" s="1"/>
  <c r="E13" i="14"/>
  <c r="G13" i="14" s="1"/>
  <c r="I13" i="14" s="1"/>
  <c r="E46" i="14"/>
  <c r="G46" i="14" s="1"/>
  <c r="E32" i="14"/>
  <c r="G32" i="14" s="1"/>
  <c r="I32" i="14" s="1"/>
  <c r="E18" i="14"/>
  <c r="G18" i="14" s="1"/>
  <c r="I18" i="14" s="1"/>
  <c r="E36" i="14"/>
  <c r="G36" i="14" s="1"/>
  <c r="I36" i="14" s="1"/>
  <c r="E22" i="14"/>
  <c r="G22" i="14" s="1"/>
  <c r="I22" i="14" s="1"/>
  <c r="E11" i="14"/>
  <c r="G11" i="14" s="1"/>
  <c r="I11" i="14" s="1"/>
  <c r="E44" i="14"/>
  <c r="G44" i="14" s="1"/>
  <c r="E39" i="16"/>
  <c r="E9" i="14"/>
  <c r="G9" i="14" s="1"/>
  <c r="I9" i="14" s="1"/>
  <c r="E16" i="14"/>
  <c r="G16" i="14" s="1"/>
  <c r="I16" i="14" s="1"/>
  <c r="E41" i="16"/>
  <c r="E28" i="16"/>
  <c r="G28" i="16" s="1"/>
  <c r="I28" i="16" s="1"/>
  <c r="E14" i="16"/>
  <c r="G14" i="16" s="1"/>
  <c r="I14" i="16" s="1"/>
  <c r="E47" i="16"/>
  <c r="G47" i="16" s="1"/>
  <c r="E33" i="16"/>
  <c r="G33" i="16" s="1"/>
  <c r="I33" i="16" s="1"/>
  <c r="E19" i="16"/>
  <c r="G19" i="16" s="1"/>
  <c r="I19" i="16" s="1"/>
  <c r="E32" i="16"/>
  <c r="G32" i="16" s="1"/>
  <c r="I32" i="16" s="1"/>
  <c r="E18" i="16"/>
  <c r="G18" i="16" s="1"/>
  <c r="I18" i="16" s="1"/>
  <c r="E54" i="16"/>
  <c r="E37" i="16"/>
  <c r="G37" i="16" s="1"/>
  <c r="I37" i="16" s="1"/>
  <c r="E45" i="16"/>
  <c r="G45" i="16" s="1"/>
  <c r="E12" i="16"/>
  <c r="G12" i="16" s="1"/>
  <c r="I12" i="16" s="1"/>
  <c r="E31" i="16"/>
  <c r="G31" i="16" s="1"/>
  <c r="I31" i="16" s="1"/>
  <c r="E17" i="16"/>
  <c r="G17" i="16" s="1"/>
  <c r="I17" i="16" s="1"/>
  <c r="E43" i="16"/>
  <c r="G43" i="16" s="1"/>
  <c r="E35" i="16"/>
  <c r="G35" i="16" s="1"/>
  <c r="I35" i="16" s="1"/>
  <c r="E21" i="16"/>
  <c r="G21" i="16" s="1"/>
  <c r="I21" i="16" s="1"/>
  <c r="E49" i="16"/>
  <c r="G49" i="16" s="1"/>
  <c r="E10" i="16"/>
  <c r="G10" i="16" s="1"/>
  <c r="I10" i="16" s="1"/>
  <c r="J29" i="16"/>
  <c r="E34" i="12"/>
  <c r="G34" i="12" s="1"/>
  <c r="I34" i="12" s="1"/>
  <c r="E20" i="12"/>
  <c r="G20" i="12" s="1"/>
  <c r="I20" i="12" s="1"/>
  <c r="E9" i="12"/>
  <c r="G9" i="12" s="1"/>
  <c r="I9" i="12" s="1"/>
  <c r="E41" i="12"/>
  <c r="E28" i="12"/>
  <c r="G28" i="12" s="1"/>
  <c r="I28" i="12" s="1"/>
  <c r="E14" i="12"/>
  <c r="G14" i="12" s="1"/>
  <c r="I14" i="12" s="1"/>
  <c r="E47" i="12"/>
  <c r="G47" i="12" s="1"/>
  <c r="E33" i="12"/>
  <c r="G33" i="12" s="1"/>
  <c r="I33" i="12" s="1"/>
  <c r="E19" i="12"/>
  <c r="G19" i="12" s="1"/>
  <c r="I19" i="12" s="1"/>
  <c r="E24" i="12"/>
  <c r="E54" i="12"/>
  <c r="E37" i="12"/>
  <c r="G37" i="12" s="1"/>
  <c r="I37" i="12" s="1"/>
  <c r="E45" i="12"/>
  <c r="G45" i="12" s="1"/>
  <c r="E12" i="12"/>
  <c r="G12" i="12" s="1"/>
  <c r="I12" i="12" s="1"/>
  <c r="E9" i="16"/>
  <c r="G9" i="16" s="1"/>
  <c r="I9" i="16" s="1"/>
  <c r="E30" i="16"/>
  <c r="G30" i="16" s="1"/>
  <c r="I30" i="16" s="1"/>
  <c r="E45" i="17"/>
  <c r="G45" i="17" s="1"/>
  <c r="J28" i="18"/>
  <c r="E39" i="10"/>
  <c r="E44" i="11"/>
  <c r="G44" i="11" s="1"/>
  <c r="E50" i="11"/>
  <c r="G50" i="11" s="1"/>
  <c r="E11" i="11"/>
  <c r="G11" i="11" s="1"/>
  <c r="I11" i="11" s="1"/>
  <c r="E48" i="11"/>
  <c r="G48" i="11" s="1"/>
  <c r="E23" i="11"/>
  <c r="G23" i="11" s="1"/>
  <c r="I23" i="11" s="1"/>
  <c r="E16" i="12"/>
  <c r="G16" i="12" s="1"/>
  <c r="I16" i="12" s="1"/>
  <c r="E43" i="12"/>
  <c r="G43" i="12" s="1"/>
  <c r="K52" i="16"/>
  <c r="E13" i="17"/>
  <c r="G13" i="17" s="1"/>
  <c r="I13" i="17" s="1"/>
  <c r="E19" i="7"/>
  <c r="G19" i="7" s="1"/>
  <c r="I19" i="7" s="1"/>
  <c r="E33" i="7"/>
  <c r="G33" i="7" s="1"/>
  <c r="I33" i="7" s="1"/>
  <c r="E9" i="11"/>
  <c r="G9" i="11" s="1"/>
  <c r="I9" i="11" s="1"/>
  <c r="E33" i="11"/>
  <c r="G33" i="11" s="1"/>
  <c r="I33" i="11" s="1"/>
  <c r="E49" i="11"/>
  <c r="G49" i="11" s="1"/>
  <c r="E17" i="14"/>
  <c r="G17" i="14" s="1"/>
  <c r="I17" i="14" s="1"/>
  <c r="E28" i="14"/>
  <c r="G28" i="14" s="1"/>
  <c r="I28" i="14" s="1"/>
  <c r="E35" i="14"/>
  <c r="G35" i="14" s="1"/>
  <c r="I35" i="14" s="1"/>
  <c r="E45" i="14"/>
  <c r="G45" i="14" s="1"/>
  <c r="E50" i="16"/>
  <c r="G50" i="16" s="1"/>
  <c r="E42" i="16"/>
  <c r="G42" i="16" s="1"/>
  <c r="E35" i="17"/>
  <c r="G35" i="17" s="1"/>
  <c r="I35" i="17" s="1"/>
  <c r="E46" i="17"/>
  <c r="G46" i="17" s="1"/>
  <c r="G5" i="7"/>
  <c r="E14" i="7"/>
  <c r="G14" i="7" s="1"/>
  <c r="I14" i="7" s="1"/>
  <c r="E47" i="7"/>
  <c r="G47" i="7" s="1"/>
  <c r="E41" i="10"/>
  <c r="K16" i="11"/>
  <c r="J12" i="13"/>
  <c r="E10" i="14"/>
  <c r="G10" i="14" s="1"/>
  <c r="I10" i="14" s="1"/>
  <c r="K28" i="15"/>
  <c r="E14" i="17"/>
  <c r="G14" i="17" s="1"/>
  <c r="I14" i="17" s="1"/>
  <c r="K12" i="19"/>
  <c r="E24" i="21"/>
  <c r="E17" i="11"/>
  <c r="G17" i="11" s="1"/>
  <c r="I17" i="11" s="1"/>
  <c r="E10" i="12"/>
  <c r="G10" i="12" s="1"/>
  <c r="I10" i="12" s="1"/>
  <c r="E26" i="12"/>
  <c r="G26" i="12" s="1"/>
  <c r="I26" i="12" s="1"/>
  <c r="E24" i="17"/>
  <c r="E39" i="7"/>
  <c r="G39" i="7" s="1"/>
  <c r="I39" i="7" s="1"/>
  <c r="E56" i="7"/>
  <c r="E10" i="11"/>
  <c r="G10" i="11" s="1"/>
  <c r="I10" i="11" s="1"/>
  <c r="E44" i="12"/>
  <c r="G44" i="12" s="1"/>
  <c r="E54" i="10"/>
  <c r="E37" i="10"/>
  <c r="G37" i="10" s="1"/>
  <c r="I37" i="10" s="1"/>
  <c r="E45" i="10"/>
  <c r="G45" i="10" s="1"/>
  <c r="E12" i="10"/>
  <c r="G12" i="10" s="1"/>
  <c r="I12" i="10" s="1"/>
  <c r="E31" i="10"/>
  <c r="G31" i="10" s="1"/>
  <c r="I31" i="10" s="1"/>
  <c r="E17" i="10"/>
  <c r="G17" i="10" s="1"/>
  <c r="I17" i="10" s="1"/>
  <c r="E36" i="10"/>
  <c r="G36" i="10" s="1"/>
  <c r="I36" i="10" s="1"/>
  <c r="E22" i="10"/>
  <c r="G22" i="10" s="1"/>
  <c r="I22" i="10" s="1"/>
  <c r="E49" i="10"/>
  <c r="G49" i="10" s="1"/>
  <c r="E10" i="10"/>
  <c r="G10" i="10" s="1"/>
  <c r="I10" i="10" s="1"/>
  <c r="E29" i="10"/>
  <c r="G29" i="10" s="1"/>
  <c r="I29" i="10" s="1"/>
  <c r="E15" i="10"/>
  <c r="G15" i="10" s="1"/>
  <c r="I15" i="10" s="1"/>
  <c r="K52" i="10"/>
  <c r="E24" i="11"/>
  <c r="G24" i="11" s="1"/>
  <c r="I24" i="11" s="1"/>
  <c r="E34" i="11"/>
  <c r="G34" i="11" s="1"/>
  <c r="I34" i="11" s="1"/>
  <c r="E43" i="11"/>
  <c r="E17" i="12"/>
  <c r="G17" i="12" s="1"/>
  <c r="I17" i="12" s="1"/>
  <c r="G41" i="13"/>
  <c r="E52" i="13"/>
  <c r="E2" i="13" s="1"/>
  <c r="E29" i="14"/>
  <c r="G29" i="14" s="1"/>
  <c r="I29" i="14" s="1"/>
  <c r="E26" i="17"/>
  <c r="G26" i="17" s="1"/>
  <c r="I26" i="17" s="1"/>
  <c r="E47" i="17"/>
  <c r="G47" i="17" s="1"/>
  <c r="G16" i="21"/>
  <c r="E20" i="7"/>
  <c r="G20" i="7" s="1"/>
  <c r="I20" i="7" s="1"/>
  <c r="E34" i="7"/>
  <c r="G34" i="7" s="1"/>
  <c r="I34" i="7" s="1"/>
  <c r="E9" i="10"/>
  <c r="G9" i="10" s="1"/>
  <c r="I9" i="10" s="1"/>
  <c r="E35" i="12"/>
  <c r="G35" i="12" s="1"/>
  <c r="I35" i="12" s="1"/>
  <c r="K13" i="13"/>
  <c r="E11" i="16"/>
  <c r="G11" i="16" s="1"/>
  <c r="I11" i="16" s="1"/>
  <c r="E20" i="16"/>
  <c r="G20" i="16" s="1"/>
  <c r="I20" i="16" s="1"/>
  <c r="E15" i="17"/>
  <c r="G15" i="17" s="1"/>
  <c r="I15" i="17" s="1"/>
  <c r="E16" i="10"/>
  <c r="G16" i="10" s="1"/>
  <c r="I16" i="10" s="1"/>
  <c r="E24" i="10"/>
  <c r="E33" i="10"/>
  <c r="G33" i="10" s="1"/>
  <c r="I33" i="10" s="1"/>
  <c r="E42" i="10"/>
  <c r="G42" i="10" s="1"/>
  <c r="E51" i="11"/>
  <c r="G51" i="11" s="1"/>
  <c r="K52" i="13"/>
  <c r="K33" i="19"/>
  <c r="J33" i="19"/>
  <c r="G5" i="21"/>
  <c r="E10" i="21"/>
  <c r="E14" i="21"/>
  <c r="E18" i="21"/>
  <c r="E22" i="21"/>
  <c r="E9" i="18"/>
  <c r="G9" i="18" s="1"/>
  <c r="I9" i="18" s="1"/>
  <c r="E49" i="21"/>
  <c r="E50" i="15"/>
  <c r="G50" i="15" s="1"/>
  <c r="E20" i="18"/>
  <c r="G20" i="18" s="1"/>
  <c r="I20" i="18" s="1"/>
  <c r="E34" i="18"/>
  <c r="G34" i="18" s="1"/>
  <c r="I34" i="18" s="1"/>
  <c r="E11" i="15"/>
  <c r="G11" i="15" s="1"/>
  <c r="I11" i="15" s="1"/>
  <c r="E42" i="18"/>
  <c r="E30" i="21"/>
  <c r="E34" i="21"/>
  <c r="E38" i="21"/>
  <c r="E45" i="21"/>
  <c r="E50" i="21"/>
  <c r="E16" i="18"/>
  <c r="G16" i="18" s="1"/>
  <c r="I16" i="18" s="1"/>
  <c r="E30" i="18"/>
  <c r="G30" i="18" s="1"/>
  <c r="I30" i="18" s="1"/>
  <c r="E37" i="15"/>
  <c r="G37" i="15" s="1"/>
  <c r="I37" i="15" s="1"/>
  <c r="E54" i="15"/>
  <c r="E50" i="18"/>
  <c r="G50" i="18" s="1"/>
  <c r="E21" i="19"/>
  <c r="G21" i="19" s="1"/>
  <c r="I21" i="19" s="1"/>
  <c r="E35" i="19"/>
  <c r="G35" i="19" s="1"/>
  <c r="I35" i="19" s="1"/>
  <c r="E43" i="19"/>
  <c r="G43" i="19" s="1"/>
  <c r="E26" i="21"/>
  <c r="E31" i="21"/>
  <c r="E35" i="21"/>
  <c r="E46" i="21"/>
  <c r="E24" i="15"/>
  <c r="E11" i="18"/>
  <c r="G11" i="18" s="1"/>
  <c r="I11" i="18" s="1"/>
  <c r="E40" i="21"/>
  <c r="E22" i="18"/>
  <c r="G22" i="18" s="1"/>
  <c r="I22" i="18" s="1"/>
  <c r="E36" i="18"/>
  <c r="G36" i="18" s="1"/>
  <c r="I36" i="18" s="1"/>
  <c r="E51" i="21"/>
  <c r="E17" i="18"/>
  <c r="G17" i="18" s="1"/>
  <c r="I17" i="18" s="1"/>
  <c r="E31" i="18"/>
  <c r="G31" i="18" s="1"/>
  <c r="I31" i="18" s="1"/>
  <c r="E47" i="21"/>
  <c r="E28" i="21"/>
  <c r="E32" i="21"/>
  <c r="E36" i="21"/>
  <c r="E18" i="18"/>
  <c r="G18" i="18" s="1"/>
  <c r="I18" i="18" s="1"/>
  <c r="E32" i="18"/>
  <c r="G32" i="18" s="1"/>
  <c r="I32" i="18" s="1"/>
  <c r="E43" i="21"/>
  <c r="E9" i="21"/>
  <c r="E13" i="21"/>
  <c r="E17" i="21"/>
  <c r="E21" i="21"/>
  <c r="E48" i="21"/>
  <c r="E55" i="21"/>
  <c r="E29" i="21"/>
  <c r="E33" i="21"/>
  <c r="E37" i="21"/>
  <c r="E53" i="21" l="1"/>
  <c r="K20" i="8"/>
  <c r="J20" i="8"/>
  <c r="K22" i="18"/>
  <c r="J22" i="18"/>
  <c r="G10" i="21"/>
  <c r="J10" i="16"/>
  <c r="K10" i="16"/>
  <c r="K13" i="14"/>
  <c r="J13" i="14"/>
  <c r="K14" i="9"/>
  <c r="J14" i="9"/>
  <c r="K25" i="2"/>
  <c r="J25" i="2"/>
  <c r="K49" i="21"/>
  <c r="E4" i="13"/>
  <c r="J31" i="9"/>
  <c r="K31" i="9"/>
  <c r="J11" i="3"/>
  <c r="K11" i="3"/>
  <c r="K9" i="8"/>
  <c r="J9" i="8"/>
  <c r="K36" i="18"/>
  <c r="J36" i="18"/>
  <c r="K9" i="2"/>
  <c r="J9" i="2"/>
  <c r="K11" i="18"/>
  <c r="J11" i="18"/>
  <c r="G43" i="11"/>
  <c r="E54" i="11"/>
  <c r="K16" i="12"/>
  <c r="J16" i="12"/>
  <c r="K21" i="16"/>
  <c r="J21" i="16"/>
  <c r="J19" i="14"/>
  <c r="K19" i="14"/>
  <c r="J26" i="2"/>
  <c r="K26" i="2"/>
  <c r="K15" i="4"/>
  <c r="J15" i="4"/>
  <c r="E2" i="2"/>
  <c r="E4" i="2"/>
  <c r="K24" i="2"/>
  <c r="J24" i="2"/>
  <c r="K17" i="9"/>
  <c r="J17" i="9"/>
  <c r="G48" i="6"/>
  <c r="E59" i="6"/>
  <c r="K37" i="3"/>
  <c r="J37" i="3"/>
  <c r="K35" i="5"/>
  <c r="J35" i="5"/>
  <c r="K23" i="3"/>
  <c r="J23" i="3"/>
  <c r="E2" i="15"/>
  <c r="E4" i="15"/>
  <c r="J34" i="11"/>
  <c r="K34" i="11"/>
  <c r="K23" i="11"/>
  <c r="J23" i="11"/>
  <c r="K35" i="16"/>
  <c r="J35" i="16"/>
  <c r="K33" i="14"/>
  <c r="J33" i="14"/>
  <c r="J9" i="17"/>
  <c r="K9" i="17"/>
  <c r="J10" i="2"/>
  <c r="K10" i="2"/>
  <c r="K51" i="21"/>
  <c r="K14" i="2"/>
  <c r="J14" i="2"/>
  <c r="K32" i="9"/>
  <c r="J32" i="9"/>
  <c r="J22" i="9"/>
  <c r="K22" i="9"/>
  <c r="E2" i="9"/>
  <c r="K31" i="5"/>
  <c r="J31" i="5"/>
  <c r="K17" i="6"/>
  <c r="J17" i="6"/>
  <c r="K18" i="3"/>
  <c r="J18" i="3"/>
  <c r="K22" i="6"/>
  <c r="J22" i="6"/>
  <c r="K14" i="17"/>
  <c r="J14" i="17"/>
  <c r="J11" i="11"/>
  <c r="K11" i="11"/>
  <c r="K17" i="16"/>
  <c r="J17" i="16"/>
  <c r="K20" i="14"/>
  <c r="J20" i="14"/>
  <c r="K30" i="17"/>
  <c r="J30" i="17"/>
  <c r="J15" i="5"/>
  <c r="K15" i="5"/>
  <c r="K34" i="6"/>
  <c r="J34" i="6"/>
  <c r="K31" i="6"/>
  <c r="J31" i="6"/>
  <c r="K32" i="3"/>
  <c r="J32" i="3"/>
  <c r="K31" i="16"/>
  <c r="J31" i="16"/>
  <c r="K34" i="14"/>
  <c r="J34" i="14"/>
  <c r="K20" i="17"/>
  <c r="J20" i="17"/>
  <c r="J22" i="5"/>
  <c r="K22" i="5"/>
  <c r="J16" i="6"/>
  <c r="K16" i="6"/>
  <c r="K29" i="10"/>
  <c r="J29" i="10"/>
  <c r="K12" i="16"/>
  <c r="J12" i="16"/>
  <c r="K34" i="17"/>
  <c r="J34" i="17"/>
  <c r="J36" i="5"/>
  <c r="K36" i="5"/>
  <c r="K42" i="21"/>
  <c r="K35" i="3"/>
  <c r="J35" i="3"/>
  <c r="K24" i="6"/>
  <c r="J24" i="6"/>
  <c r="J12" i="6"/>
  <c r="K12" i="6"/>
  <c r="K36" i="3"/>
  <c r="J36" i="3"/>
  <c r="G51" i="21"/>
  <c r="K10" i="14"/>
  <c r="J10" i="14"/>
  <c r="K10" i="10"/>
  <c r="J10" i="10"/>
  <c r="E65" i="3"/>
  <c r="G53" i="3"/>
  <c r="J23" i="6"/>
  <c r="K23" i="6"/>
  <c r="K37" i="16"/>
  <c r="J37" i="16"/>
  <c r="K10" i="17"/>
  <c r="J10" i="17"/>
  <c r="K47" i="21"/>
  <c r="K19" i="2"/>
  <c r="J19" i="2"/>
  <c r="E54" i="7"/>
  <c r="K10" i="6"/>
  <c r="J10" i="6"/>
  <c r="J37" i="6"/>
  <c r="K37" i="6"/>
  <c r="K13" i="3"/>
  <c r="J13" i="3"/>
  <c r="G31" i="21"/>
  <c r="I19" i="21"/>
  <c r="J19" i="21" s="1"/>
  <c r="K38" i="2"/>
  <c r="J38" i="2"/>
  <c r="K20" i="3"/>
  <c r="J20" i="3"/>
  <c r="K18" i="6"/>
  <c r="J18" i="6"/>
  <c r="J24" i="3"/>
  <c r="K24" i="3"/>
  <c r="K13" i="9"/>
  <c r="J13" i="9"/>
  <c r="J18" i="5"/>
  <c r="K18" i="5"/>
  <c r="K35" i="6"/>
  <c r="J35" i="6"/>
  <c r="J38" i="3"/>
  <c r="K38" i="3"/>
  <c r="K39" i="2"/>
  <c r="J39" i="2"/>
  <c r="K17" i="10"/>
  <c r="J17" i="10"/>
  <c r="I11" i="21"/>
  <c r="J22" i="17"/>
  <c r="K22" i="17"/>
  <c r="E52" i="8"/>
  <c r="K12" i="9"/>
  <c r="J12" i="9"/>
  <c r="E62" i="4"/>
  <c r="E4" i="4" s="1"/>
  <c r="K32" i="5"/>
  <c r="J32" i="5"/>
  <c r="K29" i="3"/>
  <c r="J29" i="3"/>
  <c r="K17" i="3"/>
  <c r="J17" i="3"/>
  <c r="K26" i="14"/>
  <c r="J26" i="14"/>
  <c r="J36" i="17"/>
  <c r="K36" i="17"/>
  <c r="K50" i="21"/>
  <c r="E52" i="14"/>
  <c r="K42" i="4"/>
  <c r="K36" i="6"/>
  <c r="J36" i="6"/>
  <c r="K20" i="2"/>
  <c r="J20" i="2"/>
  <c r="K35" i="9"/>
  <c r="J35" i="9"/>
  <c r="E4" i="5"/>
  <c r="E2" i="5"/>
  <c r="K19" i="6"/>
  <c r="J19" i="6"/>
  <c r="K19" i="3"/>
  <c r="J19" i="3"/>
  <c r="K11" i="6"/>
  <c r="J11" i="6"/>
  <c r="G35" i="21"/>
  <c r="K33" i="10"/>
  <c r="J33" i="10"/>
  <c r="J12" i="12"/>
  <c r="K12" i="12"/>
  <c r="K32" i="17"/>
  <c r="J32" i="17"/>
  <c r="K19" i="5"/>
  <c r="J19" i="5"/>
  <c r="G20" i="21"/>
  <c r="K16" i="3"/>
  <c r="J16" i="3"/>
  <c r="K28" i="6"/>
  <c r="J28" i="6"/>
  <c r="K33" i="3"/>
  <c r="J33" i="3"/>
  <c r="G14" i="21"/>
  <c r="K15" i="10"/>
  <c r="J15" i="10"/>
  <c r="K22" i="10"/>
  <c r="J22" i="10"/>
  <c r="J37" i="15"/>
  <c r="K37" i="15"/>
  <c r="K14" i="16"/>
  <c r="J14" i="16"/>
  <c r="K10" i="8"/>
  <c r="J10" i="8"/>
  <c r="J21" i="19"/>
  <c r="K21" i="19"/>
  <c r="K24" i="19" s="1"/>
  <c r="K19" i="16"/>
  <c r="J19" i="16"/>
  <c r="J15" i="17"/>
  <c r="K15" i="17"/>
  <c r="K35" i="17"/>
  <c r="J35" i="17"/>
  <c r="G21" i="21"/>
  <c r="G50" i="21"/>
  <c r="K20" i="16"/>
  <c r="J20" i="16"/>
  <c r="K37" i="12"/>
  <c r="J37" i="12"/>
  <c r="K28" i="16"/>
  <c r="J28" i="16"/>
  <c r="K33" i="17"/>
  <c r="J33" i="17"/>
  <c r="J14" i="5"/>
  <c r="K14" i="5"/>
  <c r="K34" i="9"/>
  <c r="J34" i="9"/>
  <c r="G18" i="21"/>
  <c r="K30" i="16"/>
  <c r="J30" i="16"/>
  <c r="G45" i="21"/>
  <c r="J11" i="17"/>
  <c r="K11" i="17"/>
  <c r="E52" i="17"/>
  <c r="K28" i="5"/>
  <c r="J28" i="5"/>
  <c r="K16" i="8"/>
  <c r="J16" i="8"/>
  <c r="K20" i="9"/>
  <c r="J20" i="9"/>
  <c r="E4" i="6"/>
  <c r="E2" i="6"/>
  <c r="J14" i="3"/>
  <c r="K14" i="3"/>
  <c r="K24" i="13"/>
  <c r="K20" i="6"/>
  <c r="J20" i="6"/>
  <c r="K13" i="5"/>
  <c r="J13" i="5"/>
  <c r="K32" i="2"/>
  <c r="J32" i="2"/>
  <c r="K24" i="11"/>
  <c r="J24" i="11"/>
  <c r="G33" i="21"/>
  <c r="E52" i="9"/>
  <c r="E4" i="9" s="1"/>
  <c r="G41" i="9"/>
  <c r="G56" i="2"/>
  <c r="E68" i="2"/>
  <c r="K30" i="8"/>
  <c r="J30" i="8"/>
  <c r="J30" i="6"/>
  <c r="K30" i="6"/>
  <c r="K9" i="3"/>
  <c r="J9" i="3"/>
  <c r="K17" i="11"/>
  <c r="J17" i="11"/>
  <c r="K30" i="18"/>
  <c r="J30" i="18"/>
  <c r="E52" i="19"/>
  <c r="G17" i="21"/>
  <c r="K35" i="12"/>
  <c r="J35" i="12"/>
  <c r="J10" i="11"/>
  <c r="K10" i="11"/>
  <c r="K19" i="12"/>
  <c r="J19" i="12"/>
  <c r="K16" i="14"/>
  <c r="J16" i="14"/>
  <c r="K30" i="5"/>
  <c r="J30" i="5"/>
  <c r="K13" i="6"/>
  <c r="J13" i="6"/>
  <c r="K25" i="3"/>
  <c r="J25" i="3"/>
  <c r="K22" i="4"/>
  <c r="J22" i="4"/>
  <c r="K11" i="8"/>
  <c r="J11" i="8"/>
  <c r="K32" i="6"/>
  <c r="J32" i="6"/>
  <c r="K39" i="3"/>
  <c r="J39" i="3"/>
  <c r="K34" i="3"/>
  <c r="J34" i="3"/>
  <c r="G46" i="21"/>
  <c r="K16" i="18"/>
  <c r="J16" i="18"/>
  <c r="E52" i="16"/>
  <c r="G41" i="16"/>
  <c r="G13" i="21"/>
  <c r="G34" i="21"/>
  <c r="K32" i="18"/>
  <c r="J32" i="18"/>
  <c r="G42" i="18"/>
  <c r="E52" i="18"/>
  <c r="J39" i="7"/>
  <c r="K39" i="7"/>
  <c r="K35" i="14"/>
  <c r="J35" i="14"/>
  <c r="K48" i="21"/>
  <c r="K14" i="6"/>
  <c r="J14" i="6"/>
  <c r="K17" i="12"/>
  <c r="J17" i="12"/>
  <c r="G41" i="10"/>
  <c r="E52" i="10"/>
  <c r="E4" i="10" s="1"/>
  <c r="K16" i="10"/>
  <c r="J16" i="10"/>
  <c r="K18" i="17"/>
  <c r="J18" i="17"/>
  <c r="K11" i="16"/>
  <c r="J11" i="16"/>
  <c r="K9" i="14"/>
  <c r="J9" i="14"/>
  <c r="K11" i="15"/>
  <c r="J11" i="15"/>
  <c r="K9" i="10"/>
  <c r="J9" i="10"/>
  <c r="K28" i="14"/>
  <c r="J28" i="14"/>
  <c r="K14" i="12"/>
  <c r="J14" i="12"/>
  <c r="K22" i="8"/>
  <c r="J22" i="8"/>
  <c r="K39" i="6"/>
  <c r="J39" i="6"/>
  <c r="K10" i="3"/>
  <c r="J10" i="3"/>
  <c r="K36" i="10"/>
  <c r="J36" i="10"/>
  <c r="K14" i="7"/>
  <c r="J14" i="7"/>
  <c r="K37" i="10"/>
  <c r="J37" i="10"/>
  <c r="E4" i="12"/>
  <c r="E2" i="12"/>
  <c r="G9" i="21"/>
  <c r="K33" i="12"/>
  <c r="J33" i="12"/>
  <c r="K18" i="18"/>
  <c r="J18" i="18"/>
  <c r="G36" i="21"/>
  <c r="K34" i="18"/>
  <c r="J34" i="18"/>
  <c r="K34" i="7"/>
  <c r="J34" i="7"/>
  <c r="K17" i="14"/>
  <c r="J17" i="14"/>
  <c r="K28" i="12"/>
  <c r="J28" i="12"/>
  <c r="K36" i="8"/>
  <c r="J36" i="8"/>
  <c r="K10" i="9"/>
  <c r="J10" i="9"/>
  <c r="J40" i="3"/>
  <c r="K40" i="3"/>
  <c r="K11" i="9"/>
  <c r="J11" i="9"/>
  <c r="J13" i="17"/>
  <c r="K13" i="17"/>
  <c r="G26" i="21"/>
  <c r="K21" i="17"/>
  <c r="J21" i="17"/>
  <c r="G38" i="21"/>
  <c r="G32" i="21"/>
  <c r="K20" i="18"/>
  <c r="J20" i="18"/>
  <c r="J20" i="7"/>
  <c r="K20" i="7"/>
  <c r="E4" i="17"/>
  <c r="E2" i="17"/>
  <c r="E52" i="12"/>
  <c r="G41" i="12"/>
  <c r="K15" i="2"/>
  <c r="J15" i="2"/>
  <c r="K17" i="8"/>
  <c r="J17" i="8"/>
  <c r="K34" i="5"/>
  <c r="J34" i="5"/>
  <c r="K21" i="9"/>
  <c r="J21" i="9"/>
  <c r="K39" i="13"/>
  <c r="K21" i="6"/>
  <c r="J21" i="6"/>
  <c r="K22" i="3"/>
  <c r="J22" i="3"/>
  <c r="J18" i="16"/>
  <c r="K18" i="16"/>
  <c r="J33" i="16"/>
  <c r="K33" i="16"/>
  <c r="G48" i="21"/>
  <c r="G30" i="21"/>
  <c r="G28" i="21"/>
  <c r="I16" i="21"/>
  <c r="J16" i="21" s="1"/>
  <c r="K33" i="11"/>
  <c r="K41" i="11" s="1"/>
  <c r="J33" i="11"/>
  <c r="K9" i="12"/>
  <c r="J9" i="12"/>
  <c r="J11" i="14"/>
  <c r="K11" i="14"/>
  <c r="K31" i="8"/>
  <c r="K39" i="8" s="1"/>
  <c r="J31" i="8"/>
  <c r="E4" i="11"/>
  <c r="E2" i="11"/>
  <c r="K30" i="9"/>
  <c r="J30" i="9"/>
  <c r="E4" i="3"/>
  <c r="E2" i="3"/>
  <c r="K38" i="6"/>
  <c r="J38" i="6"/>
  <c r="K31" i="3"/>
  <c r="J31" i="3"/>
  <c r="K32" i="14"/>
  <c r="J32" i="14"/>
  <c r="E2" i="21"/>
  <c r="E4" i="21"/>
  <c r="I15" i="21"/>
  <c r="J15" i="21" s="1"/>
  <c r="J32" i="16"/>
  <c r="K32" i="16"/>
  <c r="K12" i="10"/>
  <c r="J12" i="10"/>
  <c r="K26" i="12"/>
  <c r="J26" i="12"/>
  <c r="K22" i="14"/>
  <c r="J22" i="14"/>
  <c r="K26" i="9"/>
  <c r="J26" i="9"/>
  <c r="J12" i="8"/>
  <c r="K12" i="8"/>
  <c r="K24" i="9"/>
  <c r="K36" i="9"/>
  <c r="J36" i="9"/>
  <c r="G44" i="21"/>
  <c r="K9" i="6"/>
  <c r="J9" i="6"/>
  <c r="K20" i="5"/>
  <c r="J20" i="5"/>
  <c r="J35" i="19"/>
  <c r="K35" i="19"/>
  <c r="K12" i="17"/>
  <c r="J12" i="17"/>
  <c r="K31" i="10"/>
  <c r="J31" i="10"/>
  <c r="G29" i="21"/>
  <c r="G47" i="21"/>
  <c r="J9" i="11"/>
  <c r="K9" i="11"/>
  <c r="J31" i="18"/>
  <c r="K31" i="18"/>
  <c r="J9" i="18"/>
  <c r="K9" i="18"/>
  <c r="K10" i="12"/>
  <c r="J10" i="12"/>
  <c r="K33" i="7"/>
  <c r="K41" i="7" s="1"/>
  <c r="J33" i="7"/>
  <c r="K34" i="12"/>
  <c r="J34" i="12"/>
  <c r="K36" i="14"/>
  <c r="J36" i="14"/>
  <c r="K34" i="2"/>
  <c r="J34" i="2"/>
  <c r="K16" i="9"/>
  <c r="J16" i="9"/>
  <c r="E61" i="5"/>
  <c r="J33" i="6"/>
  <c r="K33" i="6"/>
  <c r="K29" i="14"/>
  <c r="J29" i="14"/>
  <c r="K12" i="5"/>
  <c r="J12" i="5"/>
  <c r="G37" i="21"/>
  <c r="K9" i="16"/>
  <c r="J9" i="16"/>
  <c r="G43" i="21"/>
  <c r="G49" i="21"/>
  <c r="K20" i="12"/>
  <c r="J20" i="12"/>
  <c r="J17" i="18"/>
  <c r="K17" i="18"/>
  <c r="G22" i="21"/>
  <c r="J26" i="17"/>
  <c r="K26" i="17"/>
  <c r="K19" i="7"/>
  <c r="J19" i="7"/>
  <c r="K18" i="14"/>
  <c r="J18" i="14"/>
  <c r="G12" i="21"/>
  <c r="K28" i="9"/>
  <c r="J28" i="9"/>
  <c r="K19" i="8"/>
  <c r="J19" i="8"/>
  <c r="K37" i="8"/>
  <c r="J37" i="8"/>
  <c r="J37" i="9"/>
  <c r="K37" i="9"/>
  <c r="K15" i="3"/>
  <c r="J15" i="3"/>
  <c r="K15" i="6"/>
  <c r="J15" i="6"/>
  <c r="K12" i="3"/>
  <c r="J12" i="3"/>
  <c r="J11" i="21" l="1"/>
  <c r="K19" i="21"/>
  <c r="K16" i="21"/>
  <c r="K11" i="21"/>
  <c r="K15" i="21"/>
  <c r="K4" i="19"/>
  <c r="M4" i="19" s="1"/>
  <c r="I33" i="21"/>
  <c r="I36" i="21"/>
  <c r="K26" i="11"/>
  <c r="I9" i="21"/>
  <c r="I17" i="21"/>
  <c r="I18" i="21"/>
  <c r="I20" i="21"/>
  <c r="E4" i="8"/>
  <c r="E2" i="8"/>
  <c r="K24" i="16"/>
  <c r="E4" i="19"/>
  <c r="E2" i="19"/>
  <c r="K4" i="9"/>
  <c r="M4" i="9" s="1"/>
  <c r="K39" i="14"/>
  <c r="K39" i="18"/>
  <c r="I29" i="21"/>
  <c r="K24" i="10"/>
  <c r="E2" i="4"/>
  <c r="K24" i="18"/>
  <c r="K24" i="12"/>
  <c r="E4" i="18"/>
  <c r="E2" i="18"/>
  <c r="K27" i="3"/>
  <c r="K39" i="16"/>
  <c r="K53" i="21"/>
  <c r="K41" i="6"/>
  <c r="I35" i="21"/>
  <c r="E2" i="14"/>
  <c r="E4" i="14"/>
  <c r="E2" i="7"/>
  <c r="E4" i="7"/>
  <c r="I38" i="21"/>
  <c r="K24" i="17"/>
  <c r="K24" i="14"/>
  <c r="I10" i="21"/>
  <c r="I34" i="21"/>
  <c r="I31" i="21"/>
  <c r="I26" i="21"/>
  <c r="K4" i="13"/>
  <c r="M4" i="13" s="1"/>
  <c r="K2" i="13"/>
  <c r="K57" i="13"/>
  <c r="L57" i="13" s="1"/>
  <c r="I28" i="21"/>
  <c r="I30" i="21"/>
  <c r="K39" i="12"/>
  <c r="I13" i="21"/>
  <c r="I21" i="21"/>
  <c r="K30" i="2"/>
  <c r="I22" i="21"/>
  <c r="K26" i="6"/>
  <c r="I14" i="21"/>
  <c r="K39" i="10"/>
  <c r="K26" i="5"/>
  <c r="E2" i="16"/>
  <c r="E4" i="16"/>
  <c r="K39" i="19"/>
  <c r="K2" i="19" s="1"/>
  <c r="K45" i="2"/>
  <c r="K41" i="5"/>
  <c r="K39" i="15"/>
  <c r="K24" i="15"/>
  <c r="K42" i="3"/>
  <c r="K39" i="17"/>
  <c r="K27" i="4"/>
  <c r="K24" i="8"/>
  <c r="K39" i="9"/>
  <c r="I12" i="21"/>
  <c r="I32" i="21"/>
  <c r="E2" i="10"/>
  <c r="K26" i="7"/>
  <c r="I37" i="21"/>
  <c r="L47" i="19" l="1"/>
  <c r="L43" i="19"/>
  <c r="L49" i="19"/>
  <c r="L46" i="19"/>
  <c r="M2" i="19"/>
  <c r="L45" i="19"/>
  <c r="L54" i="19"/>
  <c r="L44" i="19"/>
  <c r="L52" i="19"/>
  <c r="L42" i="19"/>
  <c r="L41" i="19"/>
  <c r="L14" i="19"/>
  <c r="L48" i="19"/>
  <c r="L50" i="19"/>
  <c r="L22" i="19"/>
  <c r="L28" i="19"/>
  <c r="L37" i="19"/>
  <c r="L34" i="19"/>
  <c r="L30" i="19"/>
  <c r="L20" i="19"/>
  <c r="L26" i="19"/>
  <c r="L29" i="19"/>
  <c r="L32" i="19"/>
  <c r="L36" i="19"/>
  <c r="L10" i="19"/>
  <c r="L9" i="19"/>
  <c r="L12" i="19"/>
  <c r="L19" i="19"/>
  <c r="L15" i="19"/>
  <c r="L13" i="19"/>
  <c r="L18" i="19"/>
  <c r="L11" i="19"/>
  <c r="L17" i="19"/>
  <c r="L33" i="19"/>
  <c r="L16" i="19"/>
  <c r="L31" i="19"/>
  <c r="L21" i="19"/>
  <c r="L24" i="19"/>
  <c r="L35" i="19"/>
  <c r="K4" i="16"/>
  <c r="M4" i="16" s="1"/>
  <c r="K2" i="16"/>
  <c r="L24" i="16" s="1"/>
  <c r="K57" i="16"/>
  <c r="L57" i="16" s="1"/>
  <c r="L42" i="3"/>
  <c r="J20" i="21"/>
  <c r="K20" i="21"/>
  <c r="L46" i="13"/>
  <c r="M2" i="13"/>
  <c r="L47" i="13"/>
  <c r="L31" i="13"/>
  <c r="L43" i="13"/>
  <c r="L41" i="13"/>
  <c r="L44" i="13"/>
  <c r="L45" i="13"/>
  <c r="L14" i="13"/>
  <c r="L42" i="13"/>
  <c r="L50" i="13"/>
  <c r="L54" i="13"/>
  <c r="L49" i="13"/>
  <c r="L48" i="13"/>
  <c r="L12" i="13"/>
  <c r="L13" i="13"/>
  <c r="L16" i="13"/>
  <c r="L20" i="13"/>
  <c r="L34" i="13"/>
  <c r="L36" i="13"/>
  <c r="L21" i="13"/>
  <c r="L32" i="13"/>
  <c r="L15" i="13"/>
  <c r="L18" i="13"/>
  <c r="L19" i="13"/>
  <c r="L30" i="13"/>
  <c r="L29" i="13"/>
  <c r="L9" i="13"/>
  <c r="L52" i="13"/>
  <c r="L11" i="13"/>
  <c r="L28" i="13"/>
  <c r="L37" i="13"/>
  <c r="L22" i="13"/>
  <c r="L10" i="13"/>
  <c r="L26" i="13"/>
  <c r="L35" i="13"/>
  <c r="L33" i="13"/>
  <c r="L17" i="13"/>
  <c r="K57" i="17"/>
  <c r="K2" i="17"/>
  <c r="L39" i="17" s="1"/>
  <c r="K4" i="17"/>
  <c r="M4" i="17" s="1"/>
  <c r="K4" i="10"/>
  <c r="M4" i="10" s="1"/>
  <c r="K2" i="10"/>
  <c r="L24" i="10"/>
  <c r="K57" i="10"/>
  <c r="L57" i="10" s="1"/>
  <c r="K64" i="6"/>
  <c r="L64" i="6" s="1"/>
  <c r="K4" i="6"/>
  <c r="M4" i="6" s="1"/>
  <c r="K2" i="6"/>
  <c r="L26" i="6"/>
  <c r="J32" i="21"/>
  <c r="K32" i="21"/>
  <c r="J18" i="21"/>
  <c r="K18" i="21"/>
  <c r="J35" i="21"/>
  <c r="K35" i="21"/>
  <c r="L39" i="13"/>
  <c r="K4" i="7"/>
  <c r="M4" i="7" s="1"/>
  <c r="K2" i="7"/>
  <c r="K59" i="7"/>
  <c r="L59" i="7" s="1"/>
  <c r="J34" i="21"/>
  <c r="K34" i="21"/>
  <c r="J12" i="21"/>
  <c r="K12" i="21"/>
  <c r="J33" i="21"/>
  <c r="K33" i="21"/>
  <c r="J17" i="21"/>
  <c r="K17" i="21"/>
  <c r="J31" i="21"/>
  <c r="J13" i="21"/>
  <c r="K13" i="21"/>
  <c r="K4" i="12"/>
  <c r="M4" i="12" s="1"/>
  <c r="K57" i="12"/>
  <c r="K2" i="12"/>
  <c r="J28" i="21"/>
  <c r="K28" i="21"/>
  <c r="J9" i="21"/>
  <c r="K9" i="21"/>
  <c r="J29" i="21"/>
  <c r="J21" i="21"/>
  <c r="K21" i="21"/>
  <c r="J30" i="21"/>
  <c r="L39" i="9"/>
  <c r="K57" i="19"/>
  <c r="L57" i="19" s="1"/>
  <c r="K4" i="14"/>
  <c r="M4" i="14" s="1"/>
  <c r="K57" i="14"/>
  <c r="K2" i="14"/>
  <c r="L39" i="14" s="1"/>
  <c r="L24" i="14"/>
  <c r="J22" i="21"/>
  <c r="K22" i="21"/>
  <c r="K73" i="2"/>
  <c r="K4" i="2"/>
  <c r="M4" i="2" s="1"/>
  <c r="K2" i="2"/>
  <c r="L45" i="2" s="1"/>
  <c r="J10" i="21"/>
  <c r="K10" i="21"/>
  <c r="K2" i="9"/>
  <c r="K59" i="11"/>
  <c r="K4" i="11"/>
  <c r="M4" i="11" s="1"/>
  <c r="K2" i="11"/>
  <c r="K4" i="15"/>
  <c r="M4" i="15" s="1"/>
  <c r="K2" i="15"/>
  <c r="L24" i="15" s="1"/>
  <c r="K57" i="15"/>
  <c r="L57" i="15" s="1"/>
  <c r="K4" i="5"/>
  <c r="M4" i="5" s="1"/>
  <c r="K2" i="5"/>
  <c r="L26" i="5"/>
  <c r="K66" i="5"/>
  <c r="L66" i="5" s="1"/>
  <c r="K57" i="18"/>
  <c r="K2" i="18"/>
  <c r="L24" i="18"/>
  <c r="K4" i="18"/>
  <c r="M4" i="18" s="1"/>
  <c r="J36" i="21"/>
  <c r="K36" i="21"/>
  <c r="J38" i="21"/>
  <c r="K38" i="21"/>
  <c r="K57" i="9"/>
  <c r="L41" i="6"/>
  <c r="K4" i="3"/>
  <c r="M4" i="3" s="1"/>
  <c r="K2" i="3"/>
  <c r="K70" i="3"/>
  <c r="L70" i="3" s="1"/>
  <c r="L27" i="3"/>
  <c r="J14" i="21"/>
  <c r="K14" i="21"/>
  <c r="K67" i="4"/>
  <c r="K4" i="4"/>
  <c r="M4" i="4" s="1"/>
  <c r="K2" i="4"/>
  <c r="L27" i="4" s="1"/>
  <c r="L39" i="19"/>
  <c r="J26" i="21"/>
  <c r="K26" i="21"/>
  <c r="J37" i="21"/>
  <c r="K37" i="21"/>
  <c r="L39" i="18"/>
  <c r="L39" i="16"/>
  <c r="K57" i="8"/>
  <c r="K4" i="8"/>
  <c r="M4" i="8" s="1"/>
  <c r="K2" i="8"/>
  <c r="L24" i="8"/>
  <c r="L24" i="13"/>
  <c r="L42" i="8" l="1"/>
  <c r="L48" i="8"/>
  <c r="M2" i="8"/>
  <c r="L46" i="8"/>
  <c r="L43" i="8"/>
  <c r="L41" i="8"/>
  <c r="L13" i="8"/>
  <c r="L44" i="8"/>
  <c r="L45" i="8"/>
  <c r="L54" i="8"/>
  <c r="L50" i="8"/>
  <c r="L49" i="8"/>
  <c r="L47" i="8"/>
  <c r="L21" i="8"/>
  <c r="L52" i="8"/>
  <c r="L32" i="8"/>
  <c r="L34" i="8"/>
  <c r="L33" i="8"/>
  <c r="L18" i="8"/>
  <c r="L14" i="8"/>
  <c r="L35" i="8"/>
  <c r="L29" i="8"/>
  <c r="L28" i="8"/>
  <c r="L15" i="8"/>
  <c r="L26" i="8"/>
  <c r="L36" i="8"/>
  <c r="L20" i="8"/>
  <c r="L16" i="8"/>
  <c r="L17" i="8"/>
  <c r="L9" i="8"/>
  <c r="L19" i="8"/>
  <c r="L39" i="8"/>
  <c r="L37" i="8"/>
  <c r="L10" i="8"/>
  <c r="L30" i="8"/>
  <c r="L22" i="8"/>
  <c r="L31" i="8"/>
  <c r="L11" i="8"/>
  <c r="L12" i="8"/>
  <c r="L44" i="11"/>
  <c r="L52" i="11"/>
  <c r="L43" i="11"/>
  <c r="L51" i="11"/>
  <c r="L47" i="11"/>
  <c r="M2" i="11"/>
  <c r="L45" i="11"/>
  <c r="L49" i="11"/>
  <c r="L50" i="11"/>
  <c r="L14" i="11"/>
  <c r="L48" i="11"/>
  <c r="L56" i="11"/>
  <c r="L20" i="11"/>
  <c r="L46" i="11"/>
  <c r="L18" i="11"/>
  <c r="L54" i="11"/>
  <c r="L2" i="11" s="1"/>
  <c r="L36" i="11"/>
  <c r="L31" i="11"/>
  <c r="L28" i="11"/>
  <c r="L15" i="11"/>
  <c r="L12" i="11"/>
  <c r="L32" i="11"/>
  <c r="L21" i="11"/>
  <c r="L35" i="11"/>
  <c r="L13" i="11"/>
  <c r="L30" i="11"/>
  <c r="L16" i="11"/>
  <c r="L38" i="11"/>
  <c r="L22" i="11"/>
  <c r="L39" i="11"/>
  <c r="L19" i="11"/>
  <c r="L37" i="11"/>
  <c r="L41" i="11"/>
  <c r="L33" i="11"/>
  <c r="L11" i="11"/>
  <c r="L9" i="11"/>
  <c r="L17" i="11"/>
  <c r="L23" i="11"/>
  <c r="L24" i="11"/>
  <c r="L34" i="11"/>
  <c r="L10" i="11"/>
  <c r="L48" i="10"/>
  <c r="L47" i="10"/>
  <c r="M2" i="10"/>
  <c r="L49" i="10"/>
  <c r="L44" i="10"/>
  <c r="L42" i="10"/>
  <c r="L43" i="10"/>
  <c r="L41" i="10"/>
  <c r="L13" i="10"/>
  <c r="L45" i="10"/>
  <c r="L50" i="10"/>
  <c r="L34" i="10"/>
  <c r="L54" i="10"/>
  <c r="L46" i="10"/>
  <c r="L20" i="10"/>
  <c r="L52" i="10"/>
  <c r="L14" i="10"/>
  <c r="L26" i="10"/>
  <c r="L28" i="10"/>
  <c r="L35" i="10"/>
  <c r="L30" i="10"/>
  <c r="L21" i="10"/>
  <c r="L32" i="10"/>
  <c r="L18" i="10"/>
  <c r="L11" i="10"/>
  <c r="L19" i="10"/>
  <c r="L9" i="10"/>
  <c r="L33" i="10"/>
  <c r="L22" i="10"/>
  <c r="L10" i="10"/>
  <c r="L16" i="10"/>
  <c r="L37" i="10"/>
  <c r="L15" i="10"/>
  <c r="L29" i="10"/>
  <c r="L12" i="10"/>
  <c r="L36" i="10"/>
  <c r="L31" i="10"/>
  <c r="L17" i="10"/>
  <c r="L54" i="18"/>
  <c r="L43" i="18"/>
  <c r="L50" i="18"/>
  <c r="M2" i="18"/>
  <c r="L44" i="18"/>
  <c r="L42" i="18"/>
  <c r="L28" i="18"/>
  <c r="L14" i="18"/>
  <c r="L41" i="18"/>
  <c r="L46" i="18"/>
  <c r="L49" i="18"/>
  <c r="L52" i="18"/>
  <c r="L10" i="18"/>
  <c r="L48" i="18"/>
  <c r="L13" i="18"/>
  <c r="L47" i="18"/>
  <c r="L45" i="18"/>
  <c r="L19" i="18"/>
  <c r="L37" i="18"/>
  <c r="L26" i="18"/>
  <c r="L29" i="18"/>
  <c r="L33" i="18"/>
  <c r="L21" i="18"/>
  <c r="L12" i="18"/>
  <c r="L15" i="18"/>
  <c r="L35" i="18"/>
  <c r="L32" i="18"/>
  <c r="L16" i="18"/>
  <c r="L34" i="18"/>
  <c r="L20" i="18"/>
  <c r="L11" i="18"/>
  <c r="L9" i="18"/>
  <c r="L31" i="18"/>
  <c r="L18" i="18"/>
  <c r="L17" i="18"/>
  <c r="L36" i="18"/>
  <c r="L22" i="18"/>
  <c r="L30" i="18"/>
  <c r="L2" i="19"/>
  <c r="L57" i="14"/>
  <c r="L63" i="5"/>
  <c r="M2" i="5"/>
  <c r="L53" i="5"/>
  <c r="L23" i="5"/>
  <c r="L51" i="5"/>
  <c r="L58" i="5"/>
  <c r="L56" i="5"/>
  <c r="L47" i="5"/>
  <c r="L2" i="5" s="1"/>
  <c r="L9" i="5"/>
  <c r="L54" i="5"/>
  <c r="L50" i="5"/>
  <c r="L57" i="5"/>
  <c r="L45" i="5"/>
  <c r="L52" i="5"/>
  <c r="L37" i="5"/>
  <c r="L59" i="5"/>
  <c r="L55" i="5"/>
  <c r="L44" i="5"/>
  <c r="L43" i="5"/>
  <c r="L33" i="5"/>
  <c r="L39" i="5"/>
  <c r="L17" i="5"/>
  <c r="L61" i="5"/>
  <c r="L38" i="5"/>
  <c r="L11" i="5"/>
  <c r="L16" i="5"/>
  <c r="L24" i="5"/>
  <c r="L10" i="5"/>
  <c r="L21" i="5"/>
  <c r="L28" i="5"/>
  <c r="L15" i="5"/>
  <c r="L35" i="5"/>
  <c r="L12" i="5"/>
  <c r="L34" i="5"/>
  <c r="L30" i="5"/>
  <c r="L18" i="5"/>
  <c r="L36" i="5"/>
  <c r="L13" i="5"/>
  <c r="L32" i="5"/>
  <c r="L14" i="5"/>
  <c r="L19" i="5"/>
  <c r="L22" i="5"/>
  <c r="L20" i="5"/>
  <c r="L31" i="5"/>
  <c r="L56" i="7"/>
  <c r="L46" i="7"/>
  <c r="M2" i="7"/>
  <c r="L49" i="7"/>
  <c r="L51" i="7"/>
  <c r="L50" i="7"/>
  <c r="L45" i="7"/>
  <c r="L48" i="7"/>
  <c r="L54" i="7"/>
  <c r="L10" i="7"/>
  <c r="L44" i="7"/>
  <c r="L52" i="7"/>
  <c r="L37" i="7"/>
  <c r="L47" i="7"/>
  <c r="L43" i="7"/>
  <c r="L17" i="7"/>
  <c r="L16" i="7"/>
  <c r="L9" i="7"/>
  <c r="L38" i="7"/>
  <c r="L35" i="7"/>
  <c r="L31" i="7"/>
  <c r="L24" i="7"/>
  <c r="L13" i="7"/>
  <c r="L11" i="7"/>
  <c r="L28" i="7"/>
  <c r="L12" i="7"/>
  <c r="L22" i="7"/>
  <c r="L21" i="7"/>
  <c r="L30" i="7"/>
  <c r="L32" i="7"/>
  <c r="L36" i="7"/>
  <c r="L18" i="7"/>
  <c r="L15" i="7"/>
  <c r="L23" i="7"/>
  <c r="L34" i="7"/>
  <c r="L41" i="7"/>
  <c r="L19" i="7"/>
  <c r="L14" i="7"/>
  <c r="L39" i="7"/>
  <c r="L20" i="7"/>
  <c r="L33" i="7"/>
  <c r="L26" i="7"/>
  <c r="L59" i="11"/>
  <c r="L46" i="9"/>
  <c r="L49" i="9"/>
  <c r="L48" i="9"/>
  <c r="L47" i="9"/>
  <c r="L50" i="9"/>
  <c r="M2" i="9"/>
  <c r="L45" i="9"/>
  <c r="L43" i="9"/>
  <c r="L54" i="9"/>
  <c r="L41" i="9"/>
  <c r="L42" i="9"/>
  <c r="L44" i="9"/>
  <c r="L52" i="9"/>
  <c r="L29" i="9"/>
  <c r="L18" i="9"/>
  <c r="L19" i="9"/>
  <c r="L33" i="9"/>
  <c r="L9" i="9"/>
  <c r="L15" i="9"/>
  <c r="L16" i="9"/>
  <c r="L24" i="9"/>
  <c r="L37" i="9"/>
  <c r="L35" i="9"/>
  <c r="L34" i="9"/>
  <c r="L11" i="9"/>
  <c r="L28" i="9"/>
  <c r="L20" i="9"/>
  <c r="L10" i="9"/>
  <c r="L26" i="9"/>
  <c r="L14" i="9"/>
  <c r="L36" i="9"/>
  <c r="L13" i="9"/>
  <c r="L21" i="9"/>
  <c r="L22" i="9"/>
  <c r="L12" i="9"/>
  <c r="L30" i="9"/>
  <c r="L32" i="9"/>
  <c r="L17" i="9"/>
  <c r="L31" i="9"/>
  <c r="L54" i="12"/>
  <c r="L43" i="12"/>
  <c r="L50" i="12"/>
  <c r="M2" i="12"/>
  <c r="L44" i="12"/>
  <c r="L45" i="12"/>
  <c r="L36" i="12"/>
  <c r="L49" i="12"/>
  <c r="L41" i="12"/>
  <c r="L30" i="12"/>
  <c r="L48" i="12"/>
  <c r="L47" i="12"/>
  <c r="L46" i="12"/>
  <c r="L42" i="12"/>
  <c r="L18" i="12"/>
  <c r="L31" i="12"/>
  <c r="L11" i="12"/>
  <c r="L21" i="12"/>
  <c r="L32" i="12"/>
  <c r="L15" i="12"/>
  <c r="L52" i="12"/>
  <c r="L13" i="12"/>
  <c r="L22" i="12"/>
  <c r="L29" i="12"/>
  <c r="L10" i="12"/>
  <c r="L26" i="12"/>
  <c r="L14" i="12"/>
  <c r="L28" i="12"/>
  <c r="L35" i="12"/>
  <c r="L37" i="12"/>
  <c r="L16" i="12"/>
  <c r="L9" i="12"/>
  <c r="L19" i="12"/>
  <c r="L17" i="12"/>
  <c r="L20" i="12"/>
  <c r="L34" i="12"/>
  <c r="L12" i="12"/>
  <c r="L33" i="12"/>
  <c r="L47" i="15"/>
  <c r="L43" i="15"/>
  <c r="L46" i="15"/>
  <c r="M2" i="15"/>
  <c r="L45" i="15"/>
  <c r="L50" i="15"/>
  <c r="L42" i="15"/>
  <c r="L41" i="15"/>
  <c r="L49" i="15"/>
  <c r="L54" i="15"/>
  <c r="L30" i="15"/>
  <c r="L48" i="15"/>
  <c r="L16" i="15"/>
  <c r="L52" i="15"/>
  <c r="L44" i="15"/>
  <c r="L18" i="15"/>
  <c r="L12" i="15"/>
  <c r="L32" i="15"/>
  <c r="L14" i="15"/>
  <c r="L36" i="15"/>
  <c r="L29" i="15"/>
  <c r="L9" i="15"/>
  <c r="L28" i="15"/>
  <c r="L26" i="15"/>
  <c r="L10" i="15"/>
  <c r="L22" i="15"/>
  <c r="L21" i="15"/>
  <c r="L33" i="15"/>
  <c r="L17" i="15"/>
  <c r="L13" i="15"/>
  <c r="L34" i="15"/>
  <c r="L15" i="15"/>
  <c r="L19" i="15"/>
  <c r="L31" i="15"/>
  <c r="L35" i="15"/>
  <c r="L20" i="15"/>
  <c r="L37" i="15"/>
  <c r="L11" i="15"/>
  <c r="M2" i="3"/>
  <c r="L46" i="3"/>
  <c r="L44" i="3"/>
  <c r="L60" i="3"/>
  <c r="L67" i="3"/>
  <c r="L57" i="3"/>
  <c r="L56" i="3"/>
  <c r="L58" i="3"/>
  <c r="L53" i="3"/>
  <c r="L59" i="3"/>
  <c r="L47" i="3"/>
  <c r="L45" i="3"/>
  <c r="L63" i="3"/>
  <c r="L61" i="3"/>
  <c r="L54" i="3"/>
  <c r="L62" i="3"/>
  <c r="L48" i="3"/>
  <c r="L55" i="3"/>
  <c r="L21" i="3"/>
  <c r="L50" i="3"/>
  <c r="L2" i="3" s="1"/>
  <c r="L65" i="3"/>
  <c r="L11" i="3"/>
  <c r="L10" i="3"/>
  <c r="L29" i="3"/>
  <c r="L22" i="3"/>
  <c r="L14" i="3"/>
  <c r="L13" i="3"/>
  <c r="L25" i="3"/>
  <c r="L37" i="3"/>
  <c r="L24" i="3"/>
  <c r="L9" i="3"/>
  <c r="L20" i="3"/>
  <c r="L12" i="3"/>
  <c r="L34" i="3"/>
  <c r="L31" i="3"/>
  <c r="L19" i="3"/>
  <c r="L33" i="3"/>
  <c r="L35" i="3"/>
  <c r="L40" i="3"/>
  <c r="L39" i="3"/>
  <c r="L17" i="3"/>
  <c r="L36" i="3"/>
  <c r="L32" i="3"/>
  <c r="L18" i="3"/>
  <c r="L15" i="3"/>
  <c r="L16" i="3"/>
  <c r="L38" i="3"/>
  <c r="L23" i="3"/>
  <c r="L57" i="12"/>
  <c r="L57" i="17"/>
  <c r="L67" i="4"/>
  <c r="L57" i="8"/>
  <c r="M2" i="14"/>
  <c r="L50" i="14"/>
  <c r="L46" i="14"/>
  <c r="L48" i="14"/>
  <c r="L45" i="14"/>
  <c r="L43" i="14"/>
  <c r="L54" i="14"/>
  <c r="L44" i="14"/>
  <c r="L49" i="14"/>
  <c r="L42" i="14"/>
  <c r="L41" i="14"/>
  <c r="L30" i="14"/>
  <c r="L47" i="14"/>
  <c r="L15" i="14"/>
  <c r="L31" i="14"/>
  <c r="L37" i="14"/>
  <c r="L21" i="14"/>
  <c r="L52" i="14"/>
  <c r="L14" i="14"/>
  <c r="L12" i="14"/>
  <c r="L32" i="14"/>
  <c r="L16" i="14"/>
  <c r="L22" i="14"/>
  <c r="L20" i="14"/>
  <c r="L18" i="14"/>
  <c r="L13" i="14"/>
  <c r="L17" i="14"/>
  <c r="L33" i="14"/>
  <c r="L26" i="14"/>
  <c r="L11" i="14"/>
  <c r="L36" i="14"/>
  <c r="L19" i="14"/>
  <c r="L34" i="14"/>
  <c r="L9" i="14"/>
  <c r="L28" i="14"/>
  <c r="L35" i="14"/>
  <c r="L10" i="14"/>
  <c r="L29" i="14"/>
  <c r="L46" i="17"/>
  <c r="M2" i="17"/>
  <c r="L50" i="17"/>
  <c r="L54" i="17"/>
  <c r="L47" i="17"/>
  <c r="L42" i="17"/>
  <c r="L19" i="17"/>
  <c r="L45" i="17"/>
  <c r="L52" i="17"/>
  <c r="L48" i="17"/>
  <c r="L41" i="17"/>
  <c r="L49" i="17"/>
  <c r="L43" i="17"/>
  <c r="L29" i="17"/>
  <c r="L44" i="17"/>
  <c r="L28" i="17"/>
  <c r="L17" i="17"/>
  <c r="L31" i="17"/>
  <c r="L37" i="17"/>
  <c r="L16" i="17"/>
  <c r="L13" i="17"/>
  <c r="L36" i="17"/>
  <c r="L30" i="17"/>
  <c r="L20" i="17"/>
  <c r="L15" i="17"/>
  <c r="L12" i="17"/>
  <c r="L32" i="17"/>
  <c r="L33" i="17"/>
  <c r="L10" i="17"/>
  <c r="L11" i="17"/>
  <c r="L14" i="17"/>
  <c r="L9" i="17"/>
  <c r="L26" i="17"/>
  <c r="L21" i="17"/>
  <c r="L18" i="17"/>
  <c r="L35" i="17"/>
  <c r="L34" i="17"/>
  <c r="L22" i="17"/>
  <c r="L57" i="18"/>
  <c r="K24" i="21"/>
  <c r="L26" i="11"/>
  <c r="L41" i="5"/>
  <c r="L62" i="2"/>
  <c r="L61" i="2"/>
  <c r="M2" i="2"/>
  <c r="L64" i="2"/>
  <c r="L57" i="2"/>
  <c r="L60" i="2"/>
  <c r="L70" i="2"/>
  <c r="L66" i="2"/>
  <c r="L50" i="2"/>
  <c r="L53" i="2"/>
  <c r="L58" i="2"/>
  <c r="L21" i="2"/>
  <c r="L56" i="2"/>
  <c r="L65" i="2"/>
  <c r="L59" i="2"/>
  <c r="L47" i="2"/>
  <c r="L49" i="2"/>
  <c r="L63" i="2"/>
  <c r="L48" i="2"/>
  <c r="L51" i="2"/>
  <c r="L43" i="2"/>
  <c r="L11" i="2"/>
  <c r="L37" i="2"/>
  <c r="L27" i="2"/>
  <c r="L42" i="2"/>
  <c r="L28" i="2"/>
  <c r="L17" i="2"/>
  <c r="L68" i="2"/>
  <c r="L41" i="2"/>
  <c r="L16" i="2"/>
  <c r="L35" i="2"/>
  <c r="L18" i="2"/>
  <c r="L13" i="2"/>
  <c r="L23" i="2"/>
  <c r="L40" i="2"/>
  <c r="L12" i="2"/>
  <c r="L36" i="2"/>
  <c r="L22" i="2"/>
  <c r="L9" i="2"/>
  <c r="L38" i="2"/>
  <c r="L20" i="2"/>
  <c r="L15" i="2"/>
  <c r="L34" i="2"/>
  <c r="L26" i="2"/>
  <c r="L14" i="2"/>
  <c r="L25" i="2"/>
  <c r="L32" i="2"/>
  <c r="L39" i="2"/>
  <c r="L24" i="2"/>
  <c r="L19" i="2"/>
  <c r="L10" i="2"/>
  <c r="L24" i="17"/>
  <c r="M2" i="4"/>
  <c r="L54" i="4"/>
  <c r="L44" i="4"/>
  <c r="L51" i="4"/>
  <c r="L56" i="4"/>
  <c r="L32" i="4"/>
  <c r="L60" i="4"/>
  <c r="L48" i="4"/>
  <c r="L55" i="4"/>
  <c r="L64" i="4"/>
  <c r="L53" i="4"/>
  <c r="L45" i="4"/>
  <c r="L31" i="4"/>
  <c r="L19" i="4"/>
  <c r="L52" i="4"/>
  <c r="L57" i="4"/>
  <c r="L59" i="4"/>
  <c r="L46" i="4"/>
  <c r="L58" i="4"/>
  <c r="L9" i="4"/>
  <c r="L29" i="4"/>
  <c r="L14" i="4"/>
  <c r="L38" i="4"/>
  <c r="L33" i="4"/>
  <c r="L10" i="4"/>
  <c r="L35" i="4"/>
  <c r="L62" i="4"/>
  <c r="L39" i="4"/>
  <c r="L16" i="4"/>
  <c r="L20" i="4"/>
  <c r="L37" i="4"/>
  <c r="L13" i="4"/>
  <c r="L21" i="4"/>
  <c r="L11" i="4"/>
  <c r="L24" i="4"/>
  <c r="L12" i="4"/>
  <c r="L18" i="4"/>
  <c r="L36" i="4"/>
  <c r="L40" i="4"/>
  <c r="L34" i="4"/>
  <c r="L23" i="4"/>
  <c r="L17" i="4"/>
  <c r="L25" i="4"/>
  <c r="L42" i="4"/>
  <c r="L22" i="4"/>
  <c r="L15" i="4"/>
  <c r="K40" i="21"/>
  <c r="L39" i="10"/>
  <c r="L39" i="15"/>
  <c r="L24" i="12"/>
  <c r="L30" i="2"/>
  <c r="L57" i="9"/>
  <c r="L39" i="12"/>
  <c r="L2" i="13"/>
  <c r="L44" i="16"/>
  <c r="L42" i="16"/>
  <c r="L49" i="16"/>
  <c r="M2" i="16"/>
  <c r="L46" i="16"/>
  <c r="L43" i="16"/>
  <c r="L54" i="16"/>
  <c r="L47" i="16"/>
  <c r="L29" i="16"/>
  <c r="L15" i="16"/>
  <c r="L41" i="16"/>
  <c r="L45" i="16"/>
  <c r="L26" i="16"/>
  <c r="L48" i="16"/>
  <c r="L50" i="16"/>
  <c r="L16" i="16"/>
  <c r="L22" i="16"/>
  <c r="L13" i="16"/>
  <c r="L52" i="16"/>
  <c r="L2" i="16" s="1"/>
  <c r="L34" i="16"/>
  <c r="L36" i="16"/>
  <c r="L19" i="16"/>
  <c r="L31" i="16"/>
  <c r="L33" i="16"/>
  <c r="L20" i="16"/>
  <c r="L32" i="16"/>
  <c r="L11" i="16"/>
  <c r="L28" i="16"/>
  <c r="L10" i="16"/>
  <c r="L18" i="16"/>
  <c r="L17" i="16"/>
  <c r="L30" i="16"/>
  <c r="L21" i="16"/>
  <c r="L9" i="16"/>
  <c r="L14" i="16"/>
  <c r="L35" i="16"/>
  <c r="L37" i="16"/>
  <c r="L12" i="16"/>
  <c r="L73" i="2"/>
  <c r="L48" i="6"/>
  <c r="L54" i="6"/>
  <c r="M2" i="6"/>
  <c r="L53" i="6"/>
  <c r="L49" i="6"/>
  <c r="L56" i="6"/>
  <c r="L61" i="6"/>
  <c r="L51" i="6"/>
  <c r="L50" i="6"/>
  <c r="L57" i="6"/>
  <c r="L52" i="6"/>
  <c r="L55" i="6"/>
  <c r="L59" i="6"/>
  <c r="L2" i="6" s="1"/>
  <c r="L17" i="6"/>
  <c r="L37" i="6"/>
  <c r="L35" i="6"/>
  <c r="L31" i="6"/>
  <c r="L12" i="6"/>
  <c r="L20" i="6"/>
  <c r="L18" i="6"/>
  <c r="L39" i="6"/>
  <c r="L30" i="6"/>
  <c r="L21" i="6"/>
  <c r="L33" i="6"/>
  <c r="L24" i="6"/>
  <c r="L16" i="6"/>
  <c r="L28" i="6"/>
  <c r="L13" i="6"/>
  <c r="L14" i="6"/>
  <c r="L15" i="6"/>
  <c r="L38" i="6"/>
  <c r="L11" i="6"/>
  <c r="L32" i="6"/>
  <c r="L19" i="6"/>
  <c r="L9" i="6"/>
  <c r="L23" i="6"/>
  <c r="L36" i="6"/>
  <c r="L22" i="6"/>
  <c r="L34" i="6"/>
  <c r="L10" i="6"/>
  <c r="L2" i="2" l="1"/>
  <c r="L2" i="8"/>
  <c r="L2" i="9"/>
  <c r="L2" i="4"/>
  <c r="L2" i="18"/>
  <c r="K58" i="21"/>
  <c r="K4" i="21"/>
  <c r="M4" i="21" s="1"/>
  <c r="K2" i="21"/>
  <c r="L40" i="21" s="1"/>
  <c r="L2" i="14"/>
  <c r="L2" i="15"/>
  <c r="L2" i="17"/>
  <c r="L2" i="7"/>
  <c r="L2" i="10"/>
  <c r="L2" i="12"/>
  <c r="L24" i="21" l="1"/>
  <c r="L58" i="21"/>
  <c r="M2" i="21"/>
  <c r="L55" i="21"/>
  <c r="L19" i="21"/>
  <c r="L48" i="21"/>
  <c r="L46" i="21"/>
  <c r="L16" i="21"/>
  <c r="L51" i="21"/>
  <c r="L45" i="21"/>
  <c r="L43" i="21"/>
  <c r="L11" i="21"/>
  <c r="L50" i="21"/>
  <c r="L44" i="21"/>
  <c r="L47" i="21"/>
  <c r="L15" i="21"/>
  <c r="L49" i="21"/>
  <c r="L42" i="21"/>
  <c r="L53" i="21"/>
  <c r="L35" i="21"/>
  <c r="L26" i="21"/>
  <c r="L22" i="21"/>
  <c r="L34" i="21"/>
  <c r="L21" i="21"/>
  <c r="L14" i="21"/>
  <c r="L20" i="21"/>
  <c r="L30" i="21"/>
  <c r="L9" i="21"/>
  <c r="L37" i="21"/>
  <c r="L10" i="21"/>
  <c r="L29" i="21"/>
  <c r="L32" i="21"/>
  <c r="L36" i="21"/>
  <c r="L13" i="21"/>
  <c r="L38" i="21"/>
  <c r="L18" i="21"/>
  <c r="L28" i="21"/>
  <c r="L12" i="21"/>
  <c r="L33" i="21"/>
  <c r="L17" i="21"/>
  <c r="L31" i="21"/>
  <c r="L2" i="21" l="1"/>
</calcChain>
</file>

<file path=xl/sharedStrings.xml><?xml version="1.0" encoding="utf-8"?>
<sst xmlns="http://schemas.openxmlformats.org/spreadsheetml/2006/main" count="2935" uniqueCount="191">
  <si>
    <t>Daily P&amp;L</t>
  </si>
  <si>
    <t>Financial Instrument</t>
  </si>
  <si>
    <t>Company Name</t>
  </si>
  <si>
    <t>Trading Currency</t>
  </si>
  <si>
    <t>Exchange</t>
  </si>
  <si>
    <t>Position</t>
  </si>
  <si>
    <t>Market Value</t>
  </si>
  <si>
    <t>Avg Price</t>
  </si>
  <si>
    <t>Last</t>
  </si>
  <si>
    <t>Unrealized P&amp;L</t>
  </si>
  <si>
    <t>Change %</t>
  </si>
  <si>
    <t>2823 SEHK</t>
  </si>
  <si>
    <t>ISHARES FTSE A50 CHINA</t>
  </si>
  <si>
    <t>HKD</t>
  </si>
  <si>
    <t>SEHK</t>
  </si>
  <si>
    <t>ALB</t>
  </si>
  <si>
    <t>ALBEMARLE CORP</t>
  </si>
  <si>
    <t>USD</t>
  </si>
  <si>
    <t>SMART</t>
  </si>
  <si>
    <t>ALGN</t>
  </si>
  <si>
    <t>ALIGN TECHNOLOGY INC</t>
  </si>
  <si>
    <t>CARR</t>
  </si>
  <si>
    <t>CARRIER GLOBAL CORP</t>
  </si>
  <si>
    <t>DE</t>
  </si>
  <si>
    <t>DEERE &amp; CO</t>
  </si>
  <si>
    <t>FDX</t>
  </si>
  <si>
    <t>FEDEX CORPORATION</t>
  </si>
  <si>
    <t>GM</t>
  </si>
  <si>
    <t>GENERAL MOTORS CO</t>
  </si>
  <si>
    <t>GPS</t>
  </si>
  <si>
    <t>GAP INC/THE</t>
  </si>
  <si>
    <t>IAU</t>
  </si>
  <si>
    <t>ISHARES GOLD TRUST</t>
  </si>
  <si>
    <t>LB</t>
  </si>
  <si>
    <t>L BRANDS INC</t>
  </si>
  <si>
    <t>MRNA</t>
  </si>
  <si>
    <t>MODERNA INC</t>
  </si>
  <si>
    <t>PWR</t>
  </si>
  <si>
    <t>QUANTA SERVICES INC</t>
  </si>
  <si>
    <t>QQQ</t>
  </si>
  <si>
    <t>INVESCO QQQ TRUST SERIES 1</t>
  </si>
  <si>
    <t>VIAC</t>
  </si>
  <si>
    <t>VIACOMCBS INC - CLASS B</t>
  </si>
  <si>
    <t>ZM</t>
  </si>
  <si>
    <t>ZOOM VIDEO COMMUNICATIONS-A</t>
  </si>
  <si>
    <t>AH Jan20'21 @LMEOTC</t>
  </si>
  <si>
    <t>High-Grade Primary Aluminium</t>
  </si>
  <si>
    <t>LMEOTC</t>
  </si>
  <si>
    <t>BTP Mar08'21 @DTB</t>
  </si>
  <si>
    <t>Euro-BTP Italian Government Bond</t>
  </si>
  <si>
    <t>EUR</t>
  </si>
  <si>
    <t>DTB</t>
  </si>
  <si>
    <t>BTS Mar08'21 @DTB</t>
  </si>
  <si>
    <t>Short-Term Euro-BTP Italian Government Bond</t>
  </si>
  <si>
    <t>CGB Mar22'21 @CDE</t>
  </si>
  <si>
    <t>10 Year Government of Canada Bonds</t>
  </si>
  <si>
    <t>CAD</t>
  </si>
  <si>
    <t>CDE</t>
  </si>
  <si>
    <t>GBX Mar08'21 @DTB</t>
  </si>
  <si>
    <t>Euro Buxl (15 - 30 Year Bond)</t>
  </si>
  <si>
    <t>HG Feb24'21 @NYMEX</t>
  </si>
  <si>
    <t>NYMEX Copper Index</t>
  </si>
  <si>
    <t>NYMEX</t>
  </si>
  <si>
    <t>KE Mar12'21 @ECBOT</t>
  </si>
  <si>
    <t>Hard Red Winter Wheat -KCBOT-</t>
  </si>
  <si>
    <t>ECBOT</t>
  </si>
  <si>
    <t>NG Feb'21 @NYMEX</t>
  </si>
  <si>
    <t>Henry Hub Natural Gas</t>
  </si>
  <si>
    <t>NI Jan20'21 @LMEOTC</t>
  </si>
  <si>
    <t>Nickel - LME</t>
  </si>
  <si>
    <t>PA Mar29'21 @NYMEX</t>
  </si>
  <si>
    <t>NYMEX Palladium Index</t>
  </si>
  <si>
    <t>SCI Jan29'21 @SGX</t>
  </si>
  <si>
    <t>SGX TSI Iron Ore Futures</t>
  </si>
  <si>
    <t>SGX</t>
  </si>
  <si>
    <t>TN Mar22'21 @ECBOT</t>
  </si>
  <si>
    <t>Ultra 10-Year US Treasury Note</t>
  </si>
  <si>
    <t>TSR20 Jan'21 @SGX</t>
  </si>
  <si>
    <t>SICOM Rubber</t>
  </si>
  <si>
    <t>TSR20 Feb'21 @SGX</t>
  </si>
  <si>
    <t>UB Mar22'21 @ECBOT</t>
  </si>
  <si>
    <t>Ultra Treasury Bond</t>
  </si>
  <si>
    <t>ZB Mar22'21 @ECBOT</t>
  </si>
  <si>
    <t>30 Year US Treasury Bond</t>
  </si>
  <si>
    <t>ZF Mar31'21 @ECBOT</t>
  </si>
  <si>
    <t>5 Year US Treasury Note</t>
  </si>
  <si>
    <t>ZN Mar22'21 @ECBOT</t>
  </si>
  <si>
    <t>10 Year US Treasury Note</t>
  </si>
  <si>
    <t>ZS Mar12'21 @ECBOT</t>
  </si>
  <si>
    <t>Soybean Futures</t>
  </si>
  <si>
    <t>ZSLME Jan20'21 @LMEOTC</t>
  </si>
  <si>
    <t>Special High Grade Zinc</t>
  </si>
  <si>
    <t>ZT Mar31'21 @ECBOT</t>
  </si>
  <si>
    <t>2 Year US Treasury Note</t>
  </si>
  <si>
    <t>IGIB</t>
  </si>
  <si>
    <t>Date</t>
  </si>
  <si>
    <t>Total target value allocation</t>
  </si>
  <si>
    <t>Total Current value Allocation</t>
  </si>
  <si>
    <t>Total Percentage</t>
  </si>
  <si>
    <t>Current Leverage</t>
  </si>
  <si>
    <t>Leverage Multiplier</t>
  </si>
  <si>
    <t>Current NAV</t>
  </si>
  <si>
    <t>Total target value allocation exclude bonds</t>
  </si>
  <si>
    <t>Leverage exclude bonds</t>
  </si>
  <si>
    <t>Subscription</t>
  </si>
  <si>
    <t>Redemption</t>
  </si>
  <si>
    <t>Final NAV</t>
  </si>
  <si>
    <t>Category</t>
  </si>
  <si>
    <t>IB Ticker</t>
  </si>
  <si>
    <t>Target Allocation (%)</t>
  </si>
  <si>
    <t>Target Value Allocation (USD)</t>
  </si>
  <si>
    <t>Last price</t>
  </si>
  <si>
    <t>Target Quantity</t>
  </si>
  <si>
    <t>Previous Quantity</t>
  </si>
  <si>
    <t>Current Quantity</t>
  </si>
  <si>
    <t>Change</t>
  </si>
  <si>
    <t>Current Value Allocation</t>
  </si>
  <si>
    <t>Current Allocation Percentage</t>
  </si>
  <si>
    <t>Comments</t>
  </si>
  <si>
    <t>Equity</t>
  </si>
  <si>
    <t>TSLA</t>
  </si>
  <si>
    <t>TESLA INC</t>
  </si>
  <si>
    <t>JD</t>
  </si>
  <si>
    <t>JD.COM INC-ADR</t>
  </si>
  <si>
    <t>DOCU</t>
  </si>
  <si>
    <t>DOCUSIGN INC</t>
  </si>
  <si>
    <t>MELI</t>
  </si>
  <si>
    <t>MERCADOLIBRE INC</t>
  </si>
  <si>
    <t>FCX</t>
  </si>
  <si>
    <t>FREEPORT-MCMORAN INC</t>
  </si>
  <si>
    <t>SIVB</t>
  </si>
  <si>
    <t>SVB FINANCIAL GROUP</t>
  </si>
  <si>
    <t>PH</t>
  </si>
  <si>
    <t>PARKER HANNIFIN CORP</t>
  </si>
  <si>
    <t>DFS</t>
  </si>
  <si>
    <t>DISCOVER FINANCIAL SERVICES</t>
  </si>
  <si>
    <t>Equity Total</t>
  </si>
  <si>
    <t>US Bond</t>
  </si>
  <si>
    <t>Global Bond</t>
  </si>
  <si>
    <t>BTS Dec08'20 @DTB</t>
  </si>
  <si>
    <t>BTP Dec08'20 @DTB</t>
  </si>
  <si>
    <t>GBX Dec08'20 @DTB</t>
  </si>
  <si>
    <t>Bonds Total</t>
  </si>
  <si>
    <t>ZQ Nov30'20 @ECBOT</t>
  </si>
  <si>
    <t>30 Day Fed Funds</t>
  </si>
  <si>
    <t>GE Dec14'20 @GLOBEX</t>
  </si>
  <si>
    <t>GLOBEX Euro-Dollar</t>
  </si>
  <si>
    <t>SOFR1 Nov30'20 @GLOBEX</t>
  </si>
  <si>
    <t>Secured Overnight Financing Rate 1-month average of rates</t>
  </si>
  <si>
    <t>SOFR3 Sep'20 @GLOBEX</t>
  </si>
  <si>
    <t>Secured Overnight Financing Rate 3-month average of rates</t>
  </si>
  <si>
    <t>L Dec16'20 @ICEEU</t>
  </si>
  <si>
    <t>3 Month Sterling Interest Rate FUT</t>
  </si>
  <si>
    <t>Short-term Bonds Total</t>
  </si>
  <si>
    <t>Commodity</t>
  </si>
  <si>
    <t>AH Dec16'20 @LMEOTC</t>
  </si>
  <si>
    <t>HG Jan27'21 @NYMEX</t>
  </si>
  <si>
    <t xml:space="preserve"> </t>
  </si>
  <si>
    <t>NI Dec16'20 @LMEOTC</t>
  </si>
  <si>
    <t>SCI Dec31'20 @SGX</t>
  </si>
  <si>
    <t>SNLME Dec16'20 @LMEOTC</t>
  </si>
  <si>
    <t>Tin future</t>
  </si>
  <si>
    <t>ZSLME Dec16'20 @LMEOTC</t>
  </si>
  <si>
    <t>NG Jan'21 @NYMEX</t>
  </si>
  <si>
    <t>Commodity Total</t>
  </si>
  <si>
    <t>VIX</t>
  </si>
  <si>
    <t>VIX Nov18'20 @CFE</t>
  </si>
  <si>
    <t>CBOE Volatility Index</t>
  </si>
  <si>
    <t>-</t>
  </si>
  <si>
    <t>Total</t>
  </si>
  <si>
    <t>Total target value allocation excluding bonds</t>
  </si>
  <si>
    <t>Leverage excluding bonds</t>
  </si>
  <si>
    <t>CORP Bond</t>
  </si>
  <si>
    <t>ISHARES 5-10Y INV GRADE CORP</t>
  </si>
  <si>
    <t>C146.22</t>
  </si>
  <si>
    <t>C520.45</t>
  </si>
  <si>
    <t>C37.17</t>
  </si>
  <si>
    <t>C264.58</t>
  </si>
  <si>
    <t>C261.56</t>
  </si>
  <si>
    <t>C41.57</t>
  </si>
  <si>
    <t>C20.08</t>
  </si>
  <si>
    <t>C37.59</t>
  </si>
  <si>
    <t>C70.62</t>
  </si>
  <si>
    <t>C36.72</t>
  </si>
  <si>
    <t>155'240</t>
  </si>
  <si>
    <t>211'130</t>
  </si>
  <si>
    <t>172'060</t>
  </si>
  <si>
    <t>126'007</t>
  </si>
  <si>
    <t>137'250</t>
  </si>
  <si>
    <t>C2745.00</t>
  </si>
  <si>
    <t>110'148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</si>
</sst>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mm/dd/yyyy"/>
    <numFmt numFmtId="165" formatCode="\$#,##0.00"/>
    <numFmt numFmtId="166" formatCode="0.000"/>
    <numFmt numFmtId="167" formatCode="0.000%"/>
    <numFmt numFmtId="168" formatCode="&quot; $&quot;* #,##0.00\ ;&quot; $&quot;* \(#,##0.00\);&quot; $&quot;* \-#\ ;@\ "/>
    <numFmt numFmtId="169" formatCode="0.0000%"/>
    <numFmt numFmtId="170" formatCode="\+0;\-0;0"/>
    <numFmt numFmtId="171" formatCode="0.0%"/>
  </numFmts>
  <fonts count="8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color rgb="FFFFFFFF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FF"/>
        <bgColor rgb="FFE7E6E6"/>
      </patternFill>
    </fill>
    <fill>
      <patternFill patternType="solid">
        <fgColor rgb="FF1F4E79"/>
        <bgColor rgb="FF003366"/>
      </patternFill>
    </fill>
    <fill>
      <patternFill patternType="solid">
        <fgColor rgb="FFE7E6E6"/>
        <bgColor rgb="FFFF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168" fontId="7" fillId="0" borderId="0" applyBorder="0" applyProtection="0"/>
    <xf numFmtId="9" fontId="7" fillId="0" borderId="0" applyBorder="0" applyProtection="0"/>
  </cellStyleXfs>
  <cellXfs count="94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3" fillId="0" borderId="0" xfId="0" applyFont="1"/>
    <xf numFmtId="0" fontId="4" fillId="0" borderId="1" xfId="0" applyFont="1" applyBorder="1" applyAlignment="1"/>
    <xf numFmtId="164" fontId="4" fillId="0" borderId="1" xfId="0" applyNumberFormat="1" applyFont="1" applyBorder="1" applyAlignment="1">
      <alignment horizontal="right"/>
    </xf>
    <xf numFmtId="164" fontId="4" fillId="0" borderId="0" xfId="0" applyNumberFormat="1" applyFont="1" applyBorder="1" applyAlignment="1"/>
    <xf numFmtId="9" fontId="4" fillId="0" borderId="1" xfId="2" applyFont="1" applyBorder="1" applyAlignment="1" applyProtection="1">
      <alignment wrapText="1"/>
    </xf>
    <xf numFmtId="9" fontId="3" fillId="0" borderId="0" xfId="2" applyFont="1" applyBorder="1" applyAlignment="1" applyProtection="1"/>
    <xf numFmtId="0" fontId="3" fillId="0" borderId="0" xfId="2" applyNumberFormat="1" applyFont="1" applyBorder="1" applyAlignment="1" applyProtection="1"/>
    <xf numFmtId="165" fontId="4" fillId="0" borderId="1" xfId="0" applyNumberFormat="1" applyFont="1" applyBorder="1" applyAlignment="1">
      <alignment wrapText="1"/>
    </xf>
    <xf numFmtId="165" fontId="4" fillId="0" borderId="1" xfId="0" applyNumberFormat="1" applyFont="1" applyBorder="1" applyAlignment="1">
      <alignment vertical="center" wrapText="1"/>
    </xf>
    <xf numFmtId="166" fontId="4" fillId="0" borderId="1" xfId="0" applyNumberFormat="1" applyFont="1" applyBorder="1"/>
    <xf numFmtId="0" fontId="4" fillId="0" borderId="0" xfId="0" applyFont="1" applyBorder="1"/>
    <xf numFmtId="165" fontId="4" fillId="2" borderId="1" xfId="0" applyNumberFormat="1" applyFont="1" applyFill="1" applyBorder="1"/>
    <xf numFmtId="165" fontId="4" fillId="0" borderId="0" xfId="0" applyNumberFormat="1" applyFont="1"/>
    <xf numFmtId="0" fontId="4" fillId="0" borderId="0" xfId="0" applyFont="1"/>
    <xf numFmtId="10" fontId="4" fillId="2" borderId="1" xfId="0" applyNumberFormat="1" applyFont="1" applyFill="1" applyBorder="1"/>
    <xf numFmtId="0" fontId="4" fillId="2" borderId="1" xfId="0" applyFont="1" applyFill="1" applyBorder="1"/>
    <xf numFmtId="167" fontId="3" fillId="0" borderId="0" xfId="0" applyNumberFormat="1" applyFont="1"/>
    <xf numFmtId="165" fontId="4" fillId="0" borderId="1" xfId="1" applyNumberFormat="1" applyFont="1" applyBorder="1" applyAlignment="1" applyProtection="1"/>
    <xf numFmtId="10" fontId="4" fillId="0" borderId="0" xfId="1" applyNumberFormat="1" applyFont="1" applyBorder="1" applyAlignment="1" applyProtection="1"/>
    <xf numFmtId="9" fontId="3" fillId="0" borderId="0" xfId="0" applyNumberFormat="1" applyFont="1"/>
    <xf numFmtId="10" fontId="4" fillId="0" borderId="0" xfId="0" applyNumberFormat="1" applyFont="1"/>
    <xf numFmtId="0" fontId="4" fillId="0" borderId="2" xfId="0" applyFont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4" fillId="3" borderId="0" xfId="0" applyFont="1" applyFill="1"/>
    <xf numFmtId="0" fontId="4" fillId="3" borderId="0" xfId="0" applyFont="1" applyFill="1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169" fontId="5" fillId="0" borderId="0" xfId="0" applyNumberFormat="1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/>
    <xf numFmtId="0" fontId="3" fillId="3" borderId="1" xfId="0" applyFont="1" applyFill="1" applyBorder="1" applyAlignment="1">
      <alignment vertical="center" wrapText="1"/>
    </xf>
    <xf numFmtId="169" fontId="3" fillId="3" borderId="1" xfId="2" applyNumberFormat="1" applyFont="1" applyFill="1" applyBorder="1" applyAlignment="1" applyProtection="1">
      <alignment vertical="center" wrapText="1"/>
    </xf>
    <xf numFmtId="165" fontId="3" fillId="3" borderId="1" xfId="0" applyNumberFormat="1" applyFont="1" applyFill="1" applyBorder="1" applyAlignment="1">
      <alignment vertical="center" wrapText="1"/>
    </xf>
    <xf numFmtId="2" fontId="3" fillId="3" borderId="1" xfId="0" applyNumberFormat="1" applyFont="1" applyFill="1" applyBorder="1" applyAlignment="1">
      <alignment vertical="center" wrapText="1"/>
    </xf>
    <xf numFmtId="170" fontId="4" fillId="3" borderId="1" xfId="0" applyNumberFormat="1" applyFont="1" applyFill="1" applyBorder="1" applyAlignment="1">
      <alignment vertical="center" wrapText="1"/>
    </xf>
    <xf numFmtId="165" fontId="4" fillId="3" borderId="1" xfId="0" applyNumberFormat="1" applyFont="1" applyFill="1" applyBorder="1" applyAlignment="1">
      <alignment vertical="center" wrapText="1"/>
    </xf>
    <xf numFmtId="169" fontId="4" fillId="3" borderId="1" xfId="0" applyNumberFormat="1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Border="1" applyAlignment="1">
      <alignment vertical="center" wrapText="1"/>
    </xf>
    <xf numFmtId="170" fontId="3" fillId="3" borderId="1" xfId="0" applyNumberFormat="1" applyFont="1" applyFill="1" applyBorder="1" applyAlignment="1">
      <alignment vertical="center" wrapText="1"/>
    </xf>
    <xf numFmtId="169" fontId="3" fillId="3" borderId="1" xfId="0" applyNumberFormat="1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10" fontId="4" fillId="5" borderId="1" xfId="0" applyNumberFormat="1" applyFont="1" applyFill="1" applyBorder="1" applyAlignment="1">
      <alignment vertical="center" wrapText="1"/>
    </xf>
    <xf numFmtId="165" fontId="4" fillId="5" borderId="1" xfId="2" applyNumberFormat="1" applyFont="1" applyFill="1" applyBorder="1" applyAlignment="1" applyProtection="1">
      <alignment vertical="center" wrapText="1"/>
    </xf>
    <xf numFmtId="2" fontId="4" fillId="5" borderId="1" xfId="2" applyNumberFormat="1" applyFont="1" applyFill="1" applyBorder="1" applyAlignment="1" applyProtection="1">
      <alignment vertical="center" wrapText="1"/>
    </xf>
    <xf numFmtId="170" fontId="4" fillId="5" borderId="1" xfId="2" applyNumberFormat="1" applyFont="1" applyFill="1" applyBorder="1" applyAlignment="1" applyProtection="1">
      <alignment vertical="center" wrapText="1"/>
    </xf>
    <xf numFmtId="169" fontId="4" fillId="5" borderId="1" xfId="0" applyNumberFormat="1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169" fontId="3" fillId="5" borderId="1" xfId="2" applyNumberFormat="1" applyFont="1" applyFill="1" applyBorder="1" applyAlignment="1" applyProtection="1">
      <alignment vertical="center" wrapText="1"/>
    </xf>
    <xf numFmtId="165" fontId="3" fillId="5" borderId="1" xfId="0" applyNumberFormat="1" applyFont="1" applyFill="1" applyBorder="1" applyAlignment="1">
      <alignment vertical="center" wrapText="1"/>
    </xf>
    <xf numFmtId="2" fontId="3" fillId="5" borderId="1" xfId="0" applyNumberFormat="1" applyFont="1" applyFill="1" applyBorder="1" applyAlignment="1">
      <alignment vertical="center" wrapText="1"/>
    </xf>
    <xf numFmtId="170" fontId="4" fillId="5" borderId="1" xfId="0" applyNumberFormat="1" applyFont="1" applyFill="1" applyBorder="1" applyAlignment="1">
      <alignment vertical="center" wrapText="1"/>
    </xf>
    <xf numFmtId="165" fontId="4" fillId="5" borderId="1" xfId="0" applyNumberFormat="1" applyFont="1" applyFill="1" applyBorder="1" applyAlignment="1">
      <alignment vertical="center" wrapText="1"/>
    </xf>
    <xf numFmtId="165" fontId="3" fillId="0" borderId="0" xfId="0" applyNumberFormat="1" applyFont="1" applyAlignment="1">
      <alignment vertical="center" wrapText="1"/>
    </xf>
    <xf numFmtId="0" fontId="3" fillId="0" borderId="1" xfId="0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/>
    <xf numFmtId="165" fontId="3" fillId="3" borderId="1" xfId="0" applyNumberFormat="1" applyFont="1" applyFill="1" applyBorder="1" applyAlignment="1">
      <alignment wrapText="1"/>
    </xf>
    <xf numFmtId="0" fontId="3" fillId="0" borderId="0" xfId="0" applyFont="1" applyBorder="1"/>
    <xf numFmtId="0" fontId="4" fillId="5" borderId="1" xfId="0" applyFont="1" applyFill="1" applyBorder="1" applyAlignment="1">
      <alignment wrapText="1"/>
    </xf>
    <xf numFmtId="165" fontId="4" fillId="5" borderId="1" xfId="2" applyNumberFormat="1" applyFont="1" applyFill="1" applyBorder="1" applyAlignment="1" applyProtection="1">
      <alignment wrapText="1"/>
    </xf>
    <xf numFmtId="2" fontId="4" fillId="5" borderId="1" xfId="0" applyNumberFormat="1" applyFont="1" applyFill="1" applyBorder="1" applyAlignment="1">
      <alignment wrapText="1"/>
    </xf>
    <xf numFmtId="2" fontId="4" fillId="5" borderId="1" xfId="0" applyNumberFormat="1" applyFont="1" applyFill="1" applyBorder="1" applyAlignment="1">
      <alignment vertical="center" wrapText="1"/>
    </xf>
    <xf numFmtId="169" fontId="4" fillId="5" borderId="1" xfId="0" applyNumberFormat="1" applyFont="1" applyFill="1" applyBorder="1"/>
    <xf numFmtId="0" fontId="4" fillId="5" borderId="1" xfId="0" applyFont="1" applyFill="1" applyBorder="1"/>
    <xf numFmtId="169" fontId="4" fillId="5" borderId="1" xfId="0" applyNumberFormat="1" applyFont="1" applyFill="1" applyBorder="1" applyAlignment="1">
      <alignment vertical="center"/>
    </xf>
    <xf numFmtId="2" fontId="4" fillId="3" borderId="1" xfId="0" applyNumberFormat="1" applyFont="1" applyFill="1" applyBorder="1" applyAlignment="1">
      <alignment vertical="center" wrapText="1"/>
    </xf>
    <xf numFmtId="169" fontId="4" fillId="5" borderId="1" xfId="2" applyNumberFormat="1" applyFont="1" applyFill="1" applyBorder="1" applyAlignment="1" applyProtection="1">
      <alignment vertical="center" wrapText="1"/>
    </xf>
    <xf numFmtId="9" fontId="3" fillId="3" borderId="1" xfId="2" applyFont="1" applyFill="1" applyBorder="1" applyAlignment="1" applyProtection="1">
      <alignment vertical="center" wrapText="1"/>
    </xf>
    <xf numFmtId="170" fontId="3" fillId="5" borderId="1" xfId="0" applyNumberFormat="1" applyFont="1" applyFill="1" applyBorder="1" applyAlignment="1">
      <alignment vertical="center" wrapText="1"/>
    </xf>
    <xf numFmtId="169" fontId="3" fillId="5" borderId="1" xfId="0" applyNumberFormat="1" applyFont="1" applyFill="1" applyBorder="1" applyAlignment="1">
      <alignment vertical="center" wrapText="1"/>
    </xf>
    <xf numFmtId="9" fontId="3" fillId="3" borderId="1" xfId="2" applyFont="1" applyFill="1" applyBorder="1" applyAlignment="1" applyProtection="1">
      <alignment wrapText="1"/>
    </xf>
    <xf numFmtId="165" fontId="4" fillId="5" borderId="1" xfId="0" applyNumberFormat="1" applyFont="1" applyFill="1" applyBorder="1" applyAlignment="1">
      <alignment wrapText="1"/>
    </xf>
    <xf numFmtId="9" fontId="3" fillId="3" borderId="1" xfId="2" applyFont="1" applyFill="1" applyBorder="1" applyAlignment="1" applyProtection="1"/>
    <xf numFmtId="165" fontId="3" fillId="3" borderId="1" xfId="0" applyNumberFormat="1" applyFont="1" applyFill="1" applyBorder="1"/>
    <xf numFmtId="2" fontId="3" fillId="3" borderId="1" xfId="0" applyNumberFormat="1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6" fillId="0" borderId="0" xfId="0" applyFont="1" applyBorder="1"/>
    <xf numFmtId="0" fontId="6" fillId="0" borderId="2" xfId="0" applyFont="1" applyBorder="1"/>
    <xf numFmtId="0" fontId="3" fillId="0" borderId="2" xfId="0" applyFont="1" applyBorder="1"/>
    <xf numFmtId="171" fontId="3" fillId="0" borderId="0" xfId="0" applyNumberFormat="1" applyFont="1" applyBorder="1" applyAlignment="1">
      <alignment vertical="center" wrapText="1"/>
    </xf>
    <xf numFmtId="169" fontId="4" fillId="0" borderId="0" xfId="0" applyNumberFormat="1" applyFont="1" applyAlignment="1">
      <alignment vertical="center" wrapText="1"/>
    </xf>
    <xf numFmtId="10" fontId="7" fillId="0" borderId="0" xfId="2" applyNumberFormat="1" applyBorder="1" applyProtection="1"/>
    <xf numFmtId="169" fontId="3" fillId="0" borderId="0" xfId="0" applyNumberFormat="1" applyFont="1" applyAlignment="1">
      <alignment vertical="center" wrapText="1"/>
    </xf>
    <xf numFmtId="10" fontId="3" fillId="0" borderId="0" xfId="0" applyNumberFormat="1" applyFont="1" applyAlignment="1">
      <alignment vertic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389584567991011121314456267891011121314151617181920213456789101112131415161718192021222334567891011121314151617181920" displayName="Table1389584567991011121314456267891011121314151617181920213456789101112131415161718192021222334567891011121314151617181920" ref="B8:M82" totalsRowShown="0">
  <autoFilter ref="B8:M82" xr:uid="{00000000-0009-0000-0100-000001000000}"/>
  <tableColumns count="12">
    <tableColumn id="1" xr3:uid="{00000000-0010-0000-0000-000001000000}" name="IB Ticker"/>
    <tableColumn id="2" xr3:uid="{00000000-0010-0000-0000-000002000000}" name="Financial Instrument"/>
    <tableColumn id="3" xr3:uid="{00000000-0010-0000-0000-000003000000}" name="Target Allocation (%)"/>
    <tableColumn id="4" xr3:uid="{00000000-0010-0000-0000-000004000000}" name="Target Value Allocation (USD)"/>
    <tableColumn id="5" xr3:uid="{00000000-0010-0000-0000-000005000000}" name="Last price"/>
    <tableColumn id="6" xr3:uid="{00000000-0010-0000-0000-000006000000}" name="Target Quantity"/>
    <tableColumn id="7" xr3:uid="{00000000-0010-0000-0000-000007000000}" name="Previous Quantity"/>
    <tableColumn id="8" xr3:uid="{00000000-0010-0000-0000-000008000000}" name="Current Quantity"/>
    <tableColumn id="9" xr3:uid="{00000000-0010-0000-0000-000009000000}" name="Change"/>
    <tableColumn id="10" xr3:uid="{00000000-0010-0000-0000-00000A000000}" name="Current Value Allocation"/>
    <tableColumn id="11" xr3:uid="{00000000-0010-0000-0000-00000B000000}" name="Current Allocation Percentage"/>
    <tableColumn id="12" xr3:uid="{00000000-0010-0000-0000-00000C000000}" name="Comments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38958456799101112131445626789101112131415161718192021345678910111213141516171819202122233456789101112131415161718192034567891011" displayName="Table138958456799101112131445626789101112131415161718192021345678910111213141516171819202122233456789101112131415161718192034567891011" ref="B8:M68" totalsRowShown="0">
  <autoFilter ref="B8:M68" xr:uid="{00000000-0009-0000-0100-00000A000000}"/>
  <tableColumns count="12">
    <tableColumn id="1" xr3:uid="{00000000-0010-0000-0900-000001000000}" name="IB Ticker"/>
    <tableColumn id="2" xr3:uid="{00000000-0010-0000-0900-000002000000}" name="Financial Instrument"/>
    <tableColumn id="3" xr3:uid="{00000000-0010-0000-0900-000003000000}" name="Target Allocation (%)"/>
    <tableColumn id="4" xr3:uid="{00000000-0010-0000-0900-000004000000}" name="Target Value Allocation (USD)"/>
    <tableColumn id="5" xr3:uid="{00000000-0010-0000-0900-000005000000}" name="Last price"/>
    <tableColumn id="6" xr3:uid="{00000000-0010-0000-0900-000006000000}" name="Target Quantity"/>
    <tableColumn id="7" xr3:uid="{00000000-0010-0000-0900-000007000000}" name="Previous Quantity"/>
    <tableColumn id="8" xr3:uid="{00000000-0010-0000-0900-000008000000}" name="Current Quantity"/>
    <tableColumn id="9" xr3:uid="{00000000-0010-0000-0900-000009000000}" name="Change"/>
    <tableColumn id="10" xr3:uid="{00000000-0010-0000-0900-00000A000000}" name="Current Value Allocation"/>
    <tableColumn id="11" xr3:uid="{00000000-0010-0000-0900-00000B000000}" name="Current Allocation Percentage"/>
    <tableColumn id="12" xr3:uid="{00000000-0010-0000-0900-00000C000000}" name="Comments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3895845679910111213144562678910111213141516171819202134567891011121314151617181920212223345678910111213141516171819203456789101112" displayName="Table13895845679910111213144562678910111213141516171819202134567891011121314151617181920212223345678910111213141516171819203456789101112" ref="B8:M66" totalsRowShown="0">
  <autoFilter ref="B8:M66" xr:uid="{00000000-0009-0000-0100-00000B000000}"/>
  <tableColumns count="12">
    <tableColumn id="1" xr3:uid="{00000000-0010-0000-0A00-000001000000}" name="IB Ticker"/>
    <tableColumn id="2" xr3:uid="{00000000-0010-0000-0A00-000002000000}" name="Financial Instrument"/>
    <tableColumn id="3" xr3:uid="{00000000-0010-0000-0A00-000003000000}" name="Target Allocation (%)"/>
    <tableColumn id="4" xr3:uid="{00000000-0010-0000-0A00-000004000000}" name="Target Value Allocation (USD)"/>
    <tableColumn id="5" xr3:uid="{00000000-0010-0000-0A00-000005000000}" name="Last price"/>
    <tableColumn id="6" xr3:uid="{00000000-0010-0000-0A00-000006000000}" name="Target Quantity"/>
    <tableColumn id="7" xr3:uid="{00000000-0010-0000-0A00-000007000000}" name="Previous Quantity"/>
    <tableColumn id="8" xr3:uid="{00000000-0010-0000-0A00-000008000000}" name="Current Quantity"/>
    <tableColumn id="9" xr3:uid="{00000000-0010-0000-0A00-000009000000}" name="Change"/>
    <tableColumn id="10" xr3:uid="{00000000-0010-0000-0A00-00000A000000}" name="Current Value Allocation"/>
    <tableColumn id="11" xr3:uid="{00000000-0010-0000-0A00-00000B000000}" name="Current Allocation Percentage"/>
    <tableColumn id="12" xr3:uid="{00000000-0010-0000-0A00-00000C000000}" name="Comments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389584567991011121314456267891011121314151617181920213456789101112131415161718192021222334567891011121314151617181920345678910111213" displayName="Table1389584567991011121314456267891011121314151617181920213456789101112131415161718192021222334567891011121314151617181920345678910111213" ref="B8:M66" totalsRowShown="0">
  <autoFilter ref="B8:M66" xr:uid="{00000000-0009-0000-0100-00000C000000}"/>
  <tableColumns count="12">
    <tableColumn id="1" xr3:uid="{00000000-0010-0000-0B00-000001000000}" name="IB Ticker"/>
    <tableColumn id="2" xr3:uid="{00000000-0010-0000-0B00-000002000000}" name="Financial Instrument"/>
    <tableColumn id="3" xr3:uid="{00000000-0010-0000-0B00-000003000000}" name="Target Allocation (%)"/>
    <tableColumn id="4" xr3:uid="{00000000-0010-0000-0B00-000004000000}" name="Target Value Allocation (USD)"/>
    <tableColumn id="5" xr3:uid="{00000000-0010-0000-0B00-000005000000}" name="Last price"/>
    <tableColumn id="6" xr3:uid="{00000000-0010-0000-0B00-000006000000}" name="Target Quantity"/>
    <tableColumn id="7" xr3:uid="{00000000-0010-0000-0B00-000007000000}" name="Previous Quantity"/>
    <tableColumn id="8" xr3:uid="{00000000-0010-0000-0B00-000008000000}" name="Current Quantity"/>
    <tableColumn id="9" xr3:uid="{00000000-0010-0000-0B00-000009000000}" name="Change"/>
    <tableColumn id="10" xr3:uid="{00000000-0010-0000-0B00-00000A000000}" name="Current Value Allocation"/>
    <tableColumn id="11" xr3:uid="{00000000-0010-0000-0B00-00000B000000}" name="Current Allocation Percentage"/>
    <tableColumn id="12" xr3:uid="{00000000-0010-0000-0B00-00000C000000}" name="Comments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38958456799101112131445626789101112131415161718192021345678910111213141516171819202122233456789101112131415161718192034567891011121314" displayName="Table138958456799101112131445626789101112131415161718192021345678910111213141516171819202122233456789101112131415161718192034567891011121314" ref="B8:M66" totalsRowShown="0">
  <autoFilter ref="B8:M66" xr:uid="{00000000-0009-0000-0100-00000D000000}"/>
  <tableColumns count="12">
    <tableColumn id="1" xr3:uid="{00000000-0010-0000-0C00-000001000000}" name="IB Ticker"/>
    <tableColumn id="2" xr3:uid="{00000000-0010-0000-0C00-000002000000}" name="Financial Instrument"/>
    <tableColumn id="3" xr3:uid="{00000000-0010-0000-0C00-000003000000}" name="Target Allocation (%)"/>
    <tableColumn id="4" xr3:uid="{00000000-0010-0000-0C00-000004000000}" name="Target Value Allocation (USD)"/>
    <tableColumn id="5" xr3:uid="{00000000-0010-0000-0C00-000005000000}" name="Last price"/>
    <tableColumn id="6" xr3:uid="{00000000-0010-0000-0C00-000006000000}" name="Target Quantity"/>
    <tableColumn id="7" xr3:uid="{00000000-0010-0000-0C00-000007000000}" name="Previous Quantity"/>
    <tableColumn id="8" xr3:uid="{00000000-0010-0000-0C00-000008000000}" name="Current Quantity"/>
    <tableColumn id="9" xr3:uid="{00000000-0010-0000-0C00-000009000000}" name="Change"/>
    <tableColumn id="10" xr3:uid="{00000000-0010-0000-0C00-00000A000000}" name="Current Value Allocation"/>
    <tableColumn id="11" xr3:uid="{00000000-0010-0000-0C00-00000B000000}" name="Current Allocation Percentage"/>
    <tableColumn id="12" xr3:uid="{00000000-0010-0000-0C00-00000C000000}" name="Comments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3895845679910111213144562678910111213141516171819202134567891011121314151617181920212223345678910111213141516171819203456789101112131415" displayName="Table13895845679910111213144562678910111213141516171819202134567891011121314151617181920212223345678910111213141516171819203456789101112131415" ref="B8:M66" totalsRowShown="0">
  <autoFilter ref="B8:M66" xr:uid="{00000000-0009-0000-0100-00000E000000}"/>
  <tableColumns count="12">
    <tableColumn id="1" xr3:uid="{00000000-0010-0000-0D00-000001000000}" name="IB Ticker"/>
    <tableColumn id="2" xr3:uid="{00000000-0010-0000-0D00-000002000000}" name="Financial Instrument"/>
    <tableColumn id="3" xr3:uid="{00000000-0010-0000-0D00-000003000000}" name="Target Allocation (%)"/>
    <tableColumn id="4" xr3:uid="{00000000-0010-0000-0D00-000004000000}" name="Target Value Allocation (USD)"/>
    <tableColumn id="5" xr3:uid="{00000000-0010-0000-0D00-000005000000}" name="Last price"/>
    <tableColumn id="6" xr3:uid="{00000000-0010-0000-0D00-000006000000}" name="Target Quantity"/>
    <tableColumn id="7" xr3:uid="{00000000-0010-0000-0D00-000007000000}" name="Previous Quantity"/>
    <tableColumn id="8" xr3:uid="{00000000-0010-0000-0D00-000008000000}" name="Current Quantity"/>
    <tableColumn id="9" xr3:uid="{00000000-0010-0000-0D00-000009000000}" name="Change"/>
    <tableColumn id="10" xr3:uid="{00000000-0010-0000-0D00-00000A000000}" name="Current Value Allocation"/>
    <tableColumn id="11" xr3:uid="{00000000-0010-0000-0D00-00000B000000}" name="Current Allocation Percentage"/>
    <tableColumn id="12" xr3:uid="{00000000-0010-0000-0D00-00000C000000}" name="Comments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389584567991011121314456267891011121314151617181920213456789101112131415161718192021222334567891011121314151617181920345678910111213141516" displayName="Table1389584567991011121314456267891011121314151617181920213456789101112131415161718192021222334567891011121314151617181920345678910111213141516" ref="B8:M66" totalsRowShown="0">
  <autoFilter ref="B8:M66" xr:uid="{00000000-0009-0000-0100-00000F000000}"/>
  <tableColumns count="12">
    <tableColumn id="1" xr3:uid="{00000000-0010-0000-0E00-000001000000}" name="IB Ticker"/>
    <tableColumn id="2" xr3:uid="{00000000-0010-0000-0E00-000002000000}" name="Financial Instrument"/>
    <tableColumn id="3" xr3:uid="{00000000-0010-0000-0E00-000003000000}" name="Target Allocation (%)"/>
    <tableColumn id="4" xr3:uid="{00000000-0010-0000-0E00-000004000000}" name="Target Value Allocation (USD)"/>
    <tableColumn id="5" xr3:uid="{00000000-0010-0000-0E00-000005000000}" name="Last price"/>
    <tableColumn id="6" xr3:uid="{00000000-0010-0000-0E00-000006000000}" name="Target Quantity"/>
    <tableColumn id="7" xr3:uid="{00000000-0010-0000-0E00-000007000000}" name="Previous Quantity"/>
    <tableColumn id="8" xr3:uid="{00000000-0010-0000-0E00-000008000000}" name="Current Quantity"/>
    <tableColumn id="9" xr3:uid="{00000000-0010-0000-0E00-000009000000}" name="Change"/>
    <tableColumn id="10" xr3:uid="{00000000-0010-0000-0E00-00000A000000}" name="Current Value Allocation"/>
    <tableColumn id="11" xr3:uid="{00000000-0010-0000-0E00-00000B000000}" name="Current Allocation Percentage"/>
    <tableColumn id="12" xr3:uid="{00000000-0010-0000-0E00-00000C000000}" name="Comments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38958456799101112131445626789101112131415161718192021345678910111213141516171819202122233456789101112131415161718192034567891011121314151617" displayName="Table138958456799101112131445626789101112131415161718192021345678910111213141516171819202122233456789101112131415161718192034567891011121314151617" ref="B8:M66" totalsRowShown="0">
  <autoFilter ref="B8:M66" xr:uid="{00000000-0009-0000-0100-000010000000}"/>
  <tableColumns count="12">
    <tableColumn id="1" xr3:uid="{00000000-0010-0000-0F00-000001000000}" name="IB Ticker"/>
    <tableColumn id="2" xr3:uid="{00000000-0010-0000-0F00-000002000000}" name="Financial Instrument"/>
    <tableColumn id="3" xr3:uid="{00000000-0010-0000-0F00-000003000000}" name="Target Allocation (%)"/>
    <tableColumn id="4" xr3:uid="{00000000-0010-0000-0F00-000004000000}" name="Target Value Allocation (USD)"/>
    <tableColumn id="5" xr3:uid="{00000000-0010-0000-0F00-000005000000}" name="Last price"/>
    <tableColumn id="6" xr3:uid="{00000000-0010-0000-0F00-000006000000}" name="Target Quantity"/>
    <tableColumn id="7" xr3:uid="{00000000-0010-0000-0F00-000007000000}" name="Previous Quantity"/>
    <tableColumn id="8" xr3:uid="{00000000-0010-0000-0F00-000008000000}" name="Current Quantity"/>
    <tableColumn id="9" xr3:uid="{00000000-0010-0000-0F00-000009000000}" name="Change"/>
    <tableColumn id="10" xr3:uid="{00000000-0010-0000-0F00-00000A000000}" name="Current Value Allocation"/>
    <tableColumn id="11" xr3:uid="{00000000-0010-0000-0F00-00000B000000}" name="Current Allocation Percentage"/>
    <tableColumn id="12" xr3:uid="{00000000-0010-0000-0F00-00000C000000}" name="Comments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3895845679910111213144562678910111213141516171819202134567891011121314151617181920212223345678910111213141516171819203456789101112131415161718" displayName="Table13895845679910111213144562678910111213141516171819202134567891011121314151617181920212223345678910111213141516171819203456789101112131415161718" ref="B8:M66" totalsRowShown="0">
  <autoFilter ref="B8:M66" xr:uid="{00000000-0009-0000-0100-000011000000}"/>
  <tableColumns count="12">
    <tableColumn id="1" xr3:uid="{00000000-0010-0000-1000-000001000000}" name="IB Ticker"/>
    <tableColumn id="2" xr3:uid="{00000000-0010-0000-1000-000002000000}" name="Financial Instrument"/>
    <tableColumn id="3" xr3:uid="{00000000-0010-0000-1000-000003000000}" name="Target Allocation (%)"/>
    <tableColumn id="4" xr3:uid="{00000000-0010-0000-1000-000004000000}" name="Target Value Allocation (USD)"/>
    <tableColumn id="5" xr3:uid="{00000000-0010-0000-1000-000005000000}" name="Last price"/>
    <tableColumn id="6" xr3:uid="{00000000-0010-0000-1000-000006000000}" name="Target Quantity"/>
    <tableColumn id="7" xr3:uid="{00000000-0010-0000-1000-000007000000}" name="Previous Quantity"/>
    <tableColumn id="8" xr3:uid="{00000000-0010-0000-1000-000008000000}" name="Current Quantity"/>
    <tableColumn id="9" xr3:uid="{00000000-0010-0000-1000-000009000000}" name="Change"/>
    <tableColumn id="10" xr3:uid="{00000000-0010-0000-1000-00000A000000}" name="Current Value Allocation"/>
    <tableColumn id="11" xr3:uid="{00000000-0010-0000-1000-00000B000000}" name="Current Allocation Percentage"/>
    <tableColumn id="12" xr3:uid="{00000000-0010-0000-1000-00000C000000}" name="Comments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1389584567991011121314456267891011121314151617181920213456789101112131415161718192021222334567891011121314151617181920345678910111213141516171819" displayName="Table1389584567991011121314456267891011121314151617181920213456789101112131415161718192021222334567891011121314151617181920345678910111213141516171819" ref="B8:M66" totalsRowShown="0">
  <autoFilter ref="B8:M66" xr:uid="{00000000-0009-0000-0100-000012000000}"/>
  <tableColumns count="12">
    <tableColumn id="1" xr3:uid="{00000000-0010-0000-1100-000001000000}" name="IB Ticker"/>
    <tableColumn id="2" xr3:uid="{00000000-0010-0000-1100-000002000000}" name="Financial Instrument"/>
    <tableColumn id="3" xr3:uid="{00000000-0010-0000-1100-000003000000}" name="Target Allocation (%)"/>
    <tableColumn id="4" xr3:uid="{00000000-0010-0000-1100-000004000000}" name="Target Value Allocation (USD)"/>
    <tableColumn id="5" xr3:uid="{00000000-0010-0000-1100-000005000000}" name="Last price"/>
    <tableColumn id="6" xr3:uid="{00000000-0010-0000-1100-000006000000}" name="Target Quantity"/>
    <tableColumn id="7" xr3:uid="{00000000-0010-0000-1100-000007000000}" name="Previous Quantity"/>
    <tableColumn id="8" xr3:uid="{00000000-0010-0000-1100-000008000000}" name="Current Quantity"/>
    <tableColumn id="9" xr3:uid="{00000000-0010-0000-1100-000009000000}" name="Change"/>
    <tableColumn id="10" xr3:uid="{00000000-0010-0000-1100-00000A000000}" name="Current Value Allocation"/>
    <tableColumn id="11" xr3:uid="{00000000-0010-0000-1100-00000B000000}" name="Current Allocation Percentage"/>
    <tableColumn id="12" xr3:uid="{00000000-0010-0000-1100-00000C000000}" name="Comments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138958456799101112131445626789101112131415161718192021345678910111213141516171819202122233456789101112131415161718192034567891011121314151617181920" displayName="Table138958456799101112131445626789101112131415161718192021345678910111213141516171819202122233456789101112131415161718192034567891011121314151617181920" ref="B8:M67" totalsRowShown="0">
  <autoFilter ref="B8:M67" xr:uid="{00000000-0009-0000-0100-000013000000}"/>
  <tableColumns count="12">
    <tableColumn id="1" xr3:uid="{00000000-0010-0000-1200-000001000000}" name="IB Ticker"/>
    <tableColumn id="2" xr3:uid="{00000000-0010-0000-1200-000002000000}" name="Financial Instrument"/>
    <tableColumn id="3" xr3:uid="{00000000-0010-0000-1200-000003000000}" name="Target Allocation (%)"/>
    <tableColumn id="4" xr3:uid="{00000000-0010-0000-1200-000004000000}" name="Target Value Allocation (USD)"/>
    <tableColumn id="5" xr3:uid="{00000000-0010-0000-1200-000005000000}" name="Last price"/>
    <tableColumn id="6" xr3:uid="{00000000-0010-0000-1200-000006000000}" name="Target Quantity"/>
    <tableColumn id="7" xr3:uid="{00000000-0010-0000-1200-000007000000}" name="Previous Quantity"/>
    <tableColumn id="8" xr3:uid="{00000000-0010-0000-1200-000008000000}" name="Current Quantity"/>
    <tableColumn id="9" xr3:uid="{00000000-0010-0000-1200-000009000000}" name="Change"/>
    <tableColumn id="10" xr3:uid="{00000000-0010-0000-1200-00000A000000}" name="Current Value Allocation"/>
    <tableColumn id="11" xr3:uid="{00000000-0010-0000-1200-00000B000000}" name="Current Allocation Percentage"/>
    <tableColumn id="12" xr3:uid="{00000000-0010-0000-1200-00000C000000}" name="Comment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895845679910111213144562678910111213141516171819202134567891011121314151617181920212223345678910111213141516171819203" displayName="Table13895845679910111213144562678910111213141516171819202134567891011121314151617181920212223345678910111213141516171819203" ref="B8:M79" totalsRowShown="0">
  <autoFilter ref="B8:M79" xr:uid="{00000000-0009-0000-0100-000002000000}"/>
  <tableColumns count="12">
    <tableColumn id="1" xr3:uid="{00000000-0010-0000-0100-000001000000}" name="IB Ticker"/>
    <tableColumn id="2" xr3:uid="{00000000-0010-0000-0100-000002000000}" name="Financial Instrument"/>
    <tableColumn id="3" xr3:uid="{00000000-0010-0000-0100-000003000000}" name="Target Allocation (%)"/>
    <tableColumn id="4" xr3:uid="{00000000-0010-0000-0100-000004000000}" name="Target Value Allocation (USD)"/>
    <tableColumn id="5" xr3:uid="{00000000-0010-0000-0100-000005000000}" name="Last price"/>
    <tableColumn id="6" xr3:uid="{00000000-0010-0000-0100-000006000000}" name="Target Quantity"/>
    <tableColumn id="7" xr3:uid="{00000000-0010-0000-0100-000007000000}" name="Previous Quantity"/>
    <tableColumn id="8" xr3:uid="{00000000-0010-0000-0100-000008000000}" name="Current Quantity"/>
    <tableColumn id="9" xr3:uid="{00000000-0010-0000-0100-000009000000}" name="Change"/>
    <tableColumn id="10" xr3:uid="{00000000-0010-0000-0100-00000A000000}" name="Current Value Allocation"/>
    <tableColumn id="11" xr3:uid="{00000000-0010-0000-0100-00000B000000}" name="Current Allocation Percentage"/>
    <tableColumn id="12" xr3:uid="{00000000-0010-0000-0100-00000C000000}" name="Comment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38958456799101112131445626789101112131415161718192021345678910111213141516171819202122233456789101112131415161718192034" displayName="Table138958456799101112131445626789101112131415161718192021345678910111213141516171819202122233456789101112131415161718192034" ref="B8:M76" totalsRowShown="0">
  <autoFilter ref="B8:M76" xr:uid="{00000000-0009-0000-0100-000003000000}"/>
  <tableColumns count="12">
    <tableColumn id="1" xr3:uid="{00000000-0010-0000-0200-000001000000}" name="IB Ticker"/>
    <tableColumn id="2" xr3:uid="{00000000-0010-0000-0200-000002000000}" name="Financial Instrument"/>
    <tableColumn id="3" xr3:uid="{00000000-0010-0000-0200-000003000000}" name="Target Allocation (%)"/>
    <tableColumn id="4" xr3:uid="{00000000-0010-0000-0200-000004000000}" name="Target Value Allocation (USD)"/>
    <tableColumn id="5" xr3:uid="{00000000-0010-0000-0200-000005000000}" name="Last price"/>
    <tableColumn id="6" xr3:uid="{00000000-0010-0000-0200-000006000000}" name="Target Quantity"/>
    <tableColumn id="7" xr3:uid="{00000000-0010-0000-0200-000007000000}" name="Previous Quantity"/>
    <tableColumn id="8" xr3:uid="{00000000-0010-0000-0200-000008000000}" name="Current Quantity"/>
    <tableColumn id="9" xr3:uid="{00000000-0010-0000-0200-000009000000}" name="Change"/>
    <tableColumn id="10" xr3:uid="{00000000-0010-0000-0200-00000A000000}" name="Current Value Allocation"/>
    <tableColumn id="11" xr3:uid="{00000000-0010-0000-0200-00000B000000}" name="Current Allocation Percentage"/>
    <tableColumn id="12" xr3:uid="{00000000-0010-0000-0200-00000C000000}" name="Comments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389584567991011121314456267891011121314151617181920213456789101112131415161718192021222334567891011121314151617181920345" displayName="Table1389584567991011121314456267891011121314151617181920213456789101112131415161718192021222334567891011121314151617181920345" ref="B8:M75" totalsRowShown="0">
  <autoFilter ref="B8:M75" xr:uid="{00000000-0009-0000-0100-000004000000}"/>
  <tableColumns count="12">
    <tableColumn id="1" xr3:uid="{00000000-0010-0000-0300-000001000000}" name="IB Ticker"/>
    <tableColumn id="2" xr3:uid="{00000000-0010-0000-0300-000002000000}" name="Financial Instrument"/>
    <tableColumn id="3" xr3:uid="{00000000-0010-0000-0300-000003000000}" name="Target Allocation (%)"/>
    <tableColumn id="4" xr3:uid="{00000000-0010-0000-0300-000004000000}" name="Target Value Allocation (USD)"/>
    <tableColumn id="5" xr3:uid="{00000000-0010-0000-0300-000005000000}" name="Last price"/>
    <tableColumn id="6" xr3:uid="{00000000-0010-0000-0300-000006000000}" name="Target Quantity"/>
    <tableColumn id="7" xr3:uid="{00000000-0010-0000-0300-000007000000}" name="Previous Quantity"/>
    <tableColumn id="8" xr3:uid="{00000000-0010-0000-0300-000008000000}" name="Current Quantity"/>
    <tableColumn id="9" xr3:uid="{00000000-0010-0000-0300-000009000000}" name="Change"/>
    <tableColumn id="10" xr3:uid="{00000000-0010-0000-0300-00000A000000}" name="Current Value Allocation"/>
    <tableColumn id="11" xr3:uid="{00000000-0010-0000-0300-00000B000000}" name="Current Allocation Percentage"/>
    <tableColumn id="12" xr3:uid="{00000000-0010-0000-0300-00000C000000}" name="Comments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3895845679910111213144562678910111213141516171819202134567891011121314151617181920212223345678910111213141516171819203456" displayName="Table13895845679910111213144562678910111213141516171819202134567891011121314151617181920212223345678910111213141516171819203456" ref="B8:M73" totalsRowShown="0">
  <autoFilter ref="B8:M73" xr:uid="{00000000-0009-0000-0100-000005000000}"/>
  <tableColumns count="12">
    <tableColumn id="1" xr3:uid="{00000000-0010-0000-0400-000001000000}" name="IB Ticker"/>
    <tableColumn id="2" xr3:uid="{00000000-0010-0000-0400-000002000000}" name="Financial Instrument"/>
    <tableColumn id="3" xr3:uid="{00000000-0010-0000-0400-000003000000}" name="Target Allocation (%)"/>
    <tableColumn id="4" xr3:uid="{00000000-0010-0000-0400-000004000000}" name="Target Value Allocation (USD)"/>
    <tableColumn id="5" xr3:uid="{00000000-0010-0000-0400-000005000000}" name="Last price"/>
    <tableColumn id="6" xr3:uid="{00000000-0010-0000-0400-000006000000}" name="Target Quantity"/>
    <tableColumn id="7" xr3:uid="{00000000-0010-0000-0400-000007000000}" name="Previous Quantity"/>
    <tableColumn id="8" xr3:uid="{00000000-0010-0000-0400-000008000000}" name="Current Quantity"/>
    <tableColumn id="9" xr3:uid="{00000000-0010-0000-0400-000009000000}" name="Change"/>
    <tableColumn id="10" xr3:uid="{00000000-0010-0000-0400-00000A000000}" name="Current Value Allocation"/>
    <tableColumn id="11" xr3:uid="{00000000-0010-0000-0400-00000B000000}" name="Current Allocation Percentage"/>
    <tableColumn id="12" xr3:uid="{00000000-0010-0000-0400-00000C000000}" name="Comments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38958456799101112131445626789101112131415161718192021345678910111213141516171819202122233456789101112131415161718192034567" displayName="Table138958456799101112131445626789101112131415161718192021345678910111213141516171819202122233456789101112131415161718192034567" ref="B8:M68" totalsRowShown="0">
  <autoFilter ref="B8:M68" xr:uid="{00000000-0009-0000-0100-000006000000}"/>
  <tableColumns count="12">
    <tableColumn id="1" xr3:uid="{00000000-0010-0000-0500-000001000000}" name="IB Ticker"/>
    <tableColumn id="2" xr3:uid="{00000000-0010-0000-0500-000002000000}" name="Financial Instrument"/>
    <tableColumn id="3" xr3:uid="{00000000-0010-0000-0500-000003000000}" name="Target Allocation (%)"/>
    <tableColumn id="4" xr3:uid="{00000000-0010-0000-0500-000004000000}" name="Target Value Allocation (USD)"/>
    <tableColumn id="5" xr3:uid="{00000000-0010-0000-0500-000005000000}" name="Last price"/>
    <tableColumn id="6" xr3:uid="{00000000-0010-0000-0500-000006000000}" name="Target Quantity"/>
    <tableColumn id="7" xr3:uid="{00000000-0010-0000-0500-000007000000}" name="Previous Quantity"/>
    <tableColumn id="8" xr3:uid="{00000000-0010-0000-0500-000008000000}" name="Current Quantity"/>
    <tableColumn id="9" xr3:uid="{00000000-0010-0000-0500-000009000000}" name="Change"/>
    <tableColumn id="10" xr3:uid="{00000000-0010-0000-0500-00000A000000}" name="Current Value Allocation"/>
    <tableColumn id="11" xr3:uid="{00000000-0010-0000-0500-00000B000000}" name="Current Allocation Percentage"/>
    <tableColumn id="12" xr3:uid="{00000000-0010-0000-0500-00000C000000}" name="Comments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1389584567991011121314456267891011121314151617181920213456789101112131415161718192021222334567891011121314151617181920345678" displayName="Table1389584567991011121314456267891011121314151617181920213456789101112131415161718192021222334567891011121314151617181920345678" ref="B8:M66" totalsRowShown="0">
  <autoFilter ref="B8:M66" xr:uid="{00000000-0009-0000-0100-000007000000}"/>
  <tableColumns count="12">
    <tableColumn id="1" xr3:uid="{00000000-0010-0000-0600-000001000000}" name="IB Ticker"/>
    <tableColumn id="2" xr3:uid="{00000000-0010-0000-0600-000002000000}" name="Financial Instrument"/>
    <tableColumn id="3" xr3:uid="{00000000-0010-0000-0600-000003000000}" name="Target Allocation (%)"/>
    <tableColumn id="4" xr3:uid="{00000000-0010-0000-0600-000004000000}" name="Target Value Allocation (USD)"/>
    <tableColumn id="5" xr3:uid="{00000000-0010-0000-0600-000005000000}" name="Last price"/>
    <tableColumn id="6" xr3:uid="{00000000-0010-0000-0600-000006000000}" name="Target Quantity"/>
    <tableColumn id="7" xr3:uid="{00000000-0010-0000-0600-000007000000}" name="Previous Quantity"/>
    <tableColumn id="8" xr3:uid="{00000000-0010-0000-0600-000008000000}" name="Current Quantity"/>
    <tableColumn id="9" xr3:uid="{00000000-0010-0000-0600-000009000000}" name="Change"/>
    <tableColumn id="10" xr3:uid="{00000000-0010-0000-0600-00000A000000}" name="Current Value Allocation"/>
    <tableColumn id="11" xr3:uid="{00000000-0010-0000-0600-00000B000000}" name="Current Allocation Percentage"/>
    <tableColumn id="12" xr3:uid="{00000000-0010-0000-0600-00000C000000}" name="Comments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13895845679910111213144562678910111213141516171819202134567891011121314151617181920212223345678910111213141516171819203456789" displayName="Table13895845679910111213144562678910111213141516171819202134567891011121314151617181920212223345678910111213141516171819203456789" ref="B8:M66" totalsRowShown="0">
  <autoFilter ref="B8:M66" xr:uid="{00000000-0009-0000-0100-000008000000}"/>
  <tableColumns count="12">
    <tableColumn id="1" xr3:uid="{00000000-0010-0000-0700-000001000000}" name="IB Ticker"/>
    <tableColumn id="2" xr3:uid="{00000000-0010-0000-0700-000002000000}" name="Financial Instrument"/>
    <tableColumn id="3" xr3:uid="{00000000-0010-0000-0700-000003000000}" name="Target Allocation (%)"/>
    <tableColumn id="4" xr3:uid="{00000000-0010-0000-0700-000004000000}" name="Target Value Allocation (USD)"/>
    <tableColumn id="5" xr3:uid="{00000000-0010-0000-0700-000005000000}" name="Last price"/>
    <tableColumn id="6" xr3:uid="{00000000-0010-0000-0700-000006000000}" name="Target Quantity"/>
    <tableColumn id="7" xr3:uid="{00000000-0010-0000-0700-000007000000}" name="Previous Quantity"/>
    <tableColumn id="8" xr3:uid="{00000000-0010-0000-0700-000008000000}" name="Current Quantity"/>
    <tableColumn id="9" xr3:uid="{00000000-0010-0000-0700-000009000000}" name="Change"/>
    <tableColumn id="10" xr3:uid="{00000000-0010-0000-0700-00000A000000}" name="Current Value Allocation"/>
    <tableColumn id="11" xr3:uid="{00000000-0010-0000-0700-00000B000000}" name="Current Allocation Percentage"/>
    <tableColumn id="12" xr3:uid="{00000000-0010-0000-0700-00000C000000}" name="Comments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1389584567991011121314456267891011121314151617181920213456789101112131415161718192021222334567891011121314151617181920345678910" displayName="Table1389584567991011121314456267891011121314151617181920213456789101112131415161718192021222334567891011121314151617181920345678910" ref="B8:M66" totalsRowShown="0">
  <autoFilter ref="B8:M66" xr:uid="{00000000-0009-0000-0100-000009000000}"/>
  <tableColumns count="12">
    <tableColumn id="1" xr3:uid="{00000000-0010-0000-0800-000001000000}" name="IB Ticker"/>
    <tableColumn id="2" xr3:uid="{00000000-0010-0000-0800-000002000000}" name="Financial Instrument"/>
    <tableColumn id="3" xr3:uid="{00000000-0010-0000-0800-000003000000}" name="Target Allocation (%)"/>
    <tableColumn id="4" xr3:uid="{00000000-0010-0000-0800-000004000000}" name="Target Value Allocation (USD)"/>
    <tableColumn id="5" xr3:uid="{00000000-0010-0000-0800-000005000000}" name="Last price"/>
    <tableColumn id="6" xr3:uid="{00000000-0010-0000-0800-000006000000}" name="Target Quantity"/>
    <tableColumn id="7" xr3:uid="{00000000-0010-0000-0800-000007000000}" name="Previous Quantity"/>
    <tableColumn id="8" xr3:uid="{00000000-0010-0000-0800-000008000000}" name="Current Quantity"/>
    <tableColumn id="9" xr3:uid="{00000000-0010-0000-0800-000009000000}" name="Change"/>
    <tableColumn id="10" xr3:uid="{00000000-0010-0000-0800-00000A000000}" name="Current Value Allocation"/>
    <tableColumn id="11" xr3:uid="{00000000-0010-0000-0800-00000B000000}" name="Current Allocation Percentage"/>
    <tableColumn id="12" xr3:uid="{00000000-0010-0000-0800-00000C000000}" name="Comment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"/>
  <sheetViews>
    <sheetView topLeftCell="A19" zoomScale="115" zoomScaleNormal="115" workbookViewId="0">
      <selection activeCell="M38" sqref="M38"/>
    </sheetView>
  </sheetViews>
  <sheetFormatPr defaultColWidth="8.7109375" defaultRowHeight="15" x14ac:dyDescent="0.25"/>
  <cols>
    <col min="1" max="1" width="10.28515625" customWidth="1"/>
    <col min="2" max="2" width="25" customWidth="1"/>
    <col min="3" max="3" width="54.85546875" customWidth="1"/>
    <col min="4" max="4" width="16" customWidth="1"/>
    <col min="5" max="6" width="9.140625" customWidth="1"/>
    <col min="7" max="7" width="13.42578125" customWidth="1"/>
    <col min="8" max="9" width="9.140625" customWidth="1"/>
    <col min="10" max="10" width="14.42578125" customWidth="1"/>
    <col min="11" max="11" width="9.140625" customWidth="1"/>
    <col min="12" max="12" width="8.85546875" customWidth="1"/>
    <col min="13" max="13" width="12.28515625" customWidth="1"/>
  </cols>
  <sheetData>
    <row r="1" spans="1:1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</row>
    <row r="2" spans="1:13" ht="15.75" x14ac:dyDescent="0.25">
      <c r="A2" s="3">
        <v>57006</v>
      </c>
      <c r="B2" s="1" t="s">
        <v>11</v>
      </c>
      <c r="C2" s="1" t="s">
        <v>12</v>
      </c>
      <c r="D2" s="1" t="s">
        <v>13</v>
      </c>
      <c r="E2" s="1" t="s">
        <v>14</v>
      </c>
      <c r="F2" s="3">
        <v>1669000</v>
      </c>
      <c r="G2" s="3">
        <v>4247531</v>
      </c>
      <c r="H2" s="1">
        <v>19.055</v>
      </c>
      <c r="I2" s="1">
        <v>19.73</v>
      </c>
      <c r="J2" s="3">
        <v>145353</v>
      </c>
      <c r="K2" s="1">
        <v>1.3874614594039001E-2</v>
      </c>
      <c r="L2" s="2"/>
      <c r="M2">
        <f>G2/F2</f>
        <v>2.5449556620730975</v>
      </c>
    </row>
    <row r="3" spans="1:13" ht="15.75" x14ac:dyDescent="0.25">
      <c r="A3" s="1">
        <v>687</v>
      </c>
      <c r="B3" s="1" t="s">
        <v>15</v>
      </c>
      <c r="C3" s="1" t="s">
        <v>16</v>
      </c>
      <c r="D3" s="1" t="s">
        <v>17</v>
      </c>
      <c r="E3" s="1" t="s">
        <v>18</v>
      </c>
      <c r="F3" s="3">
        <v>8581</v>
      </c>
      <c r="G3" s="3">
        <v>1255400</v>
      </c>
      <c r="H3" s="1">
        <v>130.29400000000001</v>
      </c>
      <c r="I3" s="1" t="s">
        <v>174</v>
      </c>
      <c r="J3" s="3">
        <v>137350</v>
      </c>
      <c r="K3" s="1"/>
      <c r="L3" s="2"/>
      <c r="M3">
        <f t="shared" ref="M3:M58" si="0">G3/F3</f>
        <v>146.29996503903973</v>
      </c>
    </row>
    <row r="4" spans="1:13" ht="15.75" x14ac:dyDescent="0.25">
      <c r="A4" s="1">
        <v>0</v>
      </c>
      <c r="B4" s="1" t="s">
        <v>19</v>
      </c>
      <c r="C4" s="1" t="s">
        <v>20</v>
      </c>
      <c r="D4" s="1" t="s">
        <v>17</v>
      </c>
      <c r="E4" s="1" t="s">
        <v>18</v>
      </c>
      <c r="F4" s="3">
        <v>2478</v>
      </c>
      <c r="G4" s="3">
        <v>1289675</v>
      </c>
      <c r="H4" s="1">
        <v>470.94299999999998</v>
      </c>
      <c r="I4" s="1" t="s">
        <v>175</v>
      </c>
      <c r="J4" s="3">
        <v>122679</v>
      </c>
      <c r="K4" s="1"/>
      <c r="L4" s="2"/>
      <c r="M4">
        <f t="shared" si="0"/>
        <v>520.44995964487487</v>
      </c>
    </row>
    <row r="5" spans="1:13" ht="15.75" x14ac:dyDescent="0.25">
      <c r="A5" s="1">
        <v>0</v>
      </c>
      <c r="B5" s="1" t="s">
        <v>21</v>
      </c>
      <c r="C5" s="1" t="s">
        <v>22</v>
      </c>
      <c r="D5" s="1" t="s">
        <v>17</v>
      </c>
      <c r="E5" s="1" t="s">
        <v>18</v>
      </c>
      <c r="F5" s="3">
        <v>34187</v>
      </c>
      <c r="G5" s="3">
        <v>1270731</v>
      </c>
      <c r="H5" s="1">
        <v>36.734000000000002</v>
      </c>
      <c r="I5" s="1" t="s">
        <v>176</v>
      </c>
      <c r="J5" s="3">
        <v>14917</v>
      </c>
      <c r="K5" s="1"/>
      <c r="L5" s="2"/>
      <c r="M5">
        <f t="shared" si="0"/>
        <v>37.170006142685814</v>
      </c>
    </row>
    <row r="6" spans="1:13" ht="15.75" x14ac:dyDescent="0.25">
      <c r="A6" s="1">
        <v>0</v>
      </c>
      <c r="B6" s="1" t="s">
        <v>23</v>
      </c>
      <c r="C6" s="1" t="s">
        <v>24</v>
      </c>
      <c r="D6" s="1" t="s">
        <v>17</v>
      </c>
      <c r="E6" s="1" t="s">
        <v>18</v>
      </c>
      <c r="F6" s="3">
        <v>4826</v>
      </c>
      <c r="G6" s="3">
        <v>1276863</v>
      </c>
      <c r="H6" s="1">
        <v>249.87</v>
      </c>
      <c r="I6" s="1" t="s">
        <v>177</v>
      </c>
      <c r="J6" s="3">
        <v>70995</v>
      </c>
      <c r="K6" s="1"/>
      <c r="L6" s="2"/>
      <c r="M6">
        <f t="shared" si="0"/>
        <v>264.57998342312476</v>
      </c>
    </row>
    <row r="7" spans="1:13" ht="15.75" x14ac:dyDescent="0.25">
      <c r="A7" s="3">
        <v>0</v>
      </c>
      <c r="B7" s="1" t="s">
        <v>25</v>
      </c>
      <c r="C7" s="1" t="s">
        <v>26</v>
      </c>
      <c r="D7" s="1" t="s">
        <v>17</v>
      </c>
      <c r="E7" s="1" t="s">
        <v>18</v>
      </c>
      <c r="F7" s="3">
        <v>4888</v>
      </c>
      <c r="G7" s="3">
        <v>1278505</v>
      </c>
      <c r="H7" s="1">
        <v>272.142</v>
      </c>
      <c r="I7" s="1" t="s">
        <v>178</v>
      </c>
      <c r="J7" s="3">
        <v>-51723</v>
      </c>
      <c r="K7" s="1"/>
      <c r="L7" s="2"/>
      <c r="M7">
        <f t="shared" si="0"/>
        <v>261.55994271685762</v>
      </c>
    </row>
    <row r="8" spans="1:13" ht="15.75" x14ac:dyDescent="0.25">
      <c r="A8" s="1">
        <v>3708</v>
      </c>
      <c r="B8" s="1" t="s">
        <v>27</v>
      </c>
      <c r="C8" s="1" t="s">
        <v>28</v>
      </c>
      <c r="D8" s="1" t="s">
        <v>17</v>
      </c>
      <c r="E8" s="1" t="s">
        <v>18</v>
      </c>
      <c r="F8" s="3">
        <v>30898</v>
      </c>
      <c r="G8" s="3">
        <v>1288138</v>
      </c>
      <c r="H8" s="1">
        <v>44.151000000000003</v>
      </c>
      <c r="I8" s="1" t="s">
        <v>179</v>
      </c>
      <c r="J8" s="3">
        <v>-76025</v>
      </c>
      <c r="K8" s="1"/>
      <c r="L8" s="2"/>
      <c r="M8">
        <f t="shared" si="0"/>
        <v>41.690012298530647</v>
      </c>
    </row>
    <row r="9" spans="1:13" ht="15.75" x14ac:dyDescent="0.25">
      <c r="A9" s="1">
        <v>0</v>
      </c>
      <c r="B9" s="1" t="s">
        <v>29</v>
      </c>
      <c r="C9" s="1" t="s">
        <v>30</v>
      </c>
      <c r="D9" s="1" t="s">
        <v>17</v>
      </c>
      <c r="E9" s="1" t="s">
        <v>18</v>
      </c>
      <c r="F9" s="3">
        <v>63560</v>
      </c>
      <c r="G9" s="3">
        <v>1276285</v>
      </c>
      <c r="H9" s="1">
        <v>21.045000000000002</v>
      </c>
      <c r="I9" s="1" t="s">
        <v>180</v>
      </c>
      <c r="J9" s="3">
        <v>-61312</v>
      </c>
      <c r="K9" s="1"/>
      <c r="L9" s="2"/>
      <c r="M9">
        <f t="shared" si="0"/>
        <v>20.080003146633103</v>
      </c>
    </row>
    <row r="10" spans="1:13" ht="15.75" x14ac:dyDescent="0.25">
      <c r="A10" s="3">
        <v>0</v>
      </c>
      <c r="B10" s="1" t="s">
        <v>31</v>
      </c>
      <c r="C10" s="1" t="s">
        <v>32</v>
      </c>
      <c r="D10" s="1" t="s">
        <v>17</v>
      </c>
      <c r="E10" s="1" t="s">
        <v>18</v>
      </c>
      <c r="F10" s="3">
        <v>337154</v>
      </c>
      <c r="G10" s="3">
        <v>6038428</v>
      </c>
      <c r="H10" s="1">
        <v>17.826000000000001</v>
      </c>
      <c r="I10" s="1">
        <v>17.91</v>
      </c>
      <c r="J10" s="3">
        <v>28604</v>
      </c>
      <c r="K10" s="1">
        <v>0</v>
      </c>
      <c r="L10" s="2"/>
      <c r="M10">
        <f t="shared" si="0"/>
        <v>17.909999584759486</v>
      </c>
    </row>
    <row r="11" spans="1:13" ht="15.75" x14ac:dyDescent="0.25">
      <c r="A11" s="3">
        <v>998</v>
      </c>
      <c r="B11" s="1" t="s">
        <v>33</v>
      </c>
      <c r="C11" s="1" t="s">
        <v>34</v>
      </c>
      <c r="D11" s="1" t="s">
        <v>17</v>
      </c>
      <c r="E11" s="1" t="s">
        <v>18</v>
      </c>
      <c r="F11" s="3">
        <v>33253</v>
      </c>
      <c r="G11" s="3">
        <v>1250978</v>
      </c>
      <c r="H11" s="1">
        <v>37.328000000000003</v>
      </c>
      <c r="I11" s="1" t="s">
        <v>181</v>
      </c>
      <c r="J11" s="3">
        <v>9733</v>
      </c>
      <c r="K11" s="1"/>
      <c r="L11" s="2"/>
      <c r="M11">
        <f t="shared" si="0"/>
        <v>37.620004210146455</v>
      </c>
    </row>
    <row r="12" spans="1:13" ht="15.75" x14ac:dyDescent="0.25">
      <c r="A12" s="1">
        <v>53255</v>
      </c>
      <c r="B12" s="1" t="s">
        <v>35</v>
      </c>
      <c r="C12" s="1" t="s">
        <v>36</v>
      </c>
      <c r="D12" s="1" t="s">
        <v>17</v>
      </c>
      <c r="E12" s="1" t="s">
        <v>18</v>
      </c>
      <c r="F12" s="3">
        <v>12076</v>
      </c>
      <c r="G12" s="3">
        <v>1434629</v>
      </c>
      <c r="H12" s="1">
        <v>143.03200000000001</v>
      </c>
      <c r="I12" s="1">
        <v>118.83</v>
      </c>
      <c r="J12" s="3">
        <v>-292623</v>
      </c>
      <c r="K12" s="1">
        <v>3.8814581694204001E-2</v>
      </c>
      <c r="L12" s="2"/>
      <c r="M12">
        <f t="shared" si="0"/>
        <v>118.80001656177542</v>
      </c>
    </row>
    <row r="13" spans="1:13" ht="15.75" x14ac:dyDescent="0.25">
      <c r="A13" s="1">
        <v>0</v>
      </c>
      <c r="B13" s="1" t="s">
        <v>37</v>
      </c>
      <c r="C13" s="1" t="s">
        <v>38</v>
      </c>
      <c r="D13" s="1" t="s">
        <v>17</v>
      </c>
      <c r="E13" s="1" t="s">
        <v>18</v>
      </c>
      <c r="F13" s="3">
        <v>18256</v>
      </c>
      <c r="G13" s="3">
        <v>1289239</v>
      </c>
      <c r="H13" s="1">
        <v>68.272000000000006</v>
      </c>
      <c r="I13" s="1" t="s">
        <v>182</v>
      </c>
      <c r="J13" s="3">
        <v>42866</v>
      </c>
      <c r="K13" s="1"/>
      <c r="L13" s="2"/>
      <c r="M13">
        <f t="shared" si="0"/>
        <v>70.620015337423311</v>
      </c>
    </row>
    <row r="14" spans="1:13" ht="15.75" x14ac:dyDescent="0.25">
      <c r="A14" s="1">
        <v>119781</v>
      </c>
      <c r="B14" s="1" t="s">
        <v>39</v>
      </c>
      <c r="C14" s="1" t="s">
        <v>40</v>
      </c>
      <c r="D14" s="1" t="s">
        <v>17</v>
      </c>
      <c r="E14" s="1" t="s">
        <v>18</v>
      </c>
      <c r="F14" s="3">
        <v>115174</v>
      </c>
      <c r="G14" s="3">
        <v>36164636</v>
      </c>
      <c r="H14" s="1">
        <v>305.05</v>
      </c>
      <c r="I14" s="1">
        <v>313.88</v>
      </c>
      <c r="J14" s="3">
        <v>1030852</v>
      </c>
      <c r="K14" s="1">
        <v>2.93967280163604E-3</v>
      </c>
      <c r="L14" s="2"/>
      <c r="M14">
        <f t="shared" si="0"/>
        <v>314</v>
      </c>
    </row>
    <row r="15" spans="1:13" ht="15.75" x14ac:dyDescent="0.25">
      <c r="A15" s="3">
        <v>0</v>
      </c>
      <c r="B15" s="1" t="s">
        <v>41</v>
      </c>
      <c r="C15" s="1" t="s">
        <v>42</v>
      </c>
      <c r="D15" s="1" t="s">
        <v>17</v>
      </c>
      <c r="E15" s="1" t="s">
        <v>18</v>
      </c>
      <c r="F15" s="3">
        <v>35146</v>
      </c>
      <c r="G15" s="3">
        <v>1290561</v>
      </c>
      <c r="H15" s="1">
        <v>35</v>
      </c>
      <c r="I15" s="1" t="s">
        <v>183</v>
      </c>
      <c r="J15" s="3">
        <v>60482</v>
      </c>
      <c r="K15" s="1"/>
      <c r="L15" s="2"/>
      <c r="M15">
        <f t="shared" si="0"/>
        <v>36.719996585671197</v>
      </c>
    </row>
    <row r="16" spans="1:13" ht="15.75" x14ac:dyDescent="0.25">
      <c r="A16" s="1">
        <v>20033</v>
      </c>
      <c r="B16" s="1" t="s">
        <v>43</v>
      </c>
      <c r="C16" s="1" t="s">
        <v>44</v>
      </c>
      <c r="D16" s="1" t="s">
        <v>17</v>
      </c>
      <c r="E16" s="1" t="s">
        <v>18</v>
      </c>
      <c r="F16" s="3">
        <v>3669</v>
      </c>
      <c r="G16" s="3">
        <v>1317941</v>
      </c>
      <c r="H16" s="1">
        <v>417.89499999999998</v>
      </c>
      <c r="I16" s="1">
        <v>358.88</v>
      </c>
      <c r="J16" s="3">
        <v>-215313</v>
      </c>
      <c r="K16" s="1">
        <v>1.45017667844522E-2</v>
      </c>
      <c r="L16" s="2"/>
      <c r="M16">
        <f t="shared" si="0"/>
        <v>359.20986644862359</v>
      </c>
    </row>
    <row r="17" spans="1:13" ht="15.75" x14ac:dyDescent="0.25">
      <c r="A17" s="1">
        <v>640</v>
      </c>
      <c r="B17" s="1" t="s">
        <v>45</v>
      </c>
      <c r="C17" s="1" t="s">
        <v>46</v>
      </c>
      <c r="D17" s="1" t="s">
        <v>17</v>
      </c>
      <c r="E17" s="1" t="s">
        <v>47</v>
      </c>
      <c r="F17" s="3">
        <v>6</v>
      </c>
      <c r="G17" s="3">
        <v>299515</v>
      </c>
      <c r="H17" s="1">
        <v>2009.25</v>
      </c>
      <c r="I17" s="1">
        <v>1992.5</v>
      </c>
      <c r="J17" s="3">
        <v>-1872</v>
      </c>
      <c r="K17" s="1">
        <v>0</v>
      </c>
      <c r="L17" s="2"/>
      <c r="M17">
        <f t="shared" si="0"/>
        <v>49919.166666666664</v>
      </c>
    </row>
    <row r="18" spans="1:13" ht="15.75" x14ac:dyDescent="0.25">
      <c r="A18" s="3">
        <v>-7143</v>
      </c>
      <c r="B18" s="1" t="s">
        <v>48</v>
      </c>
      <c r="C18" s="1" t="s">
        <v>49</v>
      </c>
      <c r="D18" s="1" t="s">
        <v>50</v>
      </c>
      <c r="E18" s="1" t="s">
        <v>51</v>
      </c>
      <c r="F18" s="3">
        <v>47</v>
      </c>
      <c r="G18" s="3">
        <v>8755375</v>
      </c>
      <c r="H18" s="1">
        <v>151.12799999999999</v>
      </c>
      <c r="I18" s="1">
        <v>151.72999999999999</v>
      </c>
      <c r="J18" s="3">
        <v>40308</v>
      </c>
      <c r="K18" s="1">
        <v>-1.4478446857520699E-3</v>
      </c>
      <c r="L18" s="2"/>
      <c r="M18">
        <f t="shared" si="0"/>
        <v>186284.57446808511</v>
      </c>
    </row>
    <row r="19" spans="1:13" ht="15.75" x14ac:dyDescent="0.25">
      <c r="A19" s="1">
        <v>-475</v>
      </c>
      <c r="B19" s="1" t="s">
        <v>52</v>
      </c>
      <c r="C19" s="1" t="s">
        <v>53</v>
      </c>
      <c r="D19" s="1" t="s">
        <v>50</v>
      </c>
      <c r="E19" s="1" t="s">
        <v>51</v>
      </c>
      <c r="F19" s="1">
        <v>63</v>
      </c>
      <c r="G19" s="3">
        <v>8753578</v>
      </c>
      <c r="H19" s="1">
        <v>113.178</v>
      </c>
      <c r="I19" s="1">
        <v>113.24</v>
      </c>
      <c r="J19" s="3">
        <v>5094</v>
      </c>
      <c r="K19" s="1">
        <v>-8.8300000000000005E-5</v>
      </c>
      <c r="L19" s="2"/>
      <c r="M19">
        <f t="shared" si="0"/>
        <v>138945.68253968254</v>
      </c>
    </row>
    <row r="20" spans="1:13" ht="15.75" x14ac:dyDescent="0.25">
      <c r="A20" s="3">
        <v>-13117</v>
      </c>
      <c r="B20" s="1" t="s">
        <v>54</v>
      </c>
      <c r="C20" s="1" t="s">
        <v>55</v>
      </c>
      <c r="D20" s="1" t="s">
        <v>56</v>
      </c>
      <c r="E20" s="1" t="s">
        <v>57</v>
      </c>
      <c r="F20" s="1">
        <v>75</v>
      </c>
      <c r="G20" s="3">
        <v>8704277</v>
      </c>
      <c r="H20" s="1">
        <v>148.465</v>
      </c>
      <c r="I20" s="1">
        <v>148.5</v>
      </c>
      <c r="J20" s="3">
        <v>4186</v>
      </c>
      <c r="K20" s="1">
        <v>-1.7477816617369601E-3</v>
      </c>
      <c r="L20" s="2"/>
      <c r="M20">
        <f t="shared" si="0"/>
        <v>116057.02666666667</v>
      </c>
    </row>
    <row r="21" spans="1:13" ht="15.75" x14ac:dyDescent="0.25">
      <c r="A21" s="3">
        <v>-37151</v>
      </c>
      <c r="B21" s="1" t="s">
        <v>58</v>
      </c>
      <c r="C21" s="1" t="s">
        <v>59</v>
      </c>
      <c r="D21" s="1" t="s">
        <v>50</v>
      </c>
      <c r="E21" s="1" t="s">
        <v>51</v>
      </c>
      <c r="F21" s="1">
        <v>26</v>
      </c>
      <c r="G21" s="3">
        <v>7157791</v>
      </c>
      <c r="H21" s="1">
        <v>223.31399999999999</v>
      </c>
      <c r="I21" s="1">
        <v>224.16</v>
      </c>
      <c r="J21" s="3">
        <v>33883</v>
      </c>
      <c r="K21" s="1">
        <v>-6.1186485767491102E-3</v>
      </c>
      <c r="L21" s="2"/>
      <c r="M21">
        <f t="shared" si="0"/>
        <v>275299.65384615387</v>
      </c>
    </row>
    <row r="22" spans="1:13" ht="15.75" x14ac:dyDescent="0.25">
      <c r="A22" s="3">
        <v>233</v>
      </c>
      <c r="B22" s="1" t="s">
        <v>60</v>
      </c>
      <c r="C22" s="1" t="s">
        <v>61</v>
      </c>
      <c r="D22" s="1" t="s">
        <v>17</v>
      </c>
      <c r="E22" s="1" t="s">
        <v>62</v>
      </c>
      <c r="F22" s="1">
        <v>3</v>
      </c>
      <c r="G22" s="3">
        <v>266745</v>
      </c>
      <c r="H22" s="1">
        <v>3.5200999999999998</v>
      </c>
      <c r="I22" s="1">
        <v>3.56</v>
      </c>
      <c r="J22" s="3">
        <v>2739</v>
      </c>
      <c r="K22" s="1">
        <v>1.82918249613056E-3</v>
      </c>
      <c r="L22" s="2"/>
      <c r="M22">
        <f t="shared" si="0"/>
        <v>88915</v>
      </c>
    </row>
    <row r="23" spans="1:13" ht="15.75" x14ac:dyDescent="0.25">
      <c r="A23" s="3">
        <v>-1500</v>
      </c>
      <c r="B23" s="1" t="s">
        <v>63</v>
      </c>
      <c r="C23" s="1" t="s">
        <v>64</v>
      </c>
      <c r="D23" s="1" t="s">
        <v>17</v>
      </c>
      <c r="E23" s="1" t="s">
        <v>65</v>
      </c>
      <c r="F23" s="1">
        <v>10</v>
      </c>
      <c r="G23" s="3">
        <v>291000</v>
      </c>
      <c r="H23" s="1">
        <v>561.81500000000005</v>
      </c>
      <c r="I23" s="1">
        <v>582.5</v>
      </c>
      <c r="J23" s="3">
        <v>10093</v>
      </c>
      <c r="K23" s="1">
        <v>-4.2735042735043303E-3</v>
      </c>
      <c r="L23" s="2"/>
      <c r="M23">
        <f t="shared" si="0"/>
        <v>29100</v>
      </c>
    </row>
    <row r="24" spans="1:13" ht="15.75" x14ac:dyDescent="0.25">
      <c r="A24" s="1">
        <v>-390</v>
      </c>
      <c r="B24" s="1" t="s">
        <v>66</v>
      </c>
      <c r="C24" s="1" t="s">
        <v>67</v>
      </c>
      <c r="D24" s="1" t="s">
        <v>17</v>
      </c>
      <c r="E24" s="1" t="s">
        <v>62</v>
      </c>
      <c r="F24" s="1">
        <v>13</v>
      </c>
      <c r="G24" s="3">
        <v>317330</v>
      </c>
      <c r="H24" s="1">
        <v>2.5783</v>
      </c>
      <c r="I24" s="1">
        <v>2.4369999999999998</v>
      </c>
      <c r="J24" s="3">
        <v>-17848</v>
      </c>
      <c r="K24" s="1">
        <v>-2.8641571194763099E-3</v>
      </c>
      <c r="L24" s="2"/>
      <c r="M24">
        <f t="shared" si="0"/>
        <v>24410</v>
      </c>
    </row>
    <row r="25" spans="1:13" ht="15.75" x14ac:dyDescent="0.25">
      <c r="A25" s="3">
        <v>-1555</v>
      </c>
      <c r="B25" s="1" t="s">
        <v>68</v>
      </c>
      <c r="C25" s="1" t="s">
        <v>69</v>
      </c>
      <c r="D25" s="1" t="s">
        <v>17</v>
      </c>
      <c r="E25" s="1" t="s">
        <v>47</v>
      </c>
      <c r="F25" s="1">
        <v>3</v>
      </c>
      <c r="G25" s="3">
        <v>302366</v>
      </c>
      <c r="H25" s="1">
        <v>16772</v>
      </c>
      <c r="I25" s="1">
        <v>16885</v>
      </c>
      <c r="J25" s="3">
        <v>472</v>
      </c>
      <c r="K25" s="1">
        <v>0</v>
      </c>
      <c r="L25" s="2"/>
      <c r="M25">
        <f t="shared" si="0"/>
        <v>100788.66666666667</v>
      </c>
    </row>
    <row r="26" spans="1:13" ht="15.75" x14ac:dyDescent="0.25">
      <c r="A26" s="1">
        <v>240</v>
      </c>
      <c r="B26" s="1" t="s">
        <v>70</v>
      </c>
      <c r="C26" s="1" t="s">
        <v>71</v>
      </c>
      <c r="D26" s="1" t="s">
        <v>17</v>
      </c>
      <c r="E26" s="1" t="s">
        <v>62</v>
      </c>
      <c r="F26" s="1">
        <v>1</v>
      </c>
      <c r="G26" s="3">
        <v>234670</v>
      </c>
      <c r="H26" s="1">
        <v>2357.9299999999998</v>
      </c>
      <c r="I26" s="1">
        <v>2342</v>
      </c>
      <c r="J26" s="3">
        <v>-1122</v>
      </c>
      <c r="K26" s="1">
        <v>-1.0663254425250499E-3</v>
      </c>
      <c r="L26" s="2"/>
      <c r="M26">
        <f t="shared" si="0"/>
        <v>234670</v>
      </c>
    </row>
    <row r="27" spans="1:13" ht="15.75" x14ac:dyDescent="0.25">
      <c r="A27" s="1">
        <v>-5376</v>
      </c>
      <c r="B27" s="1" t="s">
        <v>72</v>
      </c>
      <c r="C27" s="1" t="s">
        <v>73</v>
      </c>
      <c r="D27" s="1" t="s">
        <v>17</v>
      </c>
      <c r="E27" s="1" t="s">
        <v>74</v>
      </c>
      <c r="F27" s="1">
        <v>19</v>
      </c>
      <c r="G27" s="3">
        <v>300220</v>
      </c>
      <c r="H27" s="1">
        <v>160.99600000000001</v>
      </c>
      <c r="I27" s="1">
        <v>158</v>
      </c>
      <c r="J27" s="3">
        <v>-5671</v>
      </c>
      <c r="K27" s="1">
        <v>-1.7657299179308601E-2</v>
      </c>
      <c r="L27" s="2"/>
      <c r="M27">
        <f t="shared" si="0"/>
        <v>15801.052631578947</v>
      </c>
    </row>
    <row r="28" spans="1:13" ht="15.75" x14ac:dyDescent="0.25">
      <c r="A28" s="1">
        <v>-13464</v>
      </c>
      <c r="B28" s="1" t="s">
        <v>75</v>
      </c>
      <c r="C28" s="1" t="s">
        <v>76</v>
      </c>
      <c r="D28" s="1" t="s">
        <v>17</v>
      </c>
      <c r="E28" s="1" t="s">
        <v>65</v>
      </c>
      <c r="F28" s="1">
        <v>56</v>
      </c>
      <c r="G28" s="3">
        <v>8722536</v>
      </c>
      <c r="H28" s="1">
        <v>156.34687500000001</v>
      </c>
      <c r="I28" s="1" t="s">
        <v>184</v>
      </c>
      <c r="J28" s="3">
        <v>-32820</v>
      </c>
      <c r="K28" s="1">
        <v>-1.6025641025640999E-3</v>
      </c>
      <c r="L28" s="2"/>
      <c r="M28">
        <f t="shared" si="0"/>
        <v>155759.57142857142</v>
      </c>
    </row>
    <row r="29" spans="1:13" ht="15.75" x14ac:dyDescent="0.25">
      <c r="A29" s="1">
        <v>947</v>
      </c>
      <c r="B29" s="1" t="s">
        <v>79</v>
      </c>
      <c r="C29" s="1" t="s">
        <v>78</v>
      </c>
      <c r="D29" s="1" t="s">
        <v>17</v>
      </c>
      <c r="E29" s="1" t="s">
        <v>74</v>
      </c>
      <c r="F29" s="1">
        <v>40</v>
      </c>
      <c r="G29" s="3">
        <v>298947</v>
      </c>
      <c r="H29" s="1">
        <v>150.62</v>
      </c>
      <c r="I29" s="1">
        <v>149.4</v>
      </c>
      <c r="J29" s="3">
        <v>-2274</v>
      </c>
      <c r="K29" s="1">
        <v>2.6845637583892898E-3</v>
      </c>
      <c r="L29" s="2"/>
      <c r="M29">
        <f t="shared" si="0"/>
        <v>7473.6750000000002</v>
      </c>
    </row>
    <row r="30" spans="1:13" ht="15.75" x14ac:dyDescent="0.25">
      <c r="A30" s="1">
        <v>-36656</v>
      </c>
      <c r="B30" s="1" t="s">
        <v>80</v>
      </c>
      <c r="C30" s="1" t="s">
        <v>81</v>
      </c>
      <c r="D30" s="1" t="s">
        <v>17</v>
      </c>
      <c r="E30" s="1" t="s">
        <v>65</v>
      </c>
      <c r="F30" s="1">
        <v>41</v>
      </c>
      <c r="G30" s="3">
        <v>8666875</v>
      </c>
      <c r="H30" s="1">
        <v>213.88190299999999</v>
      </c>
      <c r="I30" s="1" t="s">
        <v>185</v>
      </c>
      <c r="J30" s="3">
        <v>-102283</v>
      </c>
      <c r="K30" s="1">
        <v>-4.1218901810687403E-3</v>
      </c>
      <c r="L30" s="2"/>
      <c r="M30">
        <f t="shared" si="0"/>
        <v>211387.19512195123</v>
      </c>
    </row>
    <row r="31" spans="1:13" ht="15.75" x14ac:dyDescent="0.25">
      <c r="A31" s="3">
        <v>-22950</v>
      </c>
      <c r="B31" s="1" t="s">
        <v>82</v>
      </c>
      <c r="C31" s="1" t="s">
        <v>83</v>
      </c>
      <c r="D31" s="1" t="s">
        <v>17</v>
      </c>
      <c r="E31" s="1" t="s">
        <v>65</v>
      </c>
      <c r="F31" s="1">
        <v>51</v>
      </c>
      <c r="G31" s="3">
        <v>8782519</v>
      </c>
      <c r="H31" s="1">
        <v>173.71250000000001</v>
      </c>
      <c r="I31" s="1" t="s">
        <v>186</v>
      </c>
      <c r="J31" s="3">
        <v>-76747</v>
      </c>
      <c r="K31" s="1">
        <v>-2.7149321266968299E-3</v>
      </c>
      <c r="L31" s="2"/>
      <c r="M31">
        <f t="shared" si="0"/>
        <v>172206.25490196078</v>
      </c>
    </row>
    <row r="32" spans="1:13" ht="15.75" x14ac:dyDescent="0.25">
      <c r="A32" s="1">
        <v>-3989</v>
      </c>
      <c r="B32" s="1" t="s">
        <v>84</v>
      </c>
      <c r="C32" s="1" t="s">
        <v>85</v>
      </c>
      <c r="D32" s="1" t="s">
        <v>17</v>
      </c>
      <c r="E32" s="1" t="s">
        <v>65</v>
      </c>
      <c r="F32" s="1">
        <v>69</v>
      </c>
      <c r="G32" s="3">
        <v>8695940</v>
      </c>
      <c r="H32" s="1">
        <v>125.91015625</v>
      </c>
      <c r="I32" s="1" t="s">
        <v>187</v>
      </c>
      <c r="J32" s="1">
        <v>8177</v>
      </c>
      <c r="K32" s="1">
        <v>-4.9569000000000002E-4</v>
      </c>
      <c r="L32" s="2"/>
      <c r="M32">
        <f t="shared" si="0"/>
        <v>126028.11594202899</v>
      </c>
    </row>
    <row r="33" spans="1:13" ht="15.75" x14ac:dyDescent="0.25">
      <c r="A33" s="1">
        <v>-8256</v>
      </c>
      <c r="B33" s="1" t="s">
        <v>86</v>
      </c>
      <c r="C33" s="1" t="s">
        <v>87</v>
      </c>
      <c r="D33" s="1" t="s">
        <v>17</v>
      </c>
      <c r="E33" s="1" t="s">
        <v>65</v>
      </c>
      <c r="F33" s="1">
        <v>63</v>
      </c>
      <c r="G33" s="3">
        <v>8680822</v>
      </c>
      <c r="H33" s="1">
        <v>137.83445710000001</v>
      </c>
      <c r="I33" s="1" t="s">
        <v>188</v>
      </c>
      <c r="J33" s="3">
        <v>-2748</v>
      </c>
      <c r="K33" s="1">
        <v>-1.0195989577432799E-3</v>
      </c>
      <c r="L33" s="2"/>
      <c r="M33">
        <f t="shared" si="0"/>
        <v>137790.82539682538</v>
      </c>
    </row>
    <row r="34" spans="1:13" ht="15.75" x14ac:dyDescent="0.25">
      <c r="A34" s="1">
        <v>-1984</v>
      </c>
      <c r="B34" s="1" t="s">
        <v>88</v>
      </c>
      <c r="C34" s="1" t="s">
        <v>89</v>
      </c>
      <c r="D34" s="1" t="s">
        <v>17</v>
      </c>
      <c r="E34" s="1" t="s">
        <v>65</v>
      </c>
      <c r="F34" s="1">
        <v>5</v>
      </c>
      <c r="G34" s="3">
        <v>322016</v>
      </c>
      <c r="H34" s="1">
        <v>1170.316</v>
      </c>
      <c r="I34" s="1">
        <v>1287.25</v>
      </c>
      <c r="J34" s="3">
        <v>29437</v>
      </c>
      <c r="K34" s="1">
        <v>-6.7515432098765697E-3</v>
      </c>
      <c r="L34" s="2"/>
      <c r="M34">
        <f t="shared" si="0"/>
        <v>64403.199999999997</v>
      </c>
    </row>
    <row r="35" spans="1:13" ht="15.75" x14ac:dyDescent="0.25">
      <c r="A35" s="3">
        <v>-613</v>
      </c>
      <c r="B35" s="1" t="s">
        <v>90</v>
      </c>
      <c r="C35" s="1" t="s">
        <v>91</v>
      </c>
      <c r="D35" s="1" t="s">
        <v>17</v>
      </c>
      <c r="E35" s="1" t="s">
        <v>47</v>
      </c>
      <c r="F35" s="1">
        <v>4</v>
      </c>
      <c r="G35" s="3">
        <v>273862</v>
      </c>
      <c r="H35" s="1">
        <v>2790.92</v>
      </c>
      <c r="I35" s="1" t="s">
        <v>189</v>
      </c>
      <c r="J35" s="3">
        <v>-5230</v>
      </c>
      <c r="K35" s="1"/>
      <c r="L35" s="2"/>
      <c r="M35">
        <f t="shared" si="0"/>
        <v>68465.5</v>
      </c>
    </row>
    <row r="36" spans="1:13" ht="15.75" x14ac:dyDescent="0.25">
      <c r="A36" s="3">
        <v>-743</v>
      </c>
      <c r="B36" s="1" t="s">
        <v>92</v>
      </c>
      <c r="C36" s="1" t="s">
        <v>93</v>
      </c>
      <c r="D36" s="1" t="s">
        <v>17</v>
      </c>
      <c r="E36" s="1" t="s">
        <v>65</v>
      </c>
      <c r="F36" s="1">
        <v>40</v>
      </c>
      <c r="G36" s="3">
        <v>8837382</v>
      </c>
      <c r="H36" s="1">
        <v>110.409605094</v>
      </c>
      <c r="I36" s="1" t="s">
        <v>190</v>
      </c>
      <c r="J36" s="1">
        <v>4613</v>
      </c>
      <c r="K36" s="1">
        <v>-1.0607000000000001E-4</v>
      </c>
      <c r="L36" s="2"/>
      <c r="M36">
        <f t="shared" si="0"/>
        <v>220934.55</v>
      </c>
    </row>
    <row r="37" spans="1:13" ht="15.75" x14ac:dyDescent="0.25">
      <c r="A37" s="3"/>
      <c r="B37" t="s">
        <v>94</v>
      </c>
      <c r="C37" s="1"/>
      <c r="D37" s="1"/>
      <c r="E37" s="1"/>
      <c r="F37" s="1"/>
      <c r="G37" s="3"/>
      <c r="H37" s="1"/>
      <c r="I37" s="1"/>
      <c r="J37" s="3"/>
      <c r="K37" s="1"/>
      <c r="L37" s="2"/>
      <c r="M37">
        <v>61.71</v>
      </c>
    </row>
    <row r="38" spans="1:13" ht="15.75" x14ac:dyDescent="0.25">
      <c r="A38" s="3"/>
      <c r="H38" s="1"/>
      <c r="I38" s="1"/>
      <c r="J38" s="3"/>
      <c r="K38" s="1"/>
      <c r="L38" s="2"/>
      <c r="M38" t="e">
        <f t="shared" si="0"/>
        <v>#DIV/0!</v>
      </c>
    </row>
    <row r="39" spans="1:13" ht="15.75" x14ac:dyDescent="0.25">
      <c r="A39" s="3"/>
      <c r="B39" s="1"/>
      <c r="C39" s="1"/>
      <c r="D39" s="1"/>
      <c r="E39" s="1"/>
      <c r="F39" s="1"/>
      <c r="G39" s="3"/>
      <c r="H39" s="1"/>
      <c r="I39" s="1"/>
      <c r="J39" s="3"/>
      <c r="K39" s="1"/>
      <c r="L39" s="2"/>
      <c r="M39" t="e">
        <f t="shared" si="0"/>
        <v>#DIV/0!</v>
      </c>
    </row>
    <row r="40" spans="1:13" ht="15.75" x14ac:dyDescent="0.25">
      <c r="A40" s="3"/>
      <c r="B40" s="1"/>
      <c r="C40" s="1"/>
      <c r="D40" s="1"/>
      <c r="E40" s="1"/>
      <c r="F40" s="1"/>
      <c r="G40" s="3"/>
      <c r="H40" s="1"/>
      <c r="I40" s="1"/>
      <c r="J40" s="3"/>
      <c r="K40" s="1"/>
      <c r="L40" s="2"/>
      <c r="M40" t="e">
        <f t="shared" si="0"/>
        <v>#DIV/0!</v>
      </c>
    </row>
    <row r="41" spans="1:13" ht="15.75" x14ac:dyDescent="0.25">
      <c r="A41" s="1"/>
      <c r="B41" s="1"/>
      <c r="C41" s="1"/>
      <c r="D41" s="1"/>
      <c r="E41" s="1"/>
      <c r="F41" s="1"/>
      <c r="G41" s="3"/>
      <c r="H41" s="1"/>
      <c r="I41" s="1"/>
      <c r="J41" s="1"/>
      <c r="K41" s="1"/>
      <c r="L41" s="2"/>
      <c r="M41" t="e">
        <f t="shared" si="0"/>
        <v>#DIV/0!</v>
      </c>
    </row>
    <row r="42" spans="1:13" ht="15.75" x14ac:dyDescent="0.25">
      <c r="A42" s="1"/>
      <c r="B42" s="1"/>
      <c r="C42" s="1"/>
      <c r="D42" s="1"/>
      <c r="E42" s="1"/>
      <c r="F42" s="1"/>
      <c r="G42" s="3"/>
      <c r="H42" s="1"/>
      <c r="I42" s="1"/>
      <c r="J42" s="3"/>
      <c r="K42" s="1"/>
      <c r="L42" s="2"/>
      <c r="M42" t="e">
        <f t="shared" si="0"/>
        <v>#DIV/0!</v>
      </c>
    </row>
    <row r="43" spans="1:13" ht="15.75" x14ac:dyDescent="0.25">
      <c r="A43" s="1"/>
      <c r="B43" s="1"/>
      <c r="C43" s="1"/>
      <c r="D43" s="1"/>
      <c r="E43" s="1"/>
      <c r="F43" s="1"/>
      <c r="G43" s="3"/>
      <c r="H43" s="1"/>
      <c r="I43" s="1"/>
      <c r="J43" s="1"/>
      <c r="K43" s="1"/>
      <c r="L43" s="2"/>
      <c r="M43" t="e">
        <f t="shared" si="0"/>
        <v>#DIV/0!</v>
      </c>
    </row>
    <row r="44" spans="1:13" x14ac:dyDescent="0.25">
      <c r="M44" t="e">
        <f t="shared" si="0"/>
        <v>#DIV/0!</v>
      </c>
    </row>
    <row r="45" spans="1:13" x14ac:dyDescent="0.25">
      <c r="M45" t="e">
        <f t="shared" si="0"/>
        <v>#DIV/0!</v>
      </c>
    </row>
    <row r="46" spans="1:13" x14ac:dyDescent="0.25">
      <c r="M46" t="e">
        <f t="shared" si="0"/>
        <v>#DIV/0!</v>
      </c>
    </row>
    <row r="47" spans="1:13" x14ac:dyDescent="0.25">
      <c r="M47" t="e">
        <f t="shared" si="0"/>
        <v>#DIV/0!</v>
      </c>
    </row>
    <row r="48" spans="1:13" x14ac:dyDescent="0.25">
      <c r="M48" t="e">
        <f t="shared" si="0"/>
        <v>#DIV/0!</v>
      </c>
    </row>
    <row r="49" spans="13:13" x14ac:dyDescent="0.25">
      <c r="M49" t="e">
        <f t="shared" si="0"/>
        <v>#DIV/0!</v>
      </c>
    </row>
    <row r="50" spans="13:13" x14ac:dyDescent="0.25">
      <c r="M50" t="e">
        <f t="shared" si="0"/>
        <v>#DIV/0!</v>
      </c>
    </row>
    <row r="51" spans="13:13" x14ac:dyDescent="0.25">
      <c r="M51" t="e">
        <f t="shared" si="0"/>
        <v>#DIV/0!</v>
      </c>
    </row>
    <row r="52" spans="13:13" x14ac:dyDescent="0.25">
      <c r="M52" t="e">
        <f t="shared" si="0"/>
        <v>#DIV/0!</v>
      </c>
    </row>
    <row r="53" spans="13:13" x14ac:dyDescent="0.25">
      <c r="M53" t="e">
        <f t="shared" si="0"/>
        <v>#DIV/0!</v>
      </c>
    </row>
    <row r="54" spans="13:13" x14ac:dyDescent="0.25">
      <c r="M54" t="e">
        <f t="shared" si="0"/>
        <v>#DIV/0!</v>
      </c>
    </row>
    <row r="55" spans="13:13" x14ac:dyDescent="0.25">
      <c r="M55" t="e">
        <f t="shared" si="0"/>
        <v>#DIV/0!</v>
      </c>
    </row>
    <row r="56" spans="13:13" x14ac:dyDescent="0.25">
      <c r="M56" t="e">
        <f t="shared" si="0"/>
        <v>#DIV/0!</v>
      </c>
    </row>
    <row r="57" spans="13:13" x14ac:dyDescent="0.25">
      <c r="M57" t="e">
        <f t="shared" si="0"/>
        <v>#DIV/0!</v>
      </c>
    </row>
    <row r="58" spans="13:13" x14ac:dyDescent="0.25">
      <c r="M58" t="e">
        <f t="shared" si="0"/>
        <v>#DIV/0!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H74"/>
  <sheetViews>
    <sheetView zoomScale="140" zoomScaleNormal="140" workbookViewId="0">
      <pane xSplit="2" topLeftCell="C1" activePane="topRight" state="frozen"/>
      <selection pane="topRight" activeCell="O12" sqref="O12"/>
    </sheetView>
  </sheetViews>
  <sheetFormatPr defaultColWidth="9.140625" defaultRowHeight="15" x14ac:dyDescent="0.25"/>
  <cols>
    <col min="1" max="2" width="15.140625" style="4" customWidth="1"/>
    <col min="3" max="3" width="29.28515625" style="4" customWidth="1"/>
    <col min="4" max="4" width="14.85546875" style="4" customWidth="1"/>
    <col min="5" max="5" width="27.42578125" style="4" customWidth="1"/>
    <col min="6" max="7" width="13.7109375" style="4" customWidth="1"/>
    <col min="8" max="8" width="16.42578125" style="4" customWidth="1"/>
    <col min="9" max="9" width="15.42578125" style="4" customWidth="1"/>
    <col min="10" max="10" width="13.42578125" customWidth="1"/>
    <col min="11" max="11" width="23.42578125" customWidth="1"/>
    <col min="12" max="12" width="13.42578125" customWidth="1"/>
    <col min="13" max="13" width="22.42578125" style="4" customWidth="1"/>
    <col min="14" max="16" width="10.85546875" style="4" customWidth="1"/>
    <col min="17" max="17" width="11.28515625" style="4" customWidth="1"/>
    <col min="18" max="1022" width="9.140625" style="4"/>
  </cols>
  <sheetData>
    <row r="1" spans="1:17" s="4" customFormat="1" ht="25.5" x14ac:dyDescent="0.2">
      <c r="A1" s="5"/>
      <c r="B1" s="5" t="s">
        <v>95</v>
      </c>
      <c r="C1" s="6">
        <v>44176</v>
      </c>
      <c r="D1" s="7"/>
      <c r="E1" s="8" t="s">
        <v>96</v>
      </c>
      <c r="F1" s="9"/>
      <c r="G1" s="10"/>
      <c r="K1" s="11" t="s">
        <v>97</v>
      </c>
      <c r="L1" s="11" t="s">
        <v>98</v>
      </c>
      <c r="M1" s="12" t="s">
        <v>99</v>
      </c>
    </row>
    <row r="2" spans="1:17" x14ac:dyDescent="0.25">
      <c r="A2" s="5"/>
      <c r="B2" s="5" t="s">
        <v>100</v>
      </c>
      <c r="C2" s="13">
        <v>4.2</v>
      </c>
      <c r="D2" s="14"/>
      <c r="E2" s="15">
        <f>SUM(E24,E39,E52,E26,E54)</f>
        <v>117654463.30234565</v>
      </c>
      <c r="F2" s="16"/>
      <c r="G2" s="17"/>
      <c r="H2" s="14"/>
      <c r="I2" s="14"/>
      <c r="J2" s="14"/>
      <c r="K2" s="15">
        <f>SUM(K24,K39,K52,K26,K54:K54)</f>
        <v>117549372.68361007</v>
      </c>
      <c r="L2" s="18">
        <f>SUM(L52,L39,L24,L26,L54)</f>
        <v>0.99999999999999989</v>
      </c>
      <c r="M2" s="19">
        <f>K2/$C$6</f>
        <v>4.1962526972717455</v>
      </c>
      <c r="N2" s="20"/>
    </row>
    <row r="3" spans="1:17" ht="26.25" x14ac:dyDescent="0.25">
      <c r="A3" s="5"/>
      <c r="B3" s="5" t="s">
        <v>101</v>
      </c>
      <c r="C3" s="21">
        <v>28012939.440000001</v>
      </c>
      <c r="D3" s="22"/>
      <c r="E3" s="8" t="s">
        <v>170</v>
      </c>
      <c r="F3" s="16"/>
      <c r="H3" s="14"/>
      <c r="I3" s="14"/>
      <c r="J3" s="14"/>
      <c r="K3" s="8" t="s">
        <v>102</v>
      </c>
      <c r="L3" s="14"/>
      <c r="M3" s="12" t="s">
        <v>171</v>
      </c>
      <c r="N3" s="23"/>
    </row>
    <row r="4" spans="1:17" x14ac:dyDescent="0.25">
      <c r="A4" s="5"/>
      <c r="B4" s="5" t="s">
        <v>104</v>
      </c>
      <c r="C4" s="21">
        <v>0</v>
      </c>
      <c r="D4" s="22"/>
      <c r="E4" s="15">
        <f>SUM(E24,E52,E26)</f>
        <v>48238399.370025657</v>
      </c>
      <c r="F4" s="16"/>
      <c r="G4" s="17"/>
      <c r="H4" s="14"/>
      <c r="I4" s="14"/>
      <c r="J4" s="14"/>
      <c r="K4" s="15">
        <f>SUM(K24,K26,K52)</f>
        <v>48232188.568684459</v>
      </c>
      <c r="L4" s="14"/>
      <c r="M4" s="19">
        <f>K4/$C$6</f>
        <v>1.7217824881245114</v>
      </c>
      <c r="N4" s="23"/>
    </row>
    <row r="5" spans="1:17" x14ac:dyDescent="0.25">
      <c r="A5" s="5"/>
      <c r="B5" s="5" t="s">
        <v>105</v>
      </c>
      <c r="C5" s="21">
        <v>0</v>
      </c>
      <c r="D5" s="22"/>
      <c r="E5" s="16"/>
      <c r="F5" s="16"/>
      <c r="G5" s="24">
        <f>SUM(D24,D26,D39,D52,D54:D54)</f>
        <v>1.0000009999999999</v>
      </c>
      <c r="H5" s="14"/>
      <c r="I5" s="14"/>
      <c r="J5" s="14"/>
      <c r="K5" s="14"/>
      <c r="L5" s="14"/>
      <c r="M5" s="14"/>
      <c r="N5" s="23"/>
    </row>
    <row r="6" spans="1:17" x14ac:dyDescent="0.25">
      <c r="A6" s="5"/>
      <c r="B6" s="5" t="s">
        <v>106</v>
      </c>
      <c r="C6" s="21">
        <f>C3+C4-C5</f>
        <v>28012939.440000001</v>
      </c>
      <c r="D6" s="22"/>
      <c r="E6" s="16"/>
      <c r="F6" s="16"/>
      <c r="G6" s="17"/>
      <c r="H6" s="14"/>
      <c r="I6" s="14"/>
      <c r="J6" s="14"/>
      <c r="K6" s="14"/>
      <c r="L6" s="14"/>
      <c r="M6" s="14"/>
      <c r="N6" s="23"/>
    </row>
    <row r="7" spans="1:17" x14ac:dyDescent="0.25">
      <c r="A7" s="25"/>
      <c r="B7" s="26"/>
      <c r="C7" s="26"/>
      <c r="D7" s="27"/>
      <c r="E7" s="28"/>
      <c r="F7" s="28"/>
      <c r="G7" s="28"/>
      <c r="H7" s="29"/>
      <c r="I7" s="29"/>
      <c r="J7" s="29"/>
      <c r="K7" s="14"/>
      <c r="L7" s="14"/>
      <c r="M7" s="14"/>
      <c r="N7" s="23"/>
    </row>
    <row r="8" spans="1:17" s="34" customFormat="1" ht="38.25" x14ac:dyDescent="0.2">
      <c r="A8" s="30" t="s">
        <v>107</v>
      </c>
      <c r="B8" s="30" t="s">
        <v>108</v>
      </c>
      <c r="C8" s="31" t="s">
        <v>1</v>
      </c>
      <c r="D8" s="31" t="s">
        <v>109</v>
      </c>
      <c r="E8" s="31" t="s">
        <v>110</v>
      </c>
      <c r="F8" s="31" t="s">
        <v>111</v>
      </c>
      <c r="G8" s="31" t="s">
        <v>112</v>
      </c>
      <c r="H8" s="31" t="s">
        <v>113</v>
      </c>
      <c r="I8" s="31" t="s">
        <v>114</v>
      </c>
      <c r="J8" s="31" t="s">
        <v>115</v>
      </c>
      <c r="K8" s="32" t="s">
        <v>116</v>
      </c>
      <c r="L8" s="32" t="s">
        <v>117</v>
      </c>
      <c r="M8" s="32" t="s">
        <v>118</v>
      </c>
      <c r="N8" s="33"/>
      <c r="Q8" s="35"/>
    </row>
    <row r="9" spans="1:17" s="44" customFormat="1" ht="12.75" customHeight="1" x14ac:dyDescent="0.25">
      <c r="A9" s="36" t="s">
        <v>119</v>
      </c>
      <c r="B9" s="36" t="s">
        <v>120</v>
      </c>
      <c r="C9" s="36" t="s">
        <v>121</v>
      </c>
      <c r="D9" s="37">
        <v>9.7999999999999997E-3</v>
      </c>
      <c r="E9" s="38">
        <f>'Dec 11'!$D9*$C$6*$C$2</f>
        <v>1153012.5873503999</v>
      </c>
      <c r="F9" s="38">
        <v>612.89983579638795</v>
      </c>
      <c r="G9" s="39">
        <f>'Dec 11'!$E9/'Dec 11'!$F9</f>
        <v>1881.2414688481715</v>
      </c>
      <c r="H9" s="36">
        <v>1827</v>
      </c>
      <c r="I9" s="36">
        <f>ROUND(Table1389584567991011121314456267891011121314151617181920213456789101112131415161718192021222334567891011121314151617181920345678910[[#This Row],[Target Quantity]],0)</f>
        <v>1881</v>
      </c>
      <c r="J9" s="40">
        <f t="shared" ref="J9:J22" si="0">I9-H9</f>
        <v>54</v>
      </c>
      <c r="K9" s="41">
        <f>'Dec 11'!$F9*'Dec 11'!$I9</f>
        <v>1152864.5911330057</v>
      </c>
      <c r="L9" s="42">
        <f>'Dec 11'!$K9/$K$2</f>
        <v>9.8074925013508802E-3</v>
      </c>
      <c r="M9" s="43"/>
    </row>
    <row r="10" spans="1:17" s="45" customFormat="1" ht="12.75" customHeight="1" x14ac:dyDescent="0.25">
      <c r="A10" s="36" t="s">
        <v>119</v>
      </c>
      <c r="B10" s="36" t="s">
        <v>43</v>
      </c>
      <c r="C10" s="36" t="s">
        <v>44</v>
      </c>
      <c r="D10" s="37">
        <v>9.7999999999999997E-3</v>
      </c>
      <c r="E10" s="38">
        <f>'Dec 11'!$D10*$C$6*$C$2</f>
        <v>1153012.5873503999</v>
      </c>
      <c r="F10" s="38">
        <v>393.5</v>
      </c>
      <c r="G10" s="39">
        <f>'Dec 11'!$E10/'Dec 11'!$F10</f>
        <v>2930.1463465067341</v>
      </c>
      <c r="H10" s="36">
        <v>2810</v>
      </c>
      <c r="I10" s="36">
        <f>ROUND(Table1389584567991011121314456267891011121314151617181920213456789101112131415161718192021222334567891011121314151617181920345678910[[#This Row],[Target Quantity]],0)</f>
        <v>2930</v>
      </c>
      <c r="J10" s="40">
        <f t="shared" si="0"/>
        <v>120</v>
      </c>
      <c r="K10" s="41">
        <f>'Dec 11'!$F10*'Dec 11'!$I10</f>
        <v>1152955</v>
      </c>
      <c r="L10" s="42">
        <f>'Dec 11'!$K10/$K$2</f>
        <v>9.8082616153404335E-3</v>
      </c>
      <c r="M10" s="36"/>
      <c r="O10" s="44"/>
    </row>
    <row r="11" spans="1:17" s="45" customFormat="1" ht="12.75" customHeight="1" x14ac:dyDescent="0.25">
      <c r="A11" s="36" t="s">
        <v>119</v>
      </c>
      <c r="B11" s="36" t="s">
        <v>25</v>
      </c>
      <c r="C11" s="36" t="s">
        <v>26</v>
      </c>
      <c r="D11" s="37">
        <v>9.7999999999999997E-3</v>
      </c>
      <c r="E11" s="38">
        <f>'Dec 11'!$D11*$C$6*$C$2</f>
        <v>1153012.5873503999</v>
      </c>
      <c r="F11" s="38">
        <v>290</v>
      </c>
      <c r="G11" s="39">
        <f>'Dec 11'!$E11/'Dec 11'!$F11</f>
        <v>3975.9054736220687</v>
      </c>
      <c r="H11" s="36">
        <v>3698</v>
      </c>
      <c r="I11" s="36">
        <f>ROUND(Table1389584567991011121314456267891011121314151617181920213456789101112131415161718192021222334567891011121314151617181920345678910[[#This Row],[Target Quantity]],0)</f>
        <v>3976</v>
      </c>
      <c r="J11" s="40">
        <f t="shared" si="0"/>
        <v>278</v>
      </c>
      <c r="K11" s="41">
        <f>'Dec 11'!$F11*'Dec 11'!$I11</f>
        <v>1153040</v>
      </c>
      <c r="L11" s="42">
        <f>'Dec 11'!$K11/$K$2</f>
        <v>9.8089847157539836E-3</v>
      </c>
      <c r="M11" s="36"/>
      <c r="O11" s="44"/>
    </row>
    <row r="12" spans="1:17" s="45" customFormat="1" ht="12.75" customHeight="1" x14ac:dyDescent="0.25">
      <c r="A12" s="36" t="s">
        <v>119</v>
      </c>
      <c r="B12" s="36" t="s">
        <v>128</v>
      </c>
      <c r="C12" s="36" t="s">
        <v>129</v>
      </c>
      <c r="D12" s="37">
        <v>9.7999999999999997E-3</v>
      </c>
      <c r="E12" s="38">
        <f>'Dec 11'!$D12*$C$6*$C$2</f>
        <v>1153012.5873503999</v>
      </c>
      <c r="F12" s="38">
        <v>24.7800080468506</v>
      </c>
      <c r="G12" s="39">
        <f>'Dec 11'!$E12/'Dec 11'!$F12</f>
        <v>46529.95209567502</v>
      </c>
      <c r="H12" s="36">
        <v>44738</v>
      </c>
      <c r="I12" s="36">
        <f>ROUND(Table1389584567991011121314456267891011121314151617181920213456789101112131415161718192021222334567891011121314151617181920345678910[[#This Row],[Target Quantity]],0)</f>
        <v>46530</v>
      </c>
      <c r="J12" s="40">
        <f t="shared" si="0"/>
        <v>1792</v>
      </c>
      <c r="K12" s="41">
        <f>'Dec 11'!$F12*'Dec 11'!$I12</f>
        <v>1153013.7744199585</v>
      </c>
      <c r="L12" s="42">
        <f>'Dec 11'!$K12/$K$2</f>
        <v>9.8087616130742936E-3</v>
      </c>
      <c r="M12" s="36"/>
      <c r="O12" s="92"/>
    </row>
    <row r="13" spans="1:17" s="45" customFormat="1" ht="12.75" customHeight="1" x14ac:dyDescent="0.25">
      <c r="A13" s="36" t="s">
        <v>119</v>
      </c>
      <c r="B13" s="36" t="s">
        <v>33</v>
      </c>
      <c r="C13" s="36" t="s">
        <v>34</v>
      </c>
      <c r="D13" s="37">
        <v>4.8999999999999998E-3</v>
      </c>
      <c r="E13" s="38">
        <f>'Dec 11'!$D13*$C$6*$C$2</f>
        <v>576506.29367519997</v>
      </c>
      <c r="F13" s="38">
        <v>41.020019641912803</v>
      </c>
      <c r="G13" s="39">
        <f>'Dec 11'!$E13/'Dec 11'!$F13</f>
        <v>14054.266641212094</v>
      </c>
      <c r="H13" s="36">
        <v>13237</v>
      </c>
      <c r="I13" s="36">
        <f>ROUND(Table1389584567991011121314456267891011121314151617181920213456789101112131415161718192021222334567891011121314151617181920345678910[[#This Row],[Target Quantity]],0)</f>
        <v>14054</v>
      </c>
      <c r="J13" s="40">
        <f t="shared" si="0"/>
        <v>817</v>
      </c>
      <c r="K13" s="41">
        <f>'Dec 11'!$F13*'Dec 11'!$I13</f>
        <v>576495.35604744253</v>
      </c>
      <c r="L13" s="42">
        <f>'Dec 11'!$K13/$K$2</f>
        <v>4.9042827102030416E-3</v>
      </c>
      <c r="M13" s="36"/>
      <c r="O13" s="44"/>
    </row>
    <row r="14" spans="1:17" s="45" customFormat="1" ht="12.75" customHeight="1" x14ac:dyDescent="0.25">
      <c r="A14" s="36" t="s">
        <v>119</v>
      </c>
      <c r="B14" s="36" t="s">
        <v>19</v>
      </c>
      <c r="C14" s="36" t="s">
        <v>20</v>
      </c>
      <c r="D14" s="37">
        <v>9.7999999999999997E-3</v>
      </c>
      <c r="E14" s="38">
        <f>'Dec 11'!$D14*$C$6*$C$2</f>
        <v>1153012.5873503999</v>
      </c>
      <c r="F14" s="38">
        <v>508.39020979021001</v>
      </c>
      <c r="G14" s="39">
        <f>'Dec 11'!$E14/'Dec 11'!$F14</f>
        <v>2267.9677246857227</v>
      </c>
      <c r="H14" s="36">
        <v>2145</v>
      </c>
      <c r="I14" s="36">
        <f>ROUND(Table1389584567991011121314456267891011121314151617181920213456789101112131415161718192021222334567891011121314151617181920345678910[[#This Row],[Target Quantity]],0)</f>
        <v>2268</v>
      </c>
      <c r="J14" s="40">
        <f t="shared" si="0"/>
        <v>123</v>
      </c>
      <c r="K14" s="41">
        <f>'Dec 11'!$F14*'Dec 11'!$I14</f>
        <v>1153028.9958041962</v>
      </c>
      <c r="L14" s="42">
        <f>'Dec 11'!$K14/$K$2</f>
        <v>9.808891102359437E-3</v>
      </c>
      <c r="M14" s="36"/>
      <c r="O14" s="44"/>
    </row>
    <row r="15" spans="1:17" s="45" customFormat="1" ht="12.75" customHeight="1" x14ac:dyDescent="0.25">
      <c r="A15" s="36" t="s">
        <v>119</v>
      </c>
      <c r="B15" s="36" t="s">
        <v>29</v>
      </c>
      <c r="C15" s="36" t="s">
        <v>30</v>
      </c>
      <c r="D15" s="37">
        <v>4.8999999999999998E-3</v>
      </c>
      <c r="E15" s="38">
        <f>'Dec 11'!$D15*$C$6*$C$2</f>
        <v>576506.29367519997</v>
      </c>
      <c r="F15" s="38">
        <v>21.629995204603599</v>
      </c>
      <c r="G15" s="39">
        <f>'Dec 11'!$E15/'Dec 11'!$F15</f>
        <v>26653.093919896008</v>
      </c>
      <c r="H15" s="36">
        <v>25024</v>
      </c>
      <c r="I15" s="36">
        <f>ROUND(Table1389584567991011121314456267891011121314151617181920213456789101112131415161718192021222334567891011121314151617181920345678910[[#This Row],[Target Quantity]],0)</f>
        <v>26653</v>
      </c>
      <c r="J15" s="40">
        <f t="shared" si="0"/>
        <v>1629</v>
      </c>
      <c r="K15" s="41">
        <f>'Dec 11'!$F15*'Dec 11'!$I15</f>
        <v>576504.26218829968</v>
      </c>
      <c r="L15" s="42">
        <f>'Dec 11'!$K15/$K$2</f>
        <v>4.904358475310535E-3</v>
      </c>
      <c r="M15" s="36"/>
      <c r="O15" s="44"/>
    </row>
    <row r="16" spans="1:17" s="45" customFormat="1" ht="12.75" customHeight="1" x14ac:dyDescent="0.25">
      <c r="A16" s="36" t="s">
        <v>119</v>
      </c>
      <c r="B16" s="36" t="s">
        <v>21</v>
      </c>
      <c r="C16" s="36" t="s">
        <v>22</v>
      </c>
      <c r="D16" s="37">
        <v>9.7999999999999997E-3</v>
      </c>
      <c r="E16" s="38">
        <f>'Dec 11'!$D16*$C$6*$C$2</f>
        <v>1153012.5873503999</v>
      </c>
      <c r="F16" s="38">
        <v>37.5399964745285</v>
      </c>
      <c r="G16" s="39">
        <f>'Dec 11'!$E16/'Dec 11'!$F16</f>
        <v>30714.243357287945</v>
      </c>
      <c r="H16" s="36">
        <v>28365</v>
      </c>
      <c r="I16" s="36">
        <f>ROUND(Table1389584567991011121314456267891011121314151617181920213456789101112131415161718192021222334567891011121314151617181920345678910[[#This Row],[Target Quantity]],0)</f>
        <v>30714</v>
      </c>
      <c r="J16" s="40">
        <f t="shared" si="0"/>
        <v>2349</v>
      </c>
      <c r="K16" s="41">
        <f>'Dec 11'!$F16*'Dec 11'!$I16</f>
        <v>1153003.4517186685</v>
      </c>
      <c r="L16" s="42">
        <f>'Dec 11'!$K16/$K$2</f>
        <v>9.808673797196979E-3</v>
      </c>
      <c r="M16" s="36"/>
      <c r="O16" s="44"/>
    </row>
    <row r="17" spans="1:15" s="45" customFormat="1" ht="12.75" customHeight="1" x14ac:dyDescent="0.25">
      <c r="A17" s="36" t="s">
        <v>119</v>
      </c>
      <c r="B17" s="36" t="s">
        <v>37</v>
      </c>
      <c r="C17" s="36" t="s">
        <v>38</v>
      </c>
      <c r="D17" s="37">
        <v>4.8999999999999998E-3</v>
      </c>
      <c r="E17" s="38">
        <f>'Dec 11'!$D17*$C$6*$C$2</f>
        <v>576506.29367519997</v>
      </c>
      <c r="F17" s="38">
        <v>73.010040160642603</v>
      </c>
      <c r="G17" s="39">
        <f>'Dec 11'!$E17/'Dec 11'!$F17</f>
        <v>7896.2604650911589</v>
      </c>
      <c r="H17" s="36">
        <v>7470</v>
      </c>
      <c r="I17" s="36">
        <f>ROUND(Table1389584567991011121314456267891011121314151617181920213456789101112131415161718192021222334567891011121314151617181920345678910[[#This Row],[Target Quantity]],0)</f>
        <v>7896</v>
      </c>
      <c r="J17" s="40">
        <f t="shared" si="0"/>
        <v>426</v>
      </c>
      <c r="K17" s="41">
        <f>'Dec 11'!$F17*'Dec 11'!$I17</f>
        <v>576487.27710843401</v>
      </c>
      <c r="L17" s="42">
        <f>'Dec 11'!$K17/$K$2</f>
        <v>4.904213982154358E-3</v>
      </c>
      <c r="M17" s="36"/>
      <c r="O17" s="44"/>
    </row>
    <row r="18" spans="1:15" s="45" customFormat="1" ht="12.75" customHeight="1" x14ac:dyDescent="0.25">
      <c r="A18" s="36" t="s">
        <v>119</v>
      </c>
      <c r="B18" s="36" t="s">
        <v>23</v>
      </c>
      <c r="C18" s="36" t="s">
        <v>24</v>
      </c>
      <c r="D18" s="37">
        <v>9.7999999999999997E-3</v>
      </c>
      <c r="E18" s="38">
        <f>'Dec 11'!$D18*$C$6*$C$2</f>
        <v>1153012.5873503999</v>
      </c>
      <c r="F18" s="38">
        <v>253.449941656943</v>
      </c>
      <c r="G18" s="39">
        <f>'Dec 11'!$E18/'Dec 11'!$F18</f>
        <v>4549.2714648601477</v>
      </c>
      <c r="H18" s="36">
        <v>4285</v>
      </c>
      <c r="I18" s="36">
        <f>ROUND(Table1389584567991011121314456267891011121314151617181920213456789101112131415161718192021222334567891011121314151617181920345678910[[#This Row],[Target Quantity]],0)</f>
        <v>4549</v>
      </c>
      <c r="J18" s="40">
        <f t="shared" si="0"/>
        <v>264</v>
      </c>
      <c r="K18" s="41">
        <f>'Dec 11'!$F18*'Dec 11'!$I18</f>
        <v>1152943.7845974336</v>
      </c>
      <c r="L18" s="42">
        <f>'Dec 11'!$K18/$K$2</f>
        <v>9.8081662051965057E-3</v>
      </c>
      <c r="M18" s="36"/>
      <c r="O18" s="44"/>
    </row>
    <row r="19" spans="1:15" s="45" customFormat="1" ht="12.75" customHeight="1" x14ac:dyDescent="0.25">
      <c r="A19" s="36" t="s">
        <v>119</v>
      </c>
      <c r="B19" s="36" t="s">
        <v>15</v>
      </c>
      <c r="C19" s="36" t="s">
        <v>16</v>
      </c>
      <c r="D19" s="37">
        <v>4.8999999999999998E-3</v>
      </c>
      <c r="E19" s="38">
        <f>'Dec 11'!$D19*$C$6*$C$2</f>
        <v>576506.29367519997</v>
      </c>
      <c r="F19" s="38">
        <v>141.43009632908101</v>
      </c>
      <c r="G19" s="39">
        <f>'Dec 11'!$E19/'Dec 11'!$F19</f>
        <v>4076.2631762180176</v>
      </c>
      <c r="H19" s="36">
        <v>3841</v>
      </c>
      <c r="I19" s="36">
        <f>ROUND(Table1389584567991011121314456267891011121314151617181920213456789101112131415161718192021222334567891011121314151617181920345678910[[#This Row],[Target Quantity]],0)</f>
        <v>4076</v>
      </c>
      <c r="J19" s="40">
        <f t="shared" si="0"/>
        <v>235</v>
      </c>
      <c r="K19" s="41">
        <f>'Dec 11'!$F19*'Dec 11'!$I19</f>
        <v>576469.07263733423</v>
      </c>
      <c r="L19" s="42">
        <f>'Dec 11'!$K19/$K$2</f>
        <v>4.904059115559291E-3</v>
      </c>
      <c r="M19" s="36"/>
      <c r="O19" s="44"/>
    </row>
    <row r="20" spans="1:15" s="45" customFormat="1" ht="12.75" customHeight="1" x14ac:dyDescent="0.25">
      <c r="A20" s="36" t="s">
        <v>119</v>
      </c>
      <c r="B20" s="36" t="s">
        <v>27</v>
      </c>
      <c r="C20" s="36" t="s">
        <v>28</v>
      </c>
      <c r="D20" s="37">
        <v>9.7999999999999997E-3</v>
      </c>
      <c r="E20" s="38">
        <f>'Dec 11'!$D20*$C$6*$C$2</f>
        <v>1153012.5873503999</v>
      </c>
      <c r="F20" s="38">
        <v>42.649985760201801</v>
      </c>
      <c r="G20" s="39">
        <f>'Dec 11'!$E20/'Dec 11'!$F20</f>
        <v>27034.301812740967</v>
      </c>
      <c r="H20" s="36">
        <v>24579</v>
      </c>
      <c r="I20" s="36">
        <f>ROUND(Table1389584567991011121314456267891011121314151617181920213456789101112131415161718192021222334567891011121314151617181920345678910[[#This Row],[Target Quantity]],0)</f>
        <v>27034</v>
      </c>
      <c r="J20" s="40">
        <f t="shared" si="0"/>
        <v>2455</v>
      </c>
      <c r="K20" s="41">
        <f>'Dec 11'!$F20*'Dec 11'!$I20</f>
        <v>1152999.7150412954</v>
      </c>
      <c r="L20" s="42">
        <f>'Dec 11'!$K20/$K$2</f>
        <v>9.8086420090445822E-3</v>
      </c>
      <c r="M20" s="36"/>
      <c r="O20" s="91"/>
    </row>
    <row r="21" spans="1:15" s="45" customFormat="1" ht="12.75" customHeight="1" x14ac:dyDescent="0.25">
      <c r="A21" s="36" t="s">
        <v>119</v>
      </c>
      <c r="B21" s="36" t="s">
        <v>39</v>
      </c>
      <c r="C21" s="36" t="s">
        <v>40</v>
      </c>
      <c r="D21" s="37">
        <v>0.22866700000000001</v>
      </c>
      <c r="E21" s="38">
        <f>'Dec 11'!$D21*$C$6*$C$2</f>
        <v>26903666.256291218</v>
      </c>
      <c r="F21" s="38">
        <v>300.55999810563497</v>
      </c>
      <c r="G21" s="39">
        <f>'Dec 11'!$E21/'Dec 11'!$F21</f>
        <v>89511.799393995345</v>
      </c>
      <c r="H21" s="36">
        <v>84461</v>
      </c>
      <c r="I21" s="36">
        <f>ROUND(Table1389584567991011121314456267891011121314151617181920213456789101112131415161718192021222334567891011121314151617181920345678910[[#This Row],[Target Quantity]],0)</f>
        <v>89512</v>
      </c>
      <c r="J21" s="40">
        <f t="shared" si="0"/>
        <v>5051</v>
      </c>
      <c r="K21" s="41">
        <f>'Dec 11'!$F21*'Dec 11'!$I21</f>
        <v>26903726.550431598</v>
      </c>
      <c r="L21" s="42">
        <f>'Dec 11'!$K21/$K$2</f>
        <v>0.22887171523104852</v>
      </c>
      <c r="M21" s="36"/>
      <c r="O21" s="44"/>
    </row>
    <row r="22" spans="1:15" s="45" customFormat="1" ht="12.75" customHeight="1" x14ac:dyDescent="0.25">
      <c r="A22" s="36" t="s">
        <v>119</v>
      </c>
      <c r="B22" s="45" t="s">
        <v>11</v>
      </c>
      <c r="C22" s="36" t="s">
        <v>12</v>
      </c>
      <c r="D22" s="37">
        <v>2.3334000000000001E-2</v>
      </c>
      <c r="E22" s="38">
        <f>'Dec 11'!$D22*$C$6*$C$2</f>
        <v>2745346.5013504326</v>
      </c>
      <c r="F22" s="38">
        <v>2.46145742046104</v>
      </c>
      <c r="G22" s="39">
        <f>'Dec 11'!$E22/'Dec 11'!$F22</f>
        <v>1115333.736236729</v>
      </c>
      <c r="H22" s="36">
        <v>1049800</v>
      </c>
      <c r="I22" s="36">
        <f>ROUND(Table1389584567991011121314456267891011121314151617181920213456789101112131415161718192021222334567891011121314151617181920345678910[[#This Row],[Target Quantity]],-2)</f>
        <v>1115300</v>
      </c>
      <c r="J22" s="40">
        <f t="shared" si="0"/>
        <v>65500</v>
      </c>
      <c r="K22" s="41">
        <f>'Dec 11'!$F22*'Dec 11'!$I22</f>
        <v>2745263.4610401979</v>
      </c>
      <c r="L22" s="42">
        <f>'Dec 11'!$K22/$K$2</f>
        <v>2.3354131105652175E-2</v>
      </c>
      <c r="M22" s="36"/>
      <c r="O22" s="44"/>
    </row>
    <row r="23" spans="1:15" s="45" customFormat="1" ht="12.75" customHeight="1" x14ac:dyDescent="0.25">
      <c r="A23" s="36"/>
      <c r="B23" s="36"/>
      <c r="C23" s="36"/>
      <c r="D23" s="37"/>
      <c r="E23" s="38"/>
      <c r="F23" s="38"/>
      <c r="G23" s="39"/>
      <c r="H23" s="36"/>
      <c r="I23" s="36"/>
      <c r="J23" s="46"/>
      <c r="K23" s="38"/>
      <c r="L23" s="47"/>
      <c r="M23" s="36"/>
      <c r="O23" s="91"/>
    </row>
    <row r="24" spans="1:15" s="54" customFormat="1" ht="12.75" customHeight="1" x14ac:dyDescent="0.25">
      <c r="A24" s="48" t="s">
        <v>136</v>
      </c>
      <c r="B24" s="48"/>
      <c r="C24" s="48"/>
      <c r="D24" s="49">
        <f>SUM(D9:D23)</f>
        <v>0.35000100000000006</v>
      </c>
      <c r="E24" s="50">
        <f>'Dec 11'!$D24*$C$6*$C$2</f>
        <v>41179138.631145656</v>
      </c>
      <c r="F24" s="51"/>
      <c r="G24" s="51"/>
      <c r="H24" s="48"/>
      <c r="I24" s="48"/>
      <c r="J24" s="52"/>
      <c r="K24" s="50">
        <f>SUM(K9:K23)</f>
        <v>41178795.292167865</v>
      </c>
      <c r="L24" s="53">
        <f>'Dec 11'!$K24/$K$2</f>
        <v>0.35031063417924502</v>
      </c>
      <c r="M24" s="48"/>
      <c r="O24" s="90"/>
    </row>
    <row r="25" spans="1:15" s="45" customFormat="1" ht="12.75" customHeight="1" x14ac:dyDescent="0.25">
      <c r="A25" s="36"/>
      <c r="B25" s="36"/>
      <c r="C25" s="36"/>
      <c r="D25" s="37"/>
      <c r="E25" s="38"/>
      <c r="F25" s="38"/>
      <c r="G25" s="39"/>
      <c r="H25" s="36"/>
      <c r="I25" s="36"/>
      <c r="J25" s="46"/>
      <c r="K25" s="38"/>
      <c r="L25" s="42"/>
      <c r="M25" s="36"/>
      <c r="O25" s="89"/>
    </row>
    <row r="26" spans="1:15" s="44" customFormat="1" ht="12.75" customHeight="1" x14ac:dyDescent="0.25">
      <c r="A26" s="55"/>
      <c r="B26" s="48" t="s">
        <v>31</v>
      </c>
      <c r="C26" s="55" t="s">
        <v>32</v>
      </c>
      <c r="D26" s="56">
        <v>0.04</v>
      </c>
      <c r="E26" s="57">
        <f>'Dec 11'!$D26*$C$6*$C$2</f>
        <v>4706173.8259199997</v>
      </c>
      <c r="F26" s="51">
        <v>17.540001254203499</v>
      </c>
      <c r="G26" s="58">
        <f>'Dec 11'!$E26/'Dec 11'!$F26</f>
        <v>268310.91729780548</v>
      </c>
      <c r="H26" s="55">
        <v>255142</v>
      </c>
      <c r="I26" s="55">
        <f>ROUND(Table1389584567991011121314456267891011121314151617181920213456789101112131415161718192021222334567891011121314151617181920345678910[[#This Row],[Target Quantity]],0)</f>
        <v>268311</v>
      </c>
      <c r="J26" s="59">
        <f>I26-H26</f>
        <v>13169</v>
      </c>
      <c r="K26" s="60">
        <f>'Dec 11'!$F26*'Dec 11'!$I26</f>
        <v>4706175.2765165949</v>
      </c>
      <c r="L26" s="53">
        <f>'Dec 11'!$K26/$K$2</f>
        <v>4.0035732808064384E-2</v>
      </c>
      <c r="M26" s="48"/>
      <c r="O26" s="61"/>
    </row>
    <row r="27" spans="1:15" s="44" customFormat="1" ht="12.75" customHeight="1" x14ac:dyDescent="0.25">
      <c r="A27" s="36"/>
      <c r="B27" s="36"/>
      <c r="C27" s="36"/>
      <c r="D27" s="37"/>
      <c r="E27" s="38"/>
      <c r="F27" s="38"/>
      <c r="G27" s="39"/>
      <c r="H27" s="36"/>
      <c r="I27" s="36"/>
      <c r="J27" s="46"/>
      <c r="K27" s="41"/>
      <c r="L27" s="42"/>
      <c r="M27" s="36"/>
      <c r="O27" s="61"/>
    </row>
    <row r="28" spans="1:15" s="4" customFormat="1" ht="25.5" x14ac:dyDescent="0.2">
      <c r="A28" s="36" t="s">
        <v>137</v>
      </c>
      <c r="B28" s="62" t="s">
        <v>75</v>
      </c>
      <c r="C28" s="63" t="s">
        <v>76</v>
      </c>
      <c r="D28" s="37">
        <v>5.8999999999999997E-2</v>
      </c>
      <c r="E28" s="38">
        <f>'Dec 11'!$D28*$C$6*$C$2</f>
        <v>6941606.393232001</v>
      </c>
      <c r="F28" s="38">
        <v>156661.69047619001</v>
      </c>
      <c r="G28" s="39">
        <f>'Dec 11'!$E28/'Dec 11'!$F28</f>
        <v>44.309533314317264</v>
      </c>
      <c r="H28" s="36">
        <v>42</v>
      </c>
      <c r="I28" s="36">
        <f>ROUND(Table1389584567991011121314456267891011121314151617181920213456789101112131415161718192021222334567891011121314151617181920345678910[[#This Row],[Target Quantity]],0)</f>
        <v>44</v>
      </c>
      <c r="J28" s="40">
        <f t="shared" ref="J28:J37" si="1">I28-H28</f>
        <v>2</v>
      </c>
      <c r="K28" s="41">
        <f>'Dec 11'!$F28*'Dec 11'!$I28</f>
        <v>6893114.3809523601</v>
      </c>
      <c r="L28" s="42">
        <f>'Dec 11'!$K28/$K$2</f>
        <v>5.8640163053064666E-2</v>
      </c>
      <c r="M28" s="64"/>
    </row>
    <row r="29" spans="1:15" s="4" customFormat="1" ht="25.5" x14ac:dyDescent="0.2">
      <c r="A29" s="36" t="s">
        <v>137</v>
      </c>
      <c r="B29" s="62" t="s">
        <v>80</v>
      </c>
      <c r="C29" s="63" t="s">
        <v>81</v>
      </c>
      <c r="D29" s="37">
        <v>5.8999999999999997E-2</v>
      </c>
      <c r="E29" s="38">
        <f>'Dec 11'!$D29*$C$6*$C$2</f>
        <v>6941606.393232001</v>
      </c>
      <c r="F29" s="38">
        <v>214768.74193548399</v>
      </c>
      <c r="G29" s="39">
        <f>'Dec 11'!$E29/'Dec 11'!$F29</f>
        <v>32.321306772459664</v>
      </c>
      <c r="H29" s="36">
        <v>31</v>
      </c>
      <c r="I29" s="36">
        <f>ROUND(Table1389584567991011121314456267891011121314151617181920213456789101112131415161718192021222334567891011121314151617181920345678910[[#This Row],[Target Quantity]],0)</f>
        <v>32</v>
      </c>
      <c r="J29" s="40">
        <f t="shared" si="1"/>
        <v>1</v>
      </c>
      <c r="K29" s="41">
        <f>'Dec 11'!$F29*'Dec 11'!$I29</f>
        <v>6872599.7419354878</v>
      </c>
      <c r="L29" s="42">
        <f>'Dec 11'!$K29/$K$2</f>
        <v>5.8465643712395036E-2</v>
      </c>
      <c r="M29" s="64"/>
    </row>
    <row r="30" spans="1:15" s="4" customFormat="1" ht="25.5" x14ac:dyDescent="0.2">
      <c r="A30" s="36" t="s">
        <v>137</v>
      </c>
      <c r="B30" s="62" t="s">
        <v>82</v>
      </c>
      <c r="C30" s="63" t="s">
        <v>83</v>
      </c>
      <c r="D30" s="37">
        <v>5.8999999999999997E-2</v>
      </c>
      <c r="E30" s="38">
        <f>'Dec 11'!$D30*$C$6*$C$2</f>
        <v>6941606.393232001</v>
      </c>
      <c r="F30" s="38">
        <v>174062.5</v>
      </c>
      <c r="G30" s="39">
        <f>'Dec 11'!$E30/'Dec 11'!$F30</f>
        <v>39.879964916234115</v>
      </c>
      <c r="H30" s="36">
        <v>38</v>
      </c>
      <c r="I30" s="36">
        <f>ROUND(Table1389584567991011121314456267891011121314151617181920213456789101112131415161718192021222334567891011121314151617181920345678910[[#This Row],[Target Quantity]],0)</f>
        <v>40</v>
      </c>
      <c r="J30" s="40">
        <f t="shared" si="1"/>
        <v>2</v>
      </c>
      <c r="K30" s="41">
        <f>'Dec 11'!$F30*'Dec 11'!$I30</f>
        <v>6962500</v>
      </c>
      <c r="L30" s="42">
        <f>'Dec 11'!$K30/$K$2</f>
        <v>5.9230430933390962E-2</v>
      </c>
      <c r="M30" s="64"/>
    </row>
    <row r="31" spans="1:15" s="4" customFormat="1" ht="25.5" x14ac:dyDescent="0.2">
      <c r="A31" s="36" t="s">
        <v>137</v>
      </c>
      <c r="B31" s="62" t="s">
        <v>84</v>
      </c>
      <c r="C31" s="63" t="s">
        <v>85</v>
      </c>
      <c r="D31" s="37">
        <v>5.8999999999999997E-2</v>
      </c>
      <c r="E31" s="38">
        <f>'Dec 11'!$D31*$C$6*$C$2</f>
        <v>6941606.393232001</v>
      </c>
      <c r="F31" s="38">
        <v>126043.92307692301</v>
      </c>
      <c r="G31" s="39">
        <f>'Dec 11'!$E31/'Dec 11'!$F31</f>
        <v>55.072916042097695</v>
      </c>
      <c r="H31" s="36">
        <v>52</v>
      </c>
      <c r="I31" s="36">
        <f>ROUND(Table1389584567991011121314456267891011121314151617181920213456789101112131415161718192021222334567891011121314151617181920345678910[[#This Row],[Target Quantity]],0)</f>
        <v>55</v>
      </c>
      <c r="J31" s="40">
        <f t="shared" si="1"/>
        <v>3</v>
      </c>
      <c r="K31" s="41">
        <f>'Dec 11'!$F31*'Dec 11'!$I31</f>
        <v>6932415.7692307653</v>
      </c>
      <c r="L31" s="42">
        <f>'Dec 11'!$K31/$K$2</f>
        <v>5.8974502466208001E-2</v>
      </c>
      <c r="M31" s="64"/>
    </row>
    <row r="32" spans="1:15" s="4" customFormat="1" ht="25.5" x14ac:dyDescent="0.2">
      <c r="A32" s="36" t="s">
        <v>137</v>
      </c>
      <c r="B32" s="62" t="s">
        <v>86</v>
      </c>
      <c r="C32" s="63" t="s">
        <v>87</v>
      </c>
      <c r="D32" s="37">
        <v>5.8999999999999997E-2</v>
      </c>
      <c r="E32" s="38">
        <f>'Dec 11'!$D32*$C$6*$C$2</f>
        <v>6941606.393232001</v>
      </c>
      <c r="F32" s="38">
        <v>138101.70833333299</v>
      </c>
      <c r="G32" s="39">
        <f>'Dec 11'!$E32/'Dec 11'!$F32</f>
        <v>50.264449853706381</v>
      </c>
      <c r="H32" s="36">
        <v>48</v>
      </c>
      <c r="I32" s="36">
        <f>ROUND(Table1389584567991011121314456267891011121314151617181920213456789101112131415161718192021222334567891011121314151617181920345678910[[#This Row],[Target Quantity]],0)</f>
        <v>50</v>
      </c>
      <c r="J32" s="40">
        <f t="shared" si="1"/>
        <v>2</v>
      </c>
      <c r="K32" s="41">
        <f>'Dec 11'!$F32*'Dec 11'!$I32</f>
        <v>6905085.4166666493</v>
      </c>
      <c r="L32" s="42">
        <f>'Dec 11'!$K32/$K$2</f>
        <v>5.8742001416307234E-2</v>
      </c>
      <c r="M32" s="64"/>
    </row>
    <row r="33" spans="1:16" s="4" customFormat="1" ht="25.5" x14ac:dyDescent="0.2">
      <c r="A33" s="36" t="s">
        <v>137</v>
      </c>
      <c r="B33" s="62" t="s">
        <v>92</v>
      </c>
      <c r="C33" s="63" t="s">
        <v>93</v>
      </c>
      <c r="D33" s="37">
        <v>5.8999999999999997E-2</v>
      </c>
      <c r="E33" s="38">
        <f>'Dec 11'!$D33*$C$6*$C$2</f>
        <v>6941606.393232001</v>
      </c>
      <c r="F33" s="38">
        <v>220903.433333333</v>
      </c>
      <c r="G33" s="39">
        <f>'Dec 11'!$E33/'Dec 11'!$F33</f>
        <v>31.423714373680376</v>
      </c>
      <c r="H33" s="36">
        <v>30</v>
      </c>
      <c r="I33" s="36">
        <f>ROUND(Table1389584567991011121314456267891011121314151617181920213456789101112131415161718192021222334567891011121314151617181920345678910[[#This Row],[Target Quantity]],0)</f>
        <v>31</v>
      </c>
      <c r="J33" s="40">
        <f t="shared" si="1"/>
        <v>1</v>
      </c>
      <c r="K33" s="41">
        <f>'Dec 11'!$F33*'Dec 11'!$I33</f>
        <v>6848006.4333333233</v>
      </c>
      <c r="L33" s="42">
        <f>'Dec 11'!$K33/$K$2</f>
        <v>5.8256426869797685E-2</v>
      </c>
      <c r="M33" s="64"/>
    </row>
    <row r="34" spans="1:16" s="44" customFormat="1" ht="25.5" customHeight="1" x14ac:dyDescent="0.2">
      <c r="A34" s="36" t="s">
        <v>138</v>
      </c>
      <c r="B34" s="36" t="s">
        <v>54</v>
      </c>
      <c r="C34" s="36" t="s">
        <v>55</v>
      </c>
      <c r="D34" s="37">
        <v>5.8999999999999997E-2</v>
      </c>
      <c r="E34" s="38">
        <f>'Dec 11'!$D34*$C$6*$C$2</f>
        <v>6941606.393232001</v>
      </c>
      <c r="F34" s="38">
        <v>116351.596491228</v>
      </c>
      <c r="G34" s="39">
        <f>'Dec 11'!$E34/'Dec 11'!$F34</f>
        <v>59.660602884424911</v>
      </c>
      <c r="H34" s="36">
        <v>57</v>
      </c>
      <c r="I34" s="36">
        <f>ROUND(Table1389584567991011121314456267891011121314151617181920213456789101112131415161718192021222334567891011121314151617181920345678910[[#This Row],[Target Quantity]],0)</f>
        <v>60</v>
      </c>
      <c r="J34" s="40">
        <f t="shared" si="1"/>
        <v>3</v>
      </c>
      <c r="K34" s="41">
        <f>'Dec 11'!$F34*'Dec 11'!$I34</f>
        <v>6981095.7894736798</v>
      </c>
      <c r="L34" s="42">
        <f>'Dec 11'!$K34/$K$2</f>
        <v>5.9388626498787393E-2</v>
      </c>
      <c r="M34" s="43"/>
      <c r="O34" s="4"/>
    </row>
    <row r="35" spans="1:16" s="44" customFormat="1" ht="25.5" x14ac:dyDescent="0.2">
      <c r="A35" s="36" t="s">
        <v>138</v>
      </c>
      <c r="B35" s="36" t="s">
        <v>52</v>
      </c>
      <c r="C35" s="36" t="s">
        <v>53</v>
      </c>
      <c r="D35" s="37">
        <v>5.8999999999999997E-2</v>
      </c>
      <c r="E35" s="38">
        <f>'Dec 11'!$D35*$C$6*$C$2</f>
        <v>6941606.393232001</v>
      </c>
      <c r="F35" s="38">
        <v>137275.95833333299</v>
      </c>
      <c r="G35" s="39">
        <f>'Dec 11'!$E35/'Dec 11'!$F35</f>
        <v>50.566803375551146</v>
      </c>
      <c r="H35" s="36">
        <v>48</v>
      </c>
      <c r="I35" s="36">
        <f>ROUND(Table1389584567991011121314456267891011121314151617181920213456789101112131415161718192021222334567891011121314151617181920345678910[[#This Row],[Target Quantity]],0)</f>
        <v>51</v>
      </c>
      <c r="J35" s="40">
        <f t="shared" si="1"/>
        <v>3</v>
      </c>
      <c r="K35" s="41">
        <f>'Dec 11'!$F35*'Dec 11'!$I35</f>
        <v>7001073.8749999823</v>
      </c>
      <c r="L35" s="42">
        <f>'Dec 11'!$K35/$K$2</f>
        <v>5.9558581344740291E-2</v>
      </c>
      <c r="M35" s="43"/>
      <c r="O35" s="4"/>
    </row>
    <row r="36" spans="1:16" s="44" customFormat="1" ht="24.95" customHeight="1" x14ac:dyDescent="0.2">
      <c r="A36" s="36" t="s">
        <v>138</v>
      </c>
      <c r="B36" s="36" t="s">
        <v>48</v>
      </c>
      <c r="C36" s="36" t="s">
        <v>49</v>
      </c>
      <c r="D36" s="37">
        <v>5.8999999999999997E-2</v>
      </c>
      <c r="E36" s="38">
        <f>'Dec 11'!$D36*$C$6*$C$2</f>
        <v>6941606.393232001</v>
      </c>
      <c r="F36" s="38">
        <v>184410.41666666701</v>
      </c>
      <c r="G36" s="39">
        <f>'Dec 11'!$E36/'Dec 11'!$F36</f>
        <v>37.642159909976101</v>
      </c>
      <c r="H36" s="36">
        <v>36</v>
      </c>
      <c r="I36" s="36">
        <f>ROUND(Table1389584567991011121314456267891011121314151617181920213456789101112131415161718192021222334567891011121314151617181920345678910[[#This Row],[Target Quantity]],0)</f>
        <v>38</v>
      </c>
      <c r="J36" s="40">
        <f t="shared" si="1"/>
        <v>2</v>
      </c>
      <c r="K36" s="41">
        <f>'Dec 11'!$F36*'Dec 11'!$I36</f>
        <v>7007595.8333333461</v>
      </c>
      <c r="L36" s="42">
        <f>'Dec 11'!$K36/$K$2</f>
        <v>5.961406405965803E-2</v>
      </c>
      <c r="M36" s="43"/>
      <c r="O36" s="4"/>
    </row>
    <row r="37" spans="1:16" s="44" customFormat="1" ht="25.5" x14ac:dyDescent="0.2">
      <c r="A37" s="36" t="s">
        <v>138</v>
      </c>
      <c r="B37" s="36" t="s">
        <v>58</v>
      </c>
      <c r="C37" s="36" t="s">
        <v>59</v>
      </c>
      <c r="D37" s="37">
        <v>5.8999999999999997E-2</v>
      </c>
      <c r="E37" s="38">
        <f>'Dec 11'!$D37*$C$6*$C$2</f>
        <v>6941606.393232001</v>
      </c>
      <c r="F37" s="38">
        <v>276547.875</v>
      </c>
      <c r="G37" s="39">
        <f>'Dec 11'!$E37/'Dec 11'!$F37</f>
        <v>25.100921108983393</v>
      </c>
      <c r="H37" s="36">
        <v>24</v>
      </c>
      <c r="I37" s="36">
        <f>ROUND(Table1389584567991011121314456267891011121314151617181920213456789101112131415161718192021222334567891011121314151617181920345678910[[#This Row],[Target Quantity]],0)</f>
        <v>25</v>
      </c>
      <c r="J37" s="40">
        <f t="shared" si="1"/>
        <v>1</v>
      </c>
      <c r="K37" s="41">
        <f>'Dec 11'!$F37*'Dec 11'!$I37</f>
        <v>6913696.875</v>
      </c>
      <c r="L37" s="42">
        <f>'Dec 11'!$K37/$K$2</f>
        <v>5.8815259640802642E-2</v>
      </c>
      <c r="M37" s="43"/>
      <c r="O37" s="4"/>
    </row>
    <row r="38" spans="1:16" s="66" customFormat="1" ht="12.75" x14ac:dyDescent="0.2">
      <c r="A38" s="36"/>
      <c r="B38" s="63"/>
      <c r="C38" s="63"/>
      <c r="D38" s="37"/>
      <c r="E38" s="65"/>
      <c r="F38" s="38"/>
      <c r="G38" s="39"/>
      <c r="H38" s="36"/>
      <c r="I38" s="36"/>
      <c r="J38" s="46"/>
      <c r="K38" s="38"/>
      <c r="L38" s="47"/>
      <c r="M38" s="64"/>
    </row>
    <row r="39" spans="1:16" s="17" customFormat="1" ht="12.75" x14ac:dyDescent="0.2">
      <c r="A39" s="48" t="s">
        <v>142</v>
      </c>
      <c r="B39" s="67"/>
      <c r="C39" s="67"/>
      <c r="D39" s="56">
        <f>SUBTOTAL(9,D28:D38)</f>
        <v>0.58999999999999986</v>
      </c>
      <c r="E39" s="68">
        <f>'Dec 11'!$D39*$C$6*$C$2</f>
        <v>69416063.932319984</v>
      </c>
      <c r="F39" s="69"/>
      <c r="G39" s="70"/>
      <c r="H39" s="55"/>
      <c r="I39" s="55"/>
      <c r="J39" s="59"/>
      <c r="K39" s="68">
        <f>SUM(K28:K38)</f>
        <v>69317184.114925593</v>
      </c>
      <c r="L39" s="71">
        <f>'Dec 11'!$K39/$K$2</f>
        <v>0.58968569999515197</v>
      </c>
      <c r="M39" s="72"/>
    </row>
    <row r="40" spans="1:16" s="44" customFormat="1" ht="12.75" x14ac:dyDescent="0.25">
      <c r="A40" s="36"/>
      <c r="B40" s="36"/>
      <c r="C40" s="36"/>
      <c r="D40" s="37"/>
      <c r="E40" s="38"/>
      <c r="F40" s="38"/>
      <c r="G40" s="74"/>
      <c r="H40" s="36"/>
      <c r="I40" s="36"/>
      <c r="J40" s="40"/>
      <c r="K40" s="41"/>
      <c r="L40" s="42"/>
      <c r="M40" s="43"/>
    </row>
    <row r="41" spans="1:16" s="44" customFormat="1" ht="25.5" x14ac:dyDescent="0.25">
      <c r="A41" s="36" t="s">
        <v>154</v>
      </c>
      <c r="B41" s="36" t="s">
        <v>45</v>
      </c>
      <c r="C41" s="36" t="s">
        <v>46</v>
      </c>
      <c r="D41" s="37">
        <v>2E-3</v>
      </c>
      <c r="E41" s="38">
        <f>'Dec 11'!$D41*$C$6*$C$2</f>
        <v>235308.69129600003</v>
      </c>
      <c r="F41" s="38">
        <v>50926.6</v>
      </c>
      <c r="G41" s="74">
        <f>'Dec 11'!$E41/'Dec 11'!$F41</f>
        <v>4.6205458698597601</v>
      </c>
      <c r="H41" s="36">
        <v>5</v>
      </c>
      <c r="I41" s="36">
        <v>5</v>
      </c>
      <c r="J41" s="40">
        <f t="shared" ref="J41:J50" si="2">I41-H41</f>
        <v>0</v>
      </c>
      <c r="K41" s="41">
        <f>'Dec 11'!$F41*'Dec 11'!$I41</f>
        <v>254633</v>
      </c>
      <c r="L41" s="42">
        <f>'Dec 11'!$K41/$K$2</f>
        <v>2.1661791482746342E-3</v>
      </c>
      <c r="M41" s="43"/>
    </row>
    <row r="42" spans="1:16" s="44" customFormat="1" ht="25.5" x14ac:dyDescent="0.25">
      <c r="A42" s="36" t="s">
        <v>154</v>
      </c>
      <c r="B42" s="36" t="s">
        <v>156</v>
      </c>
      <c r="C42" s="36" t="s">
        <v>61</v>
      </c>
      <c r="D42" s="37">
        <v>2E-3</v>
      </c>
      <c r="E42" s="38">
        <f>'Dec 11'!$D42*$C$6*$C$2</f>
        <v>235308.69129600003</v>
      </c>
      <c r="F42" s="38">
        <v>88087.666666666701</v>
      </c>
      <c r="G42" s="74">
        <f>'Dec 11'!$E42/'Dec 11'!$F42</f>
        <v>2.6713012184376921</v>
      </c>
      <c r="H42" s="36">
        <v>3</v>
      </c>
      <c r="I42" s="36">
        <v>3</v>
      </c>
      <c r="J42" s="40">
        <f t="shared" si="2"/>
        <v>0</v>
      </c>
      <c r="K42" s="41">
        <f>'Dec 11'!$F42*'Dec 11'!$I42</f>
        <v>264263.00000000012</v>
      </c>
      <c r="L42" s="42">
        <f>'Dec 11'!$K42/$K$2</f>
        <v>2.2481021715979464E-3</v>
      </c>
      <c r="M42" s="43"/>
      <c r="P42" s="44" t="s">
        <v>157</v>
      </c>
    </row>
    <row r="43" spans="1:16" s="44" customFormat="1" ht="25.5" x14ac:dyDescent="0.25">
      <c r="A43" s="36" t="s">
        <v>154</v>
      </c>
      <c r="B43" s="36" t="s">
        <v>68</v>
      </c>
      <c r="C43" s="36" t="s">
        <v>69</v>
      </c>
      <c r="D43" s="37">
        <v>2E-3</v>
      </c>
      <c r="E43" s="38">
        <f>'Dec 11'!$D43*$C$6*$C$2</f>
        <v>235308.69129600003</v>
      </c>
      <c r="F43" s="38">
        <v>103753.5</v>
      </c>
      <c r="G43" s="74">
        <f>'Dec 11'!$E43/'Dec 11'!$F43</f>
        <v>2.2679590692940481</v>
      </c>
      <c r="H43" s="36">
        <v>2</v>
      </c>
      <c r="I43" s="36">
        <v>2</v>
      </c>
      <c r="J43" s="40">
        <f t="shared" si="2"/>
        <v>0</v>
      </c>
      <c r="K43" s="41">
        <f>'Dec 11'!$F43*'Dec 11'!$I43</f>
        <v>207507</v>
      </c>
      <c r="L43" s="42">
        <f>'Dec 11'!$K43/$K$2</f>
        <v>1.7652752648754267E-3</v>
      </c>
      <c r="M43" s="43"/>
    </row>
    <row r="44" spans="1:16" s="44" customFormat="1" ht="25.5" x14ac:dyDescent="0.25">
      <c r="A44" s="36" t="s">
        <v>154</v>
      </c>
      <c r="B44" s="36" t="s">
        <v>70</v>
      </c>
      <c r="C44" s="36" t="s">
        <v>71</v>
      </c>
      <c r="D44" s="37">
        <v>2E-3</v>
      </c>
      <c r="E44" s="38">
        <f>'Dec 11'!$D44*$C$6*$C$2</f>
        <v>235308.69129600003</v>
      </c>
      <c r="F44" s="38">
        <v>233022</v>
      </c>
      <c r="G44" s="74">
        <f>'Dec 11'!$E44/'Dec 11'!$F44</f>
        <v>1.0098131991657442</v>
      </c>
      <c r="H44" s="36">
        <v>1</v>
      </c>
      <c r="I44" s="36">
        <v>1</v>
      </c>
      <c r="J44" s="40">
        <f t="shared" si="2"/>
        <v>0</v>
      </c>
      <c r="K44" s="41">
        <f>'Dec 11'!$F44*'Dec 11'!$I44</f>
        <v>233022</v>
      </c>
      <c r="L44" s="42">
        <f>'Dec 11'!$K44/$K$2</f>
        <v>1.9823329948956019E-3</v>
      </c>
      <c r="M44" s="43"/>
    </row>
    <row r="45" spans="1:16" s="44" customFormat="1" ht="25.5" x14ac:dyDescent="0.25">
      <c r="A45" s="36" t="s">
        <v>154</v>
      </c>
      <c r="B45" s="36" t="s">
        <v>159</v>
      </c>
      <c r="C45" s="36" t="s">
        <v>73</v>
      </c>
      <c r="D45" s="37">
        <v>2E-3</v>
      </c>
      <c r="E45" s="38">
        <f>'Dec 11'!$D45*$C$6*$C$2</f>
        <v>235308.69129600003</v>
      </c>
      <c r="F45" s="38">
        <v>15499.4</v>
      </c>
      <c r="G45" s="74">
        <f>'Dec 11'!$E45/'Dec 11'!$F45</f>
        <v>15.181793572396353</v>
      </c>
      <c r="H45" s="36">
        <v>15</v>
      </c>
      <c r="I45" s="36">
        <v>15</v>
      </c>
      <c r="J45" s="40">
        <f t="shared" si="2"/>
        <v>0</v>
      </c>
      <c r="K45" s="41">
        <f>'Dec 11'!$F45*'Dec 11'!$I45</f>
        <v>232491</v>
      </c>
      <c r="L45" s="42">
        <f>'Dec 11'!$K45/$K$2</f>
        <v>1.97781574407684E-3</v>
      </c>
      <c r="M45" s="43"/>
    </row>
    <row r="46" spans="1:16" s="4" customFormat="1" ht="25.5" x14ac:dyDescent="0.2">
      <c r="A46" s="36" t="s">
        <v>154</v>
      </c>
      <c r="B46" s="63" t="s">
        <v>90</v>
      </c>
      <c r="C46" s="63" t="s">
        <v>91</v>
      </c>
      <c r="D46" s="37">
        <v>2E-3</v>
      </c>
      <c r="E46" s="38">
        <f>'Dec 11'!$D46*$C$6*$C$2</f>
        <v>235308.69129600003</v>
      </c>
      <c r="F46" s="38">
        <v>70679.666666666701</v>
      </c>
      <c r="G46" s="74">
        <f>'Dec 11'!$E46/'Dec 11'!$F46</f>
        <v>3.3292275189375529</v>
      </c>
      <c r="H46" s="36">
        <v>3</v>
      </c>
      <c r="I46" s="36">
        <v>3</v>
      </c>
      <c r="J46" s="40">
        <f t="shared" si="2"/>
        <v>0</v>
      </c>
      <c r="K46" s="41">
        <f>'Dec 11'!$F46*'Dec 11'!$I46</f>
        <v>212039.00000000012</v>
      </c>
      <c r="L46" s="42">
        <f>'Dec 11'!$K46/$K$2</f>
        <v>1.8038292775131479E-3</v>
      </c>
      <c r="M46" s="64"/>
    </row>
    <row r="47" spans="1:16" s="44" customFormat="1" ht="25.5" x14ac:dyDescent="0.25">
      <c r="A47" s="36" t="s">
        <v>154</v>
      </c>
      <c r="B47" s="36" t="s">
        <v>163</v>
      </c>
      <c r="C47" s="36" t="s">
        <v>67</v>
      </c>
      <c r="D47" s="37">
        <v>2E-3</v>
      </c>
      <c r="E47" s="38">
        <f>'Dec 11'!$D47*$C$6*$C$2</f>
        <v>235308.69129600003</v>
      </c>
      <c r="F47" s="38">
        <v>25411.8</v>
      </c>
      <c r="G47" s="74">
        <f>'Dec 11'!$E47/'Dec 11'!$F47</f>
        <v>9.2598198984723652</v>
      </c>
      <c r="H47" s="36">
        <v>10</v>
      </c>
      <c r="I47" s="36">
        <v>10</v>
      </c>
      <c r="J47" s="40">
        <f t="shared" si="2"/>
        <v>0</v>
      </c>
      <c r="K47" s="41">
        <f>'Dec 11'!$F47*'Dec 11'!$I47</f>
        <v>254118</v>
      </c>
      <c r="L47" s="42">
        <f>'Dec 11'!$K47/$K$2</f>
        <v>2.161798010474893E-3</v>
      </c>
      <c r="M47" s="43"/>
    </row>
    <row r="48" spans="1:16" s="44" customFormat="1" ht="25.5" x14ac:dyDescent="0.25">
      <c r="A48" s="36" t="s">
        <v>154</v>
      </c>
      <c r="B48" s="36" t="s">
        <v>77</v>
      </c>
      <c r="C48" s="36" t="s">
        <v>78</v>
      </c>
      <c r="D48" s="37">
        <v>2E-3</v>
      </c>
      <c r="E48" s="38">
        <f>'Dec 11'!$D48*$C$6*$C$2</f>
        <v>235308.69129600003</v>
      </c>
      <c r="F48" s="38">
        <v>7715</v>
      </c>
      <c r="G48" s="74">
        <f>'Dec 11'!$E48/'Dec 11'!$F48</f>
        <v>30.500154412961766</v>
      </c>
      <c r="H48" s="36">
        <v>30</v>
      </c>
      <c r="I48" s="36">
        <v>30</v>
      </c>
      <c r="J48" s="40">
        <f t="shared" si="2"/>
        <v>0</v>
      </c>
      <c r="K48" s="41">
        <f>'Dec 11'!$F48*'Dec 11'!$I48</f>
        <v>231450</v>
      </c>
      <c r="L48" s="42">
        <f>'Dec 11'!$K48/$K$2</f>
        <v>1.9689598907767811E-3</v>
      </c>
      <c r="M48" s="43"/>
    </row>
    <row r="49" spans="1:13" s="44" customFormat="1" ht="25.5" x14ac:dyDescent="0.25">
      <c r="A49" s="36" t="s">
        <v>154</v>
      </c>
      <c r="B49" s="36" t="s">
        <v>63</v>
      </c>
      <c r="C49" s="36" t="s">
        <v>64</v>
      </c>
      <c r="D49" s="37">
        <v>2E-3</v>
      </c>
      <c r="E49" s="38">
        <f>'Dec 11'!$D49*$C$6*$C$2</f>
        <v>235308.69129600003</v>
      </c>
      <c r="F49" s="38">
        <v>28184.5</v>
      </c>
      <c r="G49" s="74">
        <f>'Dec 11'!$E49/'Dec 11'!$F49</f>
        <v>8.3488687504124623</v>
      </c>
      <c r="H49" s="36">
        <v>8</v>
      </c>
      <c r="I49" s="36">
        <v>8</v>
      </c>
      <c r="J49" s="40">
        <f t="shared" si="2"/>
        <v>0</v>
      </c>
      <c r="K49" s="41">
        <f>'Dec 11'!$F49*'Dec 11'!$I49</f>
        <v>225476</v>
      </c>
      <c r="L49" s="42">
        <f>'Dec 11'!$K49/$K$2</f>
        <v>1.9181386922997861E-3</v>
      </c>
      <c r="M49" s="43"/>
    </row>
    <row r="50" spans="1:13" s="44" customFormat="1" ht="25.5" x14ac:dyDescent="0.25">
      <c r="A50" s="36" t="s">
        <v>154</v>
      </c>
      <c r="B50" s="36" t="s">
        <v>88</v>
      </c>
      <c r="C50" s="36" t="s">
        <v>89</v>
      </c>
      <c r="D50" s="37">
        <v>2E-3</v>
      </c>
      <c r="E50" s="38">
        <f>'Dec 11'!$D50*$C$6*$C$2</f>
        <v>235308.69129600003</v>
      </c>
      <c r="F50" s="38">
        <v>58054.75</v>
      </c>
      <c r="G50" s="74">
        <f>'Dec 11'!$E50/'Dec 11'!$F50</f>
        <v>4.0532203014568147</v>
      </c>
      <c r="H50" s="36">
        <v>4</v>
      </c>
      <c r="I50" s="36">
        <v>4</v>
      </c>
      <c r="J50" s="40">
        <f t="shared" si="2"/>
        <v>0</v>
      </c>
      <c r="K50" s="41">
        <f>'Dec 11'!$F50*'Dec 11'!$I50</f>
        <v>232219</v>
      </c>
      <c r="L50" s="42">
        <f>'Dec 11'!$K50/$K$2</f>
        <v>1.9755018227534814E-3</v>
      </c>
      <c r="M50" s="43"/>
    </row>
    <row r="51" spans="1:13" s="44" customFormat="1" ht="12.75" x14ac:dyDescent="0.25">
      <c r="A51" s="36"/>
      <c r="B51" s="36"/>
      <c r="C51" s="36"/>
      <c r="D51" s="37"/>
      <c r="E51" s="38"/>
      <c r="F51" s="38"/>
      <c r="G51" s="39"/>
      <c r="H51" s="36"/>
      <c r="I51" s="36"/>
      <c r="J51" s="43"/>
      <c r="K51" s="41"/>
      <c r="L51" s="42"/>
      <c r="M51" s="43"/>
    </row>
    <row r="52" spans="1:13" s="17" customFormat="1" ht="12.75" x14ac:dyDescent="0.2">
      <c r="A52" s="48" t="s">
        <v>164</v>
      </c>
      <c r="B52" s="67"/>
      <c r="C52" s="67"/>
      <c r="D52" s="75">
        <f>SUM(D41:D51)</f>
        <v>2.0000000000000004E-2</v>
      </c>
      <c r="E52" s="50">
        <f>SUM(E40:E51)</f>
        <v>2353086.9129600003</v>
      </c>
      <c r="F52" s="70"/>
      <c r="G52" s="70"/>
      <c r="H52" s="67"/>
      <c r="I52" s="67"/>
      <c r="J52" s="48"/>
      <c r="K52" s="50">
        <f>SUM(K40:K51)</f>
        <v>2347218</v>
      </c>
      <c r="L52" s="53">
        <f>'Dec 11'!$K52/$K$2</f>
        <v>1.9967933017538537E-2</v>
      </c>
      <c r="M52" s="60"/>
    </row>
    <row r="53" spans="1:13" s="4" customFormat="1" ht="12.75" x14ac:dyDescent="0.2">
      <c r="A53" s="36"/>
      <c r="B53" s="63"/>
      <c r="C53" s="63"/>
      <c r="D53" s="76"/>
      <c r="E53" s="38"/>
      <c r="F53" s="38"/>
      <c r="G53" s="39"/>
      <c r="H53" s="63"/>
      <c r="I53" s="63"/>
      <c r="J53" s="36"/>
      <c r="K53" s="36"/>
      <c r="L53" s="42"/>
      <c r="M53" s="64"/>
    </row>
    <row r="54" spans="1:13" s="44" customFormat="1" ht="25.5" x14ac:dyDescent="0.25">
      <c r="A54" s="48" t="s">
        <v>165</v>
      </c>
      <c r="B54" s="55" t="s">
        <v>166</v>
      </c>
      <c r="C54" s="55" t="s">
        <v>167</v>
      </c>
      <c r="D54" s="56">
        <v>0</v>
      </c>
      <c r="E54" s="57">
        <f>'Dec 11'!$D54*$C$6*$C$2</f>
        <v>0</v>
      </c>
      <c r="F54" s="57">
        <v>0</v>
      </c>
      <c r="G54" s="58" t="s">
        <v>168</v>
      </c>
      <c r="H54" s="55">
        <v>0</v>
      </c>
      <c r="I54" s="55">
        <v>0</v>
      </c>
      <c r="J54" s="77">
        <f>I54-H54</f>
        <v>0</v>
      </c>
      <c r="K54" s="57">
        <f>'Dec 11'!$F54*'Dec 11'!$I54</f>
        <v>0</v>
      </c>
      <c r="L54" s="78">
        <f>'Dec 11'!$K54/$K$2</f>
        <v>0</v>
      </c>
      <c r="M54" s="55"/>
    </row>
    <row r="55" spans="1:13" s="4" customFormat="1" ht="12.75" x14ac:dyDescent="0.2">
      <c r="A55" s="36"/>
      <c r="B55" s="63"/>
      <c r="C55" s="63"/>
      <c r="D55" s="76"/>
      <c r="E55" s="38"/>
      <c r="F55" s="38"/>
      <c r="G55" s="39"/>
      <c r="H55" s="63"/>
      <c r="I55" s="63"/>
      <c r="J55" s="36"/>
      <c r="K55" s="36"/>
      <c r="L55" s="42"/>
      <c r="M55" s="64"/>
    </row>
    <row r="56" spans="1:13" s="4" customFormat="1" ht="12.75" x14ac:dyDescent="0.2">
      <c r="A56" s="36"/>
      <c r="B56" s="63"/>
      <c r="C56" s="63"/>
      <c r="D56" s="79"/>
      <c r="E56" s="65"/>
      <c r="F56" s="38"/>
      <c r="G56" s="39"/>
      <c r="H56" s="63"/>
      <c r="I56" s="63"/>
      <c r="J56" s="36"/>
      <c r="K56" s="36"/>
      <c r="L56" s="42"/>
      <c r="M56" s="64"/>
    </row>
    <row r="57" spans="1:13" s="17" customFormat="1" ht="12.75" x14ac:dyDescent="0.2">
      <c r="A57" s="48" t="s">
        <v>169</v>
      </c>
      <c r="B57" s="67"/>
      <c r="C57" s="67"/>
      <c r="D57" s="67"/>
      <c r="E57" s="80"/>
      <c r="F57" s="80"/>
      <c r="G57" s="48"/>
      <c r="H57" s="67"/>
      <c r="I57" s="67"/>
      <c r="J57" s="67"/>
      <c r="K57" s="80">
        <f>SUM(K24,K26,K39,K52,K54:K54)</f>
        <v>117549372.68361005</v>
      </c>
      <c r="L57" s="53">
        <f>'Dec 11'!$K57/$K$2</f>
        <v>0.99999999999999989</v>
      </c>
      <c r="M57" s="67"/>
    </row>
    <row r="58" spans="1:13" s="4" customFormat="1" ht="12.75" x14ac:dyDescent="0.2">
      <c r="A58" s="64"/>
      <c r="B58" s="64"/>
      <c r="C58" s="64"/>
      <c r="D58" s="81"/>
      <c r="E58" s="82"/>
      <c r="F58" s="38"/>
      <c r="G58" s="83"/>
      <c r="H58" s="64"/>
      <c r="I58" s="64"/>
      <c r="J58" s="64"/>
      <c r="K58" s="64"/>
      <c r="L58" s="42"/>
      <c r="M58" s="64"/>
    </row>
    <row r="59" spans="1:13" s="4" customFormat="1" ht="12.75" x14ac:dyDescent="0.2">
      <c r="A59" s="64"/>
      <c r="B59" s="64"/>
      <c r="C59" s="64"/>
      <c r="D59" s="81"/>
      <c r="E59" s="82"/>
      <c r="F59" s="38"/>
      <c r="G59" s="83"/>
      <c r="H59" s="64"/>
      <c r="I59" s="64"/>
      <c r="J59" s="64"/>
      <c r="K59" s="64"/>
      <c r="L59" s="42"/>
      <c r="M59" s="64"/>
    </row>
    <row r="60" spans="1:13" s="4" customFormat="1" ht="12.75" x14ac:dyDescent="0.2">
      <c r="A60" s="64"/>
      <c r="B60" s="64"/>
      <c r="C60" s="64"/>
      <c r="D60" s="81"/>
      <c r="E60" s="82"/>
      <c r="F60" s="38"/>
      <c r="G60" s="83"/>
      <c r="H60" s="64"/>
      <c r="I60" s="64"/>
      <c r="J60" s="64"/>
      <c r="K60" s="64"/>
      <c r="L60" s="42"/>
      <c r="M60" s="64"/>
    </row>
    <row r="61" spans="1:13" s="4" customFormat="1" ht="12.75" x14ac:dyDescent="0.2">
      <c r="A61" s="64"/>
      <c r="B61" s="64"/>
      <c r="C61" s="64"/>
      <c r="D61" s="81"/>
      <c r="E61" s="82"/>
      <c r="F61" s="38"/>
      <c r="G61" s="83"/>
      <c r="H61" s="64"/>
      <c r="I61" s="64"/>
      <c r="J61" s="64"/>
      <c r="K61" s="64"/>
      <c r="L61" s="42"/>
      <c r="M61" s="64"/>
    </row>
    <row r="62" spans="1:13" s="4" customFormat="1" ht="12.75" x14ac:dyDescent="0.2">
      <c r="A62" s="64"/>
      <c r="B62" s="64"/>
      <c r="C62" s="64"/>
      <c r="D62" s="81"/>
      <c r="E62" s="82"/>
      <c r="F62" s="38"/>
      <c r="G62" s="83"/>
      <c r="H62" s="64"/>
      <c r="I62" s="64"/>
      <c r="J62" s="64"/>
      <c r="K62" s="64"/>
      <c r="L62" s="42"/>
      <c r="M62" s="64"/>
    </row>
    <row r="63" spans="1:13" s="4" customFormat="1" ht="12.75" x14ac:dyDescent="0.2">
      <c r="A63" s="64"/>
      <c r="B63" s="64"/>
      <c r="C63" s="64"/>
      <c r="D63" s="81"/>
      <c r="E63" s="82"/>
      <c r="F63" s="38"/>
      <c r="G63" s="83"/>
      <c r="H63" s="64"/>
      <c r="I63" s="64"/>
      <c r="J63" s="64"/>
      <c r="K63" s="64"/>
      <c r="L63" s="42"/>
      <c r="M63" s="64"/>
    </row>
    <row r="64" spans="1:13" s="4" customFormat="1" ht="12.75" x14ac:dyDescent="0.2">
      <c r="A64" s="64"/>
      <c r="B64" s="64"/>
      <c r="C64" s="64"/>
      <c r="D64" s="81"/>
      <c r="E64" s="82"/>
      <c r="F64" s="38"/>
      <c r="G64" s="83"/>
      <c r="H64" s="64"/>
      <c r="I64" s="64"/>
      <c r="J64" s="64"/>
      <c r="K64" s="64"/>
      <c r="L64" s="42"/>
      <c r="M64" s="64"/>
    </row>
    <row r="65" spans="1:13" s="4" customFormat="1" ht="12.75" x14ac:dyDescent="0.2">
      <c r="A65" s="64"/>
      <c r="B65" s="64"/>
      <c r="C65" s="64"/>
      <c r="D65" s="81"/>
      <c r="E65" s="82"/>
      <c r="F65" s="38"/>
      <c r="G65" s="83"/>
      <c r="H65" s="64"/>
      <c r="I65" s="64"/>
      <c r="J65" s="64"/>
      <c r="K65" s="64"/>
      <c r="L65" s="42"/>
      <c r="M65" s="64"/>
    </row>
    <row r="66" spans="1:13" s="4" customFormat="1" ht="12.75" x14ac:dyDescent="0.2">
      <c r="A66" s="64"/>
      <c r="B66" s="64"/>
      <c r="C66" s="64"/>
      <c r="D66" s="81"/>
      <c r="E66" s="82"/>
      <c r="F66" s="38"/>
      <c r="G66" s="83"/>
      <c r="H66" s="64"/>
      <c r="I66" s="64"/>
      <c r="J66" s="64"/>
      <c r="K66" s="64"/>
      <c r="L66" s="42"/>
      <c r="M66" s="64"/>
    </row>
    <row r="67" spans="1:13" s="4" customFormat="1" ht="12.75" x14ac:dyDescent="0.2"/>
    <row r="68" spans="1:13" s="4" customFormat="1" ht="12.75" x14ac:dyDescent="0.2"/>
    <row r="70" spans="1:13" s="4" customFormat="1" ht="12.75" x14ac:dyDescent="0.2">
      <c r="A70" s="84"/>
      <c r="B70" s="84"/>
      <c r="E70" s="84"/>
      <c r="F70" s="84"/>
      <c r="G70" s="84"/>
      <c r="H70" s="85"/>
      <c r="M70" s="84"/>
    </row>
    <row r="71" spans="1:13" s="4" customFormat="1" ht="12.75" x14ac:dyDescent="0.2">
      <c r="A71" s="84"/>
      <c r="B71" s="84"/>
      <c r="E71" s="84"/>
      <c r="F71" s="84"/>
      <c r="G71" s="84"/>
      <c r="H71" s="85"/>
      <c r="M71" s="84"/>
    </row>
    <row r="72" spans="1:13" s="4" customFormat="1" ht="12.75" x14ac:dyDescent="0.2">
      <c r="A72" s="86"/>
      <c r="B72" s="86"/>
    </row>
    <row r="73" spans="1:13" s="4" customFormat="1" ht="12.75" x14ac:dyDescent="0.2">
      <c r="A73" s="87"/>
      <c r="B73" s="87"/>
      <c r="E73" s="87"/>
      <c r="F73" s="86"/>
      <c r="G73" s="86"/>
      <c r="M73" s="88"/>
    </row>
    <row r="74" spans="1:13" s="4" customFormat="1" ht="12.75" x14ac:dyDescent="0.2"/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H76"/>
  <sheetViews>
    <sheetView zoomScale="140" zoomScaleNormal="140" workbookViewId="0">
      <pane xSplit="2" topLeftCell="F1" activePane="topRight" state="frozen"/>
      <selection pane="topRight" activeCell="I3" sqref="I3"/>
    </sheetView>
  </sheetViews>
  <sheetFormatPr defaultColWidth="9.140625" defaultRowHeight="15" x14ac:dyDescent="0.25"/>
  <cols>
    <col min="1" max="2" width="15.140625" style="4" customWidth="1"/>
    <col min="3" max="3" width="29.28515625" style="4" customWidth="1"/>
    <col min="4" max="4" width="14.85546875" style="4" customWidth="1"/>
    <col min="5" max="5" width="27.42578125" style="4" customWidth="1"/>
    <col min="6" max="7" width="13.7109375" style="4" customWidth="1"/>
    <col min="8" max="8" width="16.42578125" style="4" customWidth="1"/>
    <col min="9" max="9" width="15.42578125" style="4" customWidth="1"/>
    <col min="10" max="10" width="13.42578125" customWidth="1"/>
    <col min="11" max="11" width="23.42578125" customWidth="1"/>
    <col min="12" max="12" width="13.42578125" customWidth="1"/>
    <col min="13" max="13" width="22.42578125" style="4" customWidth="1"/>
    <col min="14" max="16" width="10.85546875" style="4" customWidth="1"/>
    <col min="17" max="17" width="11.28515625" style="4" customWidth="1"/>
    <col min="18" max="1022" width="9.140625" style="4"/>
  </cols>
  <sheetData>
    <row r="1" spans="1:17" s="4" customFormat="1" ht="25.5" x14ac:dyDescent="0.2">
      <c r="A1" s="5"/>
      <c r="B1" s="5" t="s">
        <v>95</v>
      </c>
      <c r="C1" s="6">
        <v>44179</v>
      </c>
      <c r="D1" s="7"/>
      <c r="E1" s="8" t="s">
        <v>96</v>
      </c>
      <c r="F1" s="9"/>
      <c r="G1" s="10"/>
      <c r="K1" s="11" t="s">
        <v>97</v>
      </c>
      <c r="L1" s="11" t="s">
        <v>98</v>
      </c>
      <c r="M1" s="12" t="s">
        <v>99</v>
      </c>
    </row>
    <row r="2" spans="1:17" x14ac:dyDescent="0.25">
      <c r="A2" s="5"/>
      <c r="B2" s="5" t="s">
        <v>100</v>
      </c>
      <c r="C2" s="13">
        <v>4.7</v>
      </c>
      <c r="D2" s="14"/>
      <c r="E2" s="15">
        <f>SUM(E26,E41,E54,E28,E56)</f>
        <v>131870806.39823236</v>
      </c>
      <c r="F2" s="16"/>
      <c r="G2" s="17"/>
      <c r="H2" s="14"/>
      <c r="I2" s="14"/>
      <c r="J2" s="14"/>
      <c r="K2" s="15">
        <f>SUM(K26,K41,K54,K28,K56:K56)</f>
        <v>131847154.01345223</v>
      </c>
      <c r="L2" s="18">
        <f>SUM(L54,L41,L26,L28,L56)</f>
        <v>1</v>
      </c>
      <c r="M2" s="19">
        <f>K2/$C$6</f>
        <v>4.6991711041542814</v>
      </c>
      <c r="N2" s="20"/>
    </row>
    <row r="3" spans="1:17" ht="26.25" x14ac:dyDescent="0.25">
      <c r="A3" s="5"/>
      <c r="B3" s="5" t="s">
        <v>101</v>
      </c>
      <c r="C3" s="21">
        <v>28057534.210000001</v>
      </c>
      <c r="D3" s="22"/>
      <c r="E3" s="8" t="s">
        <v>170</v>
      </c>
      <c r="F3" s="16"/>
      <c r="H3" s="14"/>
      <c r="I3" s="14"/>
      <c r="J3" s="14"/>
      <c r="K3" s="8" t="s">
        <v>102</v>
      </c>
      <c r="L3" s="14"/>
      <c r="M3" s="12" t="s">
        <v>171</v>
      </c>
      <c r="N3" s="23"/>
    </row>
    <row r="4" spans="1:17" x14ac:dyDescent="0.25">
      <c r="A4" s="5"/>
      <c r="B4" s="5" t="s">
        <v>104</v>
      </c>
      <c r="C4" s="21">
        <v>0</v>
      </c>
      <c r="D4" s="22"/>
      <c r="E4" s="15">
        <f>SUM(E26,E54,E28)</f>
        <v>54067264.033902369</v>
      </c>
      <c r="F4" s="16"/>
      <c r="G4" s="17"/>
      <c r="H4" s="14"/>
      <c r="I4" s="14"/>
      <c r="J4" s="14"/>
      <c r="K4" s="15">
        <f>SUM(K26,K28,K54)</f>
        <v>54064835.138102747</v>
      </c>
      <c r="L4" s="14"/>
      <c r="M4" s="19">
        <f>K4/$C$6</f>
        <v>1.9269275316015999</v>
      </c>
      <c r="N4" s="23"/>
    </row>
    <row r="5" spans="1:17" x14ac:dyDescent="0.25">
      <c r="A5" s="5"/>
      <c r="B5" s="5" t="s">
        <v>105</v>
      </c>
      <c r="C5" s="21">
        <v>0</v>
      </c>
      <c r="D5" s="22"/>
      <c r="E5" s="16"/>
      <c r="F5" s="16"/>
      <c r="G5" s="24">
        <f>SUM(D26,D28,D41,D54,D56:D56)</f>
        <v>1.0000029999999998</v>
      </c>
      <c r="H5" s="14"/>
      <c r="I5" s="14"/>
      <c r="J5" s="14"/>
      <c r="K5" s="14"/>
      <c r="L5" s="14"/>
      <c r="M5" s="14"/>
      <c r="N5" s="23"/>
    </row>
    <row r="6" spans="1:17" x14ac:dyDescent="0.25">
      <c r="A6" s="5"/>
      <c r="B6" s="5" t="s">
        <v>106</v>
      </c>
      <c r="C6" s="21">
        <f>C3+C4-C5</f>
        <v>28057534.210000001</v>
      </c>
      <c r="D6" s="22"/>
      <c r="E6" s="16"/>
      <c r="F6" s="16"/>
      <c r="G6" s="17"/>
      <c r="H6" s="14"/>
      <c r="I6" s="14"/>
      <c r="J6" s="14"/>
      <c r="K6" s="14"/>
      <c r="L6" s="14"/>
      <c r="M6" s="14"/>
      <c r="N6" s="23"/>
    </row>
    <row r="7" spans="1:17" x14ac:dyDescent="0.25">
      <c r="A7" s="25"/>
      <c r="B7" s="26"/>
      <c r="C7" s="26"/>
      <c r="D7" s="27"/>
      <c r="E7" s="28"/>
      <c r="F7" s="28"/>
      <c r="G7" s="28"/>
      <c r="H7" s="29"/>
      <c r="I7" s="29"/>
      <c r="J7" s="29"/>
      <c r="K7" s="14"/>
      <c r="L7" s="14"/>
      <c r="M7" s="14"/>
      <c r="N7" s="23"/>
    </row>
    <row r="8" spans="1:17" s="34" customFormat="1" ht="38.25" x14ac:dyDescent="0.2">
      <c r="A8" s="30" t="s">
        <v>107</v>
      </c>
      <c r="B8" s="30" t="s">
        <v>108</v>
      </c>
      <c r="C8" s="31" t="s">
        <v>1</v>
      </c>
      <c r="D8" s="31" t="s">
        <v>109</v>
      </c>
      <c r="E8" s="31" t="s">
        <v>110</v>
      </c>
      <c r="F8" s="31" t="s">
        <v>111</v>
      </c>
      <c r="G8" s="31" t="s">
        <v>112</v>
      </c>
      <c r="H8" s="31" t="s">
        <v>113</v>
      </c>
      <c r="I8" s="31" t="s">
        <v>114</v>
      </c>
      <c r="J8" s="31" t="s">
        <v>115</v>
      </c>
      <c r="K8" s="32" t="s">
        <v>116</v>
      </c>
      <c r="L8" s="32" t="s">
        <v>117</v>
      </c>
      <c r="M8" s="32" t="s">
        <v>118</v>
      </c>
      <c r="N8" s="33"/>
      <c r="Q8" s="35"/>
    </row>
    <row r="9" spans="1:17" s="44" customFormat="1" ht="12.75" customHeight="1" x14ac:dyDescent="0.25">
      <c r="A9" s="36" t="s">
        <v>119</v>
      </c>
      <c r="B9" s="36" t="s">
        <v>120</v>
      </c>
      <c r="C9" s="36" t="s">
        <v>121</v>
      </c>
      <c r="D9" s="37">
        <v>0</v>
      </c>
      <c r="E9" s="38">
        <f>'Dec 14'!$D9*$C$6*$C$2</f>
        <v>0</v>
      </c>
      <c r="F9" s="38">
        <v>615.24986709197196</v>
      </c>
      <c r="G9" s="39">
        <f>'Dec 14'!$E9/'Dec 14'!$F9</f>
        <v>0</v>
      </c>
      <c r="H9" s="36">
        <v>1881</v>
      </c>
      <c r="I9" s="36">
        <f>ROUND(Table138958456799101112131445626789101112131415161718192021345678910111213141516171819202122233456789101112131415161718192034567891011[[#This Row],[Target Quantity]],0)</f>
        <v>0</v>
      </c>
      <c r="J9" s="40">
        <f t="shared" ref="J9:J24" si="0">I9-H9</f>
        <v>-1881</v>
      </c>
      <c r="K9" s="41">
        <f>'Dec 14'!$F9*'Dec 14'!$I9</f>
        <v>0</v>
      </c>
      <c r="L9" s="42">
        <f>'Dec 14'!$K9/$K$2</f>
        <v>0</v>
      </c>
      <c r="M9" s="43"/>
    </row>
    <row r="10" spans="1:17" s="45" customFormat="1" ht="12.75" customHeight="1" x14ac:dyDescent="0.25">
      <c r="A10" s="36" t="s">
        <v>119</v>
      </c>
      <c r="B10" s="36" t="s">
        <v>43</v>
      </c>
      <c r="C10" s="36" t="s">
        <v>44</v>
      </c>
      <c r="D10" s="37">
        <v>8.0940000000000005E-3</v>
      </c>
      <c r="E10" s="38">
        <f>'Dec 14'!$D10*$C$6*$C$2</f>
        <v>1067359.1049099781</v>
      </c>
      <c r="F10" s="38">
        <v>393.06006825938601</v>
      </c>
      <c r="G10" s="39">
        <f>'Dec 14'!$E10/'Dec 14'!$F10</f>
        <v>2715.5114220496507</v>
      </c>
      <c r="H10" s="36">
        <v>2930</v>
      </c>
      <c r="I10" s="36">
        <f>ROUND(Table138958456799101112131445626789101112131415161718192021345678910111213141516171819202122233456789101112131415161718192034567891011[[#This Row],[Target Quantity]],0)</f>
        <v>2716</v>
      </c>
      <c r="J10" s="40">
        <f t="shared" si="0"/>
        <v>-214</v>
      </c>
      <c r="K10" s="41">
        <f>'Dec 14'!$F10*'Dec 14'!$I10</f>
        <v>1067551.1453924924</v>
      </c>
      <c r="L10" s="42">
        <f>'Dec 14'!$K10/$K$2</f>
        <v>8.0968842549576092E-3</v>
      </c>
      <c r="M10" s="36"/>
      <c r="O10" s="44"/>
    </row>
    <row r="11" spans="1:17" s="45" customFormat="1" ht="12.75" customHeight="1" x14ac:dyDescent="0.25">
      <c r="A11" s="36" t="s">
        <v>119</v>
      </c>
      <c r="B11" s="36" t="s">
        <v>25</v>
      </c>
      <c r="C11" s="36" t="s">
        <v>26</v>
      </c>
      <c r="D11" s="37">
        <v>8.0940000000000005E-3</v>
      </c>
      <c r="E11" s="38">
        <f>'Dec 14'!$D11*$C$6*$C$2</f>
        <v>1067359.1049099781</v>
      </c>
      <c r="F11" s="38">
        <v>294.19994969818902</v>
      </c>
      <c r="G11" s="39">
        <f>'Dec 14'!$E11/'Dec 14'!$F11</f>
        <v>3628.0057355718454</v>
      </c>
      <c r="H11" s="36">
        <v>3976</v>
      </c>
      <c r="I11" s="36">
        <f>ROUND(Table138958456799101112131445626789101112131415161718192021345678910111213141516171819202122233456789101112131415161718192034567891011[[#This Row],[Target Quantity]],0)</f>
        <v>3628</v>
      </c>
      <c r="J11" s="40">
        <f t="shared" si="0"/>
        <v>-348</v>
      </c>
      <c r="K11" s="41">
        <f>'Dec 14'!$F11*'Dec 14'!$I11</f>
        <v>1067357.4175050298</v>
      </c>
      <c r="L11" s="42">
        <f>'Dec 14'!$K11/$K$2</f>
        <v>8.095414918065872E-3</v>
      </c>
      <c r="M11" s="36"/>
      <c r="O11" s="44"/>
    </row>
    <row r="12" spans="1:17" s="45" customFormat="1" ht="12.75" customHeight="1" x14ac:dyDescent="0.25">
      <c r="A12" s="36" t="s">
        <v>119</v>
      </c>
      <c r="B12" s="36" t="s">
        <v>128</v>
      </c>
      <c r="C12" s="36" t="s">
        <v>129</v>
      </c>
      <c r="D12" s="37">
        <v>0</v>
      </c>
      <c r="E12" s="38">
        <f>'Dec 14'!$D12*$C$6*$C$2</f>
        <v>0</v>
      </c>
      <c r="F12" s="38">
        <v>24.8</v>
      </c>
      <c r="G12" s="39">
        <f>'Dec 14'!$E12/'Dec 14'!$F12</f>
        <v>0</v>
      </c>
      <c r="H12" s="36">
        <v>46530</v>
      </c>
      <c r="I12" s="36">
        <f>ROUND(Table138958456799101112131445626789101112131415161718192021345678910111213141516171819202122233456789101112131415161718192034567891011[[#This Row],[Target Quantity]],0)</f>
        <v>0</v>
      </c>
      <c r="J12" s="40">
        <f t="shared" si="0"/>
        <v>-46530</v>
      </c>
      <c r="K12" s="41">
        <f>'Dec 14'!$F12*'Dec 14'!$I12</f>
        <v>0</v>
      </c>
      <c r="L12" s="42">
        <f>'Dec 14'!$K12/$K$2</f>
        <v>0</v>
      </c>
      <c r="M12" s="36"/>
      <c r="O12" s="44"/>
    </row>
    <row r="13" spans="1:17" s="45" customFormat="1" ht="12.75" customHeight="1" x14ac:dyDescent="0.25">
      <c r="A13" s="36" t="s">
        <v>119</v>
      </c>
      <c r="B13" s="36" t="s">
        <v>33</v>
      </c>
      <c r="C13" s="36" t="s">
        <v>34</v>
      </c>
      <c r="D13" s="37">
        <v>8.0940000000000005E-3</v>
      </c>
      <c r="E13" s="38">
        <f>'Dec 14'!$D13*$C$6*$C$2</f>
        <v>1067359.1049099781</v>
      </c>
      <c r="F13" s="38">
        <v>39.539988615340803</v>
      </c>
      <c r="G13" s="39">
        <f>'Dec 14'!$E13/'Dec 14'!$F13</f>
        <v>26994.421149020312</v>
      </c>
      <c r="H13" s="36">
        <v>14054</v>
      </c>
      <c r="I13" s="36">
        <f>ROUND(Table138958456799101112131445626789101112131415161718192021345678910111213141516171819202122233456789101112131415161718192034567891011[[#This Row],[Target Quantity]],0)</f>
        <v>26994</v>
      </c>
      <c r="J13" s="40">
        <f t="shared" si="0"/>
        <v>12940</v>
      </c>
      <c r="K13" s="41">
        <f>'Dec 14'!$F13*'Dec 14'!$I13</f>
        <v>1067342.4526825096</v>
      </c>
      <c r="L13" s="42">
        <f>'Dec 14'!$K13/$K$2</f>
        <v>8.0953014167724074E-3</v>
      </c>
      <c r="M13" s="36"/>
      <c r="O13" s="44"/>
    </row>
    <row r="14" spans="1:17" s="45" customFormat="1" ht="12.75" customHeight="1" x14ac:dyDescent="0.25">
      <c r="A14" s="36" t="s">
        <v>119</v>
      </c>
      <c r="B14" s="36" t="s">
        <v>19</v>
      </c>
      <c r="C14" s="36" t="s">
        <v>20</v>
      </c>
      <c r="D14" s="37">
        <v>8.0940000000000005E-3</v>
      </c>
      <c r="E14" s="38">
        <f>'Dec 14'!$D14*$C$6*$C$2</f>
        <v>1067359.1049099781</v>
      </c>
      <c r="F14" s="38">
        <v>507.079805996473</v>
      </c>
      <c r="G14" s="39">
        <f>'Dec 14'!$E14/'Dec 14'!$F14</f>
        <v>2104.9134520600533</v>
      </c>
      <c r="H14" s="36">
        <v>2268</v>
      </c>
      <c r="I14" s="36">
        <f>ROUND(Table138958456799101112131445626789101112131415161718192021345678910111213141516171819202122233456789101112131415161718192034567891011[[#This Row],[Target Quantity]],0)</f>
        <v>2105</v>
      </c>
      <c r="J14" s="40">
        <f t="shared" si="0"/>
        <v>-163</v>
      </c>
      <c r="K14" s="41">
        <f>'Dec 14'!$F14*'Dec 14'!$I14</f>
        <v>1067402.9916225756</v>
      </c>
      <c r="L14" s="42">
        <f>'Dec 14'!$K14/$K$2</f>
        <v>8.0957605767786964E-3</v>
      </c>
      <c r="M14" s="36"/>
      <c r="O14" s="92"/>
    </row>
    <row r="15" spans="1:17" s="45" customFormat="1" ht="12.75" customHeight="1" x14ac:dyDescent="0.25">
      <c r="A15" s="36" t="s">
        <v>119</v>
      </c>
      <c r="B15" s="36" t="s">
        <v>29</v>
      </c>
      <c r="C15" s="36" t="s">
        <v>30</v>
      </c>
      <c r="D15" s="37">
        <v>8.0940000000000005E-3</v>
      </c>
      <c r="E15" s="38">
        <f>'Dec 14'!$D15*$C$6*$C$2</f>
        <v>1067359.1049099781</v>
      </c>
      <c r="F15" s="38">
        <v>20.849998124038599</v>
      </c>
      <c r="G15" s="39">
        <f>'Dec 14'!$E15/'Dec 14'!$F15</f>
        <v>51192.287815095158</v>
      </c>
      <c r="H15" s="36">
        <v>26653</v>
      </c>
      <c r="I15" s="36">
        <f>ROUND(Table138958456799101112131445626789101112131415161718192021345678910111213141516171819202122233456789101112131415161718192034567891011[[#This Row],[Target Quantity]],0)</f>
        <v>51192</v>
      </c>
      <c r="J15" s="40">
        <f t="shared" si="0"/>
        <v>24539</v>
      </c>
      <c r="K15" s="41">
        <f>'Dec 14'!$F15*'Dec 14'!$I15</f>
        <v>1067353.103965784</v>
      </c>
      <c r="L15" s="42">
        <f>'Dec 14'!$K15/$K$2</f>
        <v>8.0953822018553622E-3</v>
      </c>
      <c r="M15" s="36"/>
      <c r="O15" s="44"/>
    </row>
    <row r="16" spans="1:17" s="45" customFormat="1" ht="12.75" customHeight="1" x14ac:dyDescent="0.25">
      <c r="A16" s="36" t="s">
        <v>119</v>
      </c>
      <c r="B16" s="36" t="s">
        <v>21</v>
      </c>
      <c r="C16" s="36" t="s">
        <v>22</v>
      </c>
      <c r="D16" s="37">
        <v>8.0940000000000005E-3</v>
      </c>
      <c r="E16" s="38">
        <f>'Dec 14'!$D16*$C$6*$C$2</f>
        <v>1067359.1049099781</v>
      </c>
      <c r="F16" s="38">
        <v>37.159992185973799</v>
      </c>
      <c r="G16" s="39">
        <f>'Dec 14'!$E16/'Dec 14'!$F16</f>
        <v>28723.340402446516</v>
      </c>
      <c r="H16" s="36">
        <v>30714</v>
      </c>
      <c r="I16" s="36">
        <f>ROUND(Table138958456799101112131445626789101112131415161718192021345678910111213141516171819202122233456789101112131415161718192034567891011[[#This Row],[Target Quantity]],0)</f>
        <v>28723</v>
      </c>
      <c r="J16" s="40">
        <f t="shared" si="0"/>
        <v>-1991</v>
      </c>
      <c r="K16" s="41">
        <f>'Dec 14'!$F16*'Dec 14'!$I16</f>
        <v>1067346.4555577254</v>
      </c>
      <c r="L16" s="42">
        <f>'Dec 14'!$K16/$K$2</f>
        <v>8.0953317767391859E-3</v>
      </c>
      <c r="M16" s="36"/>
      <c r="O16" s="44"/>
    </row>
    <row r="17" spans="1:15" s="45" customFormat="1" ht="12.75" customHeight="1" x14ac:dyDescent="0.25">
      <c r="A17" s="36" t="s">
        <v>119</v>
      </c>
      <c r="B17" s="36" t="s">
        <v>37</v>
      </c>
      <c r="C17" s="36" t="s">
        <v>38</v>
      </c>
      <c r="D17" s="37">
        <v>8.0940000000000005E-3</v>
      </c>
      <c r="E17" s="38">
        <f>'Dec 14'!$D17*$C$6*$C$2</f>
        <v>1067359.1049099781</v>
      </c>
      <c r="F17" s="38">
        <v>72.070035460992898</v>
      </c>
      <c r="G17" s="39">
        <f>'Dec 14'!$E17/'Dec 14'!$F17</f>
        <v>14810.026082027867</v>
      </c>
      <c r="H17" s="36">
        <v>7896</v>
      </c>
      <c r="I17" s="36">
        <f>ROUND(Table138958456799101112131445626789101112131415161718192021345678910111213141516171819202122233456789101112131415161718192034567891011[[#This Row],[Target Quantity]],0)</f>
        <v>14810</v>
      </c>
      <c r="J17" s="40">
        <f t="shared" si="0"/>
        <v>6914</v>
      </c>
      <c r="K17" s="41">
        <f>'Dec 14'!$F17*'Dec 14'!$I17</f>
        <v>1067357.2251773048</v>
      </c>
      <c r="L17" s="42">
        <f>'Dec 14'!$K17/$K$2</f>
        <v>8.0954134593485688E-3</v>
      </c>
      <c r="M17" s="36"/>
      <c r="O17" s="44"/>
    </row>
    <row r="18" spans="1:15" s="45" customFormat="1" ht="12.75" customHeight="1" x14ac:dyDescent="0.25">
      <c r="A18" s="36" t="s">
        <v>119</v>
      </c>
      <c r="B18" s="36" t="s">
        <v>23</v>
      </c>
      <c r="C18" s="36" t="s">
        <v>24</v>
      </c>
      <c r="D18" s="37">
        <v>8.0940000000000005E-3</v>
      </c>
      <c r="E18" s="38">
        <f>'Dec 14'!$D18*$C$6*$C$2</f>
        <v>1067359.1049099781</v>
      </c>
      <c r="F18" s="38">
        <v>255.770059353704</v>
      </c>
      <c r="G18" s="39">
        <f>'Dec 14'!$E18/'Dec 14'!$F18</f>
        <v>4173.1198233563728</v>
      </c>
      <c r="H18" s="36">
        <v>4549</v>
      </c>
      <c r="I18" s="36">
        <f>ROUND(Table138958456799101112131445626789101112131415161718192021345678910111213141516171819202122233456789101112131415161718192034567891011[[#This Row],[Target Quantity]],0)</f>
        <v>4173</v>
      </c>
      <c r="J18" s="40">
        <f t="shared" si="0"/>
        <v>-376</v>
      </c>
      <c r="K18" s="41">
        <f>'Dec 14'!$F18*'Dec 14'!$I18</f>
        <v>1067328.4576830068</v>
      </c>
      <c r="L18" s="42">
        <f>'Dec 14'!$K18/$K$2</f>
        <v>8.0951952711403111E-3</v>
      </c>
      <c r="M18" s="36"/>
      <c r="O18" s="44"/>
    </row>
    <row r="19" spans="1:15" s="45" customFormat="1" ht="12.75" customHeight="1" x14ac:dyDescent="0.25">
      <c r="A19" s="36" t="s">
        <v>119</v>
      </c>
      <c r="B19" s="36" t="s">
        <v>15</v>
      </c>
      <c r="C19" s="36" t="s">
        <v>16</v>
      </c>
      <c r="D19" s="37">
        <v>8.0940000000000005E-3</v>
      </c>
      <c r="E19" s="38">
        <f>'Dec 14'!$D19*$C$6*$C$2</f>
        <v>1067359.1049099781</v>
      </c>
      <c r="F19" s="38">
        <v>138.649901864573</v>
      </c>
      <c r="G19" s="39">
        <f>'Dec 14'!$E19/'Dec 14'!$F19</f>
        <v>7698.2319536910063</v>
      </c>
      <c r="H19" s="36">
        <v>4076</v>
      </c>
      <c r="I19" s="36">
        <f>ROUND(Table138958456799101112131445626789101112131415161718192021345678910111213141516171819202122233456789101112131415161718192034567891011[[#This Row],[Target Quantity]],0)</f>
        <v>7698</v>
      </c>
      <c r="J19" s="40">
        <f t="shared" si="0"/>
        <v>3622</v>
      </c>
      <c r="K19" s="41">
        <f>'Dec 14'!$F19*'Dec 14'!$I19</f>
        <v>1067326.9445534828</v>
      </c>
      <c r="L19" s="42">
        <f>'Dec 14'!$K19/$K$2</f>
        <v>8.0951837947490658E-3</v>
      </c>
      <c r="M19" s="36"/>
      <c r="O19" s="44"/>
    </row>
    <row r="20" spans="1:15" s="45" customFormat="1" ht="12.75" customHeight="1" x14ac:dyDescent="0.25">
      <c r="A20" s="36" t="s">
        <v>119</v>
      </c>
      <c r="B20" s="36" t="s">
        <v>27</v>
      </c>
      <c r="C20" s="36" t="s">
        <v>28</v>
      </c>
      <c r="D20" s="37">
        <v>8.0940000000000005E-3</v>
      </c>
      <c r="E20" s="38">
        <f>'Dec 14'!$D20*$C$6*$C$2</f>
        <v>1067359.1049099781</v>
      </c>
      <c r="F20" s="38">
        <v>42.290005178663897</v>
      </c>
      <c r="G20" s="39">
        <f>'Dec 14'!$E20/'Dec 14'!$F20</f>
        <v>25239.039352222186</v>
      </c>
      <c r="H20" s="36">
        <v>27034</v>
      </c>
      <c r="I20" s="36">
        <f>ROUND(Table138958456799101112131445626789101112131415161718192021345678910111213141516171819202122233456789101112131415161718192034567891011[[#This Row],[Target Quantity]],0)</f>
        <v>25239</v>
      </c>
      <c r="J20" s="40">
        <f t="shared" si="0"/>
        <v>-1795</v>
      </c>
      <c r="K20" s="41">
        <f>'Dec 14'!$F20*'Dec 14'!$I20</f>
        <v>1067357.4407042982</v>
      </c>
      <c r="L20" s="42">
        <f>'Dec 14'!$K20/$K$2</f>
        <v>8.095415094021648E-3</v>
      </c>
      <c r="M20" s="36"/>
      <c r="O20" s="91"/>
    </row>
    <row r="21" spans="1:15" s="45" customFormat="1" ht="12.75" customHeight="1" x14ac:dyDescent="0.25">
      <c r="A21" s="36" t="s">
        <v>119</v>
      </c>
      <c r="B21" s="36" t="s">
        <v>41</v>
      </c>
      <c r="C21" s="36" t="s">
        <v>42</v>
      </c>
      <c r="D21" s="37">
        <v>8.0940000000000005E-3</v>
      </c>
      <c r="E21" s="38">
        <f>'Dec 14'!$D21*$C$6*$C$2</f>
        <v>1067359.1049099781</v>
      </c>
      <c r="F21" s="38">
        <v>35.36</v>
      </c>
      <c r="G21" s="39">
        <f>'Dec 14'!$E21/'Dec 14'!$F21</f>
        <v>30185.495048359109</v>
      </c>
      <c r="H21" s="36">
        <v>0</v>
      </c>
      <c r="I21" s="36">
        <f>ROUND(Table138958456799101112131445626789101112131415161718192021345678910111213141516171819202122233456789101112131415161718192034567891011[[#This Row],[Target Quantity]],0)</f>
        <v>30185</v>
      </c>
      <c r="J21" s="40">
        <f t="shared" si="0"/>
        <v>30185</v>
      </c>
      <c r="K21" s="41">
        <f>'Dec 14'!$F21*'Dec 14'!$I21</f>
        <v>1067341.6000000001</v>
      </c>
      <c r="L21" s="42">
        <f>'Dec 14'!$K21/$K$2</f>
        <v>8.0952949495678942E-3</v>
      </c>
      <c r="M21" s="36"/>
      <c r="O21" s="91"/>
    </row>
    <row r="22" spans="1:15" s="45" customFormat="1" ht="12.75" customHeight="1" x14ac:dyDescent="0.25">
      <c r="A22" s="36" t="s">
        <v>119</v>
      </c>
      <c r="B22" s="36" t="s">
        <v>35</v>
      </c>
      <c r="C22" s="36" t="s">
        <v>36</v>
      </c>
      <c r="D22" s="37">
        <v>8.0940000000000005E-3</v>
      </c>
      <c r="E22" s="38">
        <f>'Dec 14'!$D22*$C$6*$C$2</f>
        <v>1067359.1049099781</v>
      </c>
      <c r="F22" s="38">
        <v>162.5</v>
      </c>
      <c r="G22" s="39">
        <f>'Dec 14'!$E22/'Dec 14'!$F22</f>
        <v>6568.3637225229422</v>
      </c>
      <c r="H22" s="36">
        <v>0</v>
      </c>
      <c r="I22" s="36">
        <f>ROUND(Table138958456799101112131445626789101112131415161718192021345678910111213141516171819202122233456789101112131415161718192034567891011[[#This Row],[Target Quantity]],0)</f>
        <v>6568</v>
      </c>
      <c r="J22" s="40">
        <f t="shared" si="0"/>
        <v>6568</v>
      </c>
      <c r="K22" s="41">
        <f>'Dec 14'!$F22*'Dec 14'!$I22</f>
        <v>1067300</v>
      </c>
      <c r="L22" s="42">
        <f>'Dec 14'!$K22/$K$2</f>
        <v>8.0949794327081527E-3</v>
      </c>
      <c r="M22" s="36"/>
      <c r="O22" s="91"/>
    </row>
    <row r="23" spans="1:15" s="45" customFormat="1" ht="12.75" customHeight="1" x14ac:dyDescent="0.25">
      <c r="A23" s="36" t="s">
        <v>119</v>
      </c>
      <c r="B23" s="36" t="s">
        <v>39</v>
      </c>
      <c r="C23" s="36" t="s">
        <v>40</v>
      </c>
      <c r="D23" s="37">
        <v>0.22662499999999999</v>
      </c>
      <c r="E23" s="38">
        <f>'Dec 14'!$D23*$C$6*$C$2</f>
        <v>29885131.844603878</v>
      </c>
      <c r="F23" s="38">
        <v>302.92999821252999</v>
      </c>
      <c r="G23" s="39">
        <f>'Dec 14'!$E23/'Dec 14'!$F23</f>
        <v>98653.590007408347</v>
      </c>
      <c r="H23" s="36">
        <v>89512</v>
      </c>
      <c r="I23" s="36">
        <f>ROUND(Table138958456799101112131445626789101112131415161718192021345678910111213141516171819202122233456789101112131415161718192034567891011[[#This Row],[Target Quantity]],0)</f>
        <v>98654</v>
      </c>
      <c r="J23" s="40">
        <f t="shared" si="0"/>
        <v>9142</v>
      </c>
      <c r="K23" s="41">
        <f>'Dec 14'!$F23*'Dec 14'!$I23</f>
        <v>29885256.043658935</v>
      </c>
      <c r="L23" s="42">
        <f>'Dec 14'!$K23/$K$2</f>
        <v>0.22666591681311354</v>
      </c>
      <c r="M23" s="36"/>
      <c r="O23" s="93"/>
    </row>
    <row r="24" spans="1:15" s="45" customFormat="1" ht="12.75" customHeight="1" x14ac:dyDescent="0.25">
      <c r="A24" s="36" t="s">
        <v>119</v>
      </c>
      <c r="B24" s="45" t="s">
        <v>11</v>
      </c>
      <c r="C24" s="36" t="s">
        <v>12</v>
      </c>
      <c r="D24" s="37">
        <v>2.6249999999999999E-2</v>
      </c>
      <c r="E24" s="38">
        <f>'Dec 14'!$D24*$C$6*$C$2</f>
        <v>3461598.2831587503</v>
      </c>
      <c r="F24" s="38">
        <v>2.4988012194028499</v>
      </c>
      <c r="G24" s="39">
        <f>'Dec 14'!$E24/'Dec 14'!$F24</f>
        <v>1385303.5832862225</v>
      </c>
      <c r="H24" s="36">
        <v>1115300</v>
      </c>
      <c r="I24" s="36">
        <f>ROUND(Table138958456799101112131445626789101112131415161718192021345678910111213141516171819202122233456789101112131415161718192034567891011[[#This Row],[Target Quantity]],-2)</f>
        <v>1385300</v>
      </c>
      <c r="J24" s="40">
        <f t="shared" si="0"/>
        <v>270000</v>
      </c>
      <c r="K24" s="41">
        <f>'Dec 14'!$F24*'Dec 14'!$I24</f>
        <v>3461589.3292387682</v>
      </c>
      <c r="L24" s="42">
        <f>'Dec 14'!$K24/$K$2</f>
        <v>2.6254562376716799E-2</v>
      </c>
      <c r="M24" s="36"/>
    </row>
    <row r="25" spans="1:15" s="45" customFormat="1" ht="12.75" customHeight="1" x14ac:dyDescent="0.25">
      <c r="A25" s="36"/>
      <c r="B25" s="36"/>
      <c r="C25" s="36"/>
      <c r="D25" s="37"/>
      <c r="E25" s="38"/>
      <c r="F25" s="38"/>
      <c r="G25" s="39"/>
      <c r="H25" s="36"/>
      <c r="I25" s="36"/>
      <c r="J25" s="46"/>
      <c r="K25" s="38"/>
      <c r="L25" s="47"/>
      <c r="M25" s="36"/>
      <c r="O25" s="91"/>
    </row>
    <row r="26" spans="1:15" s="54" customFormat="1" ht="12.75" customHeight="1" x14ac:dyDescent="0.25">
      <c r="A26" s="48" t="s">
        <v>136</v>
      </c>
      <c r="B26" s="48"/>
      <c r="C26" s="48"/>
      <c r="D26" s="49">
        <f>SUM(D9:D25)</f>
        <v>0.35000300000000001</v>
      </c>
      <c r="E26" s="50">
        <f>'Dec 14'!$D26*$C$6*$C$2</f>
        <v>46155039.386682369</v>
      </c>
      <c r="F26" s="51"/>
      <c r="G26" s="51"/>
      <c r="H26" s="48"/>
      <c r="I26" s="48"/>
      <c r="J26" s="52"/>
      <c r="K26" s="50">
        <f>SUM(K9:K25)</f>
        <v>46155210.607741907</v>
      </c>
      <c r="L26" s="53">
        <f>'Dec 14'!$K26/$K$2</f>
        <v>0.3500660363365351</v>
      </c>
      <c r="M26" s="48"/>
      <c r="O26" s="90"/>
    </row>
    <row r="27" spans="1:15" s="45" customFormat="1" ht="12.75" customHeight="1" x14ac:dyDescent="0.25">
      <c r="A27" s="36"/>
      <c r="B27" s="36"/>
      <c r="C27" s="36"/>
      <c r="D27" s="37"/>
      <c r="E27" s="38"/>
      <c r="F27" s="38"/>
      <c r="G27" s="39"/>
      <c r="H27" s="36"/>
      <c r="I27" s="36"/>
      <c r="J27" s="46"/>
      <c r="K27" s="38"/>
      <c r="L27" s="42"/>
      <c r="M27" s="36"/>
      <c r="O27" s="89"/>
    </row>
    <row r="28" spans="1:15" s="44" customFormat="1" ht="12.75" customHeight="1" x14ac:dyDescent="0.25">
      <c r="A28" s="55"/>
      <c r="B28" s="48" t="s">
        <v>31</v>
      </c>
      <c r="C28" s="55" t="s">
        <v>32</v>
      </c>
      <c r="D28" s="56">
        <v>0.04</v>
      </c>
      <c r="E28" s="57">
        <f>'Dec 14'!$D28*$C$6*$C$2</f>
        <v>5274816.4314800007</v>
      </c>
      <c r="F28" s="51">
        <v>17.4400005963229</v>
      </c>
      <c r="G28" s="58">
        <f>'Dec 14'!$E28/'Dec 14'!$F28</f>
        <v>302455.06027059187</v>
      </c>
      <c r="H28" s="55">
        <v>268311</v>
      </c>
      <c r="I28" s="55">
        <f>ROUND(Table138958456799101112131445626789101112131415161718192021345678910111213141516171819202122233456789101112131415161718192034567891011[[#This Row],[Target Quantity]],0)</f>
        <v>302455</v>
      </c>
      <c r="J28" s="59">
        <f>I28-H28</f>
        <v>34144</v>
      </c>
      <c r="K28" s="60">
        <f>'Dec 14'!$F28*'Dec 14'!$I28</f>
        <v>5274815.3803608427</v>
      </c>
      <c r="L28" s="53">
        <f>'Dec 14'!$K28/$K$2</f>
        <v>4.0007047704819311E-2</v>
      </c>
      <c r="M28" s="48"/>
      <c r="O28" s="61"/>
    </row>
    <row r="29" spans="1:15" s="44" customFormat="1" ht="12.75" customHeight="1" x14ac:dyDescent="0.25">
      <c r="A29" s="36"/>
      <c r="B29" s="36"/>
      <c r="C29" s="36"/>
      <c r="D29" s="37"/>
      <c r="E29" s="38"/>
      <c r="F29" s="38"/>
      <c r="G29" s="39"/>
      <c r="H29" s="36"/>
      <c r="I29" s="36"/>
      <c r="J29" s="46"/>
      <c r="K29" s="41"/>
      <c r="L29" s="42"/>
      <c r="M29" s="36"/>
      <c r="O29" s="61"/>
    </row>
    <row r="30" spans="1:15" s="4" customFormat="1" ht="25.5" x14ac:dyDescent="0.2">
      <c r="A30" s="36" t="s">
        <v>137</v>
      </c>
      <c r="B30" s="62" t="s">
        <v>75</v>
      </c>
      <c r="C30" s="63" t="s">
        <v>76</v>
      </c>
      <c r="D30" s="37">
        <v>5.8999999999999997E-2</v>
      </c>
      <c r="E30" s="38">
        <f>'Dec 14'!$D30*$C$6*$C$2</f>
        <v>7780354.2364329994</v>
      </c>
      <c r="F30" s="38">
        <v>156209.204545455</v>
      </c>
      <c r="G30" s="39">
        <f>'Dec 14'!$E30/'Dec 14'!$F30</f>
        <v>49.807271338924267</v>
      </c>
      <c r="H30" s="36">
        <v>44</v>
      </c>
      <c r="I30" s="36">
        <f>ROUND(Table138958456799101112131445626789101112131415161718192021345678910111213141516171819202122233456789101112131415161718192034567891011[[#This Row],[Target Quantity]],0)</f>
        <v>50</v>
      </c>
      <c r="J30" s="40">
        <f t="shared" ref="J30:J39" si="1">I30-H30</f>
        <v>6</v>
      </c>
      <c r="K30" s="41">
        <f>'Dec 14'!$F30*'Dec 14'!$I30</f>
        <v>7810460.2272727499</v>
      </c>
      <c r="L30" s="42">
        <f>'Dec 14'!$K30/$K$2</f>
        <v>5.9238747212365737E-2</v>
      </c>
      <c r="M30" s="64"/>
    </row>
    <row r="31" spans="1:15" s="4" customFormat="1" ht="25.5" x14ac:dyDescent="0.2">
      <c r="A31" s="36" t="s">
        <v>137</v>
      </c>
      <c r="B31" s="62" t="s">
        <v>80</v>
      </c>
      <c r="C31" s="63" t="s">
        <v>81</v>
      </c>
      <c r="D31" s="37">
        <v>5.8999999999999997E-2</v>
      </c>
      <c r="E31" s="38">
        <f>'Dec 14'!$D31*$C$6*$C$2</f>
        <v>7780354.2364329994</v>
      </c>
      <c r="F31" s="38">
        <v>213011.34375</v>
      </c>
      <c r="G31" s="39">
        <f>'Dec 14'!$E31/'Dec 14'!$F31</f>
        <v>36.525539435892128</v>
      </c>
      <c r="H31" s="36">
        <v>32</v>
      </c>
      <c r="I31" s="36">
        <f>ROUND(Table138958456799101112131445626789101112131415161718192021345678910111213141516171819202122233456789101112131415161718192034567891011[[#This Row],[Target Quantity]],0)</f>
        <v>37</v>
      </c>
      <c r="J31" s="40">
        <f t="shared" si="1"/>
        <v>5</v>
      </c>
      <c r="K31" s="41">
        <f>'Dec 14'!$F31*'Dec 14'!$I31</f>
        <v>7881419.71875</v>
      </c>
      <c r="L31" s="42">
        <f>'Dec 14'!$K31/$K$2</f>
        <v>5.9776942306588331E-2</v>
      </c>
      <c r="M31" s="64"/>
    </row>
    <row r="32" spans="1:15" s="4" customFormat="1" ht="25.5" x14ac:dyDescent="0.2">
      <c r="A32" s="36" t="s">
        <v>137</v>
      </c>
      <c r="B32" s="62" t="s">
        <v>82</v>
      </c>
      <c r="C32" s="63" t="s">
        <v>83</v>
      </c>
      <c r="D32" s="37">
        <v>5.8999999999999997E-2</v>
      </c>
      <c r="E32" s="38">
        <f>'Dec 14'!$D32*$C$6*$C$2</f>
        <v>7780354.2364329994</v>
      </c>
      <c r="F32" s="38">
        <v>173144.07500000001</v>
      </c>
      <c r="G32" s="39">
        <f>'Dec 14'!$E32/'Dec 14'!$F32</f>
        <v>44.935723249166905</v>
      </c>
      <c r="H32" s="36">
        <v>40</v>
      </c>
      <c r="I32" s="36">
        <f>ROUND(Table138958456799101112131445626789101112131415161718192021345678910111213141516171819202122233456789101112131415161718192034567891011[[#This Row],[Target Quantity]],0)</f>
        <v>45</v>
      </c>
      <c r="J32" s="40">
        <f t="shared" si="1"/>
        <v>5</v>
      </c>
      <c r="K32" s="41">
        <f>'Dec 14'!$F32*'Dec 14'!$I32</f>
        <v>7791483.3750000009</v>
      </c>
      <c r="L32" s="42">
        <f>'Dec 14'!$K32/$K$2</f>
        <v>5.9094816519172221E-2</v>
      </c>
      <c r="M32" s="64"/>
    </row>
    <row r="33" spans="1:16" s="4" customFormat="1" ht="25.5" x14ac:dyDescent="0.2">
      <c r="A33" s="36" t="s">
        <v>137</v>
      </c>
      <c r="B33" s="62" t="s">
        <v>84</v>
      </c>
      <c r="C33" s="63" t="s">
        <v>85</v>
      </c>
      <c r="D33" s="37">
        <v>5.8999999999999997E-2</v>
      </c>
      <c r="E33" s="38">
        <f>'Dec 14'!$D33*$C$6*$C$2</f>
        <v>7780354.2364329994</v>
      </c>
      <c r="F33" s="38">
        <v>126023.43636363601</v>
      </c>
      <c r="G33" s="39">
        <f>'Dec 14'!$E33/'Dec 14'!$F33</f>
        <v>61.737359819193252</v>
      </c>
      <c r="H33" s="36">
        <v>55</v>
      </c>
      <c r="I33" s="36">
        <f>ROUND(Table138958456799101112131445626789101112131415161718192021345678910111213141516171819202122233456789101112131415161718192034567891011[[#This Row],[Target Quantity]],0)</f>
        <v>62</v>
      </c>
      <c r="J33" s="40">
        <f t="shared" si="1"/>
        <v>7</v>
      </c>
      <c r="K33" s="41">
        <f>'Dec 14'!$F33*'Dec 14'!$I33</f>
        <v>7813453.0545454323</v>
      </c>
      <c r="L33" s="42">
        <f>'Dec 14'!$K33/$K$2</f>
        <v>5.9261446430222027E-2</v>
      </c>
      <c r="M33" s="64"/>
    </row>
    <row r="34" spans="1:16" s="4" customFormat="1" ht="25.5" x14ac:dyDescent="0.2">
      <c r="A34" s="36" t="s">
        <v>137</v>
      </c>
      <c r="B34" s="62" t="s">
        <v>86</v>
      </c>
      <c r="C34" s="63" t="s">
        <v>87</v>
      </c>
      <c r="D34" s="37">
        <v>5.8999999999999997E-2</v>
      </c>
      <c r="E34" s="38">
        <f>'Dec 14'!$D34*$C$6*$C$2</f>
        <v>7780354.2364329994</v>
      </c>
      <c r="F34" s="38">
        <v>137937.5</v>
      </c>
      <c r="G34" s="39">
        <f>'Dec 14'!$E34/'Dec 14'!$F34</f>
        <v>56.404924233315811</v>
      </c>
      <c r="H34" s="36">
        <v>50</v>
      </c>
      <c r="I34" s="36">
        <f>ROUND(Table138958456799101112131445626789101112131415161718192021345678910111213141516171819202122233456789101112131415161718192034567891011[[#This Row],[Target Quantity]],0)</f>
        <v>56</v>
      </c>
      <c r="J34" s="40">
        <f t="shared" si="1"/>
        <v>6</v>
      </c>
      <c r="K34" s="41">
        <f>'Dec 14'!$F34*'Dec 14'!$I34</f>
        <v>7724500</v>
      </c>
      <c r="L34" s="42">
        <f>'Dec 14'!$K34/$K$2</f>
        <v>5.8586778439008835E-2</v>
      </c>
      <c r="M34" s="64"/>
    </row>
    <row r="35" spans="1:16" s="4" customFormat="1" ht="25.5" x14ac:dyDescent="0.2">
      <c r="A35" s="36" t="s">
        <v>137</v>
      </c>
      <c r="B35" s="62" t="s">
        <v>92</v>
      </c>
      <c r="C35" s="63" t="s">
        <v>93</v>
      </c>
      <c r="D35" s="37">
        <v>5.8999999999999997E-2</v>
      </c>
      <c r="E35" s="38">
        <f>'Dec 14'!$D35*$C$6*$C$2</f>
        <v>7780354.2364329994</v>
      </c>
      <c r="F35" s="38">
        <v>220933.25806451601</v>
      </c>
      <c r="G35" s="39">
        <f>'Dec 14'!$E35/'Dec 14'!$F35</f>
        <v>35.215857968115479</v>
      </c>
      <c r="H35" s="36">
        <v>31</v>
      </c>
      <c r="I35" s="36">
        <f>ROUND(Table138958456799101112131445626789101112131415161718192021345678910111213141516171819202122233456789101112131415161718192034567891011[[#This Row],[Target Quantity]],0)</f>
        <v>35</v>
      </c>
      <c r="J35" s="40">
        <f t="shared" si="1"/>
        <v>4</v>
      </c>
      <c r="K35" s="41">
        <f>'Dec 14'!$F35*'Dec 14'!$I35</f>
        <v>7732664.0322580598</v>
      </c>
      <c r="L35" s="42">
        <f>'Dec 14'!$K35/$K$2</f>
        <v>5.8648698867395377E-2</v>
      </c>
      <c r="M35" s="64"/>
    </row>
    <row r="36" spans="1:16" s="44" customFormat="1" ht="25.5" customHeight="1" x14ac:dyDescent="0.2">
      <c r="A36" s="36" t="s">
        <v>138</v>
      </c>
      <c r="B36" s="36" t="s">
        <v>54</v>
      </c>
      <c r="C36" s="36" t="s">
        <v>55</v>
      </c>
      <c r="D36" s="37">
        <v>5.8999999999999997E-2</v>
      </c>
      <c r="E36" s="38">
        <f>'Dec 14'!$D36*$C$6*$C$2</f>
        <v>7780354.2364329994</v>
      </c>
      <c r="F36" s="38">
        <v>116424.91666666701</v>
      </c>
      <c r="G36" s="39">
        <f>'Dec 14'!$E36/'Dec 14'!$F36</f>
        <v>66.827226157341542</v>
      </c>
      <c r="H36" s="36">
        <v>60</v>
      </c>
      <c r="I36" s="36">
        <f>ROUND(Table138958456799101112131445626789101112131415161718192021345678910111213141516171819202122233456789101112131415161718192034567891011[[#This Row],[Target Quantity]],0)</f>
        <v>67</v>
      </c>
      <c r="J36" s="40">
        <f t="shared" si="1"/>
        <v>7</v>
      </c>
      <c r="K36" s="41">
        <f>'Dec 14'!$F36*'Dec 14'!$I36</f>
        <v>7800469.4166666893</v>
      </c>
      <c r="L36" s="42">
        <f>'Dec 14'!$K36/$K$2</f>
        <v>5.9162971510714715E-2</v>
      </c>
      <c r="M36" s="43"/>
      <c r="O36" s="4"/>
    </row>
    <row r="37" spans="1:16" s="44" customFormat="1" ht="25.5" x14ac:dyDescent="0.2">
      <c r="A37" s="36" t="s">
        <v>138</v>
      </c>
      <c r="B37" s="36" t="s">
        <v>52</v>
      </c>
      <c r="C37" s="36" t="s">
        <v>53</v>
      </c>
      <c r="D37" s="37">
        <v>5.8999999999999997E-2</v>
      </c>
      <c r="E37" s="38">
        <f>'Dec 14'!$D37*$C$6*$C$2</f>
        <v>7780354.2364329994</v>
      </c>
      <c r="F37" s="38">
        <v>137757.90196078399</v>
      </c>
      <c r="G37" s="39">
        <f>'Dec 14'!$E37/'Dec 14'!$F37</f>
        <v>56.478460586949559</v>
      </c>
      <c r="H37" s="36">
        <v>51</v>
      </c>
      <c r="I37" s="36">
        <f>ROUND(Table138958456799101112131445626789101112131415161718192021345678910111213141516171819202122233456789101112131415161718192034567891011[[#This Row],[Target Quantity]],0)</f>
        <v>56</v>
      </c>
      <c r="J37" s="40">
        <f t="shared" si="1"/>
        <v>5</v>
      </c>
      <c r="K37" s="41">
        <f>'Dec 14'!$F37*'Dec 14'!$I37</f>
        <v>7714442.5098039033</v>
      </c>
      <c r="L37" s="42">
        <f>'Dec 14'!$K37/$K$2</f>
        <v>5.8510497003346817E-2</v>
      </c>
      <c r="M37" s="43"/>
      <c r="O37" s="4"/>
    </row>
    <row r="38" spans="1:16" s="44" customFormat="1" ht="24.95" customHeight="1" x14ac:dyDescent="0.2">
      <c r="A38" s="36" t="s">
        <v>138</v>
      </c>
      <c r="B38" s="36" t="s">
        <v>48</v>
      </c>
      <c r="C38" s="36" t="s">
        <v>49</v>
      </c>
      <c r="D38" s="37">
        <v>5.8999999999999997E-2</v>
      </c>
      <c r="E38" s="38">
        <f>'Dec 14'!$D38*$C$6*$C$2</f>
        <v>7780354.2364329994</v>
      </c>
      <c r="F38" s="38">
        <v>184976.60526315801</v>
      </c>
      <c r="G38" s="39">
        <f>'Dec 14'!$E38/'Dec 14'!$F38</f>
        <v>42.061287833476207</v>
      </c>
      <c r="H38" s="36">
        <v>38</v>
      </c>
      <c r="I38" s="36">
        <f>ROUND(Table138958456799101112131445626789101112131415161718192021345678910111213141516171819202122233456789101112131415161718192034567891011[[#This Row],[Target Quantity]],0)</f>
        <v>42</v>
      </c>
      <c r="J38" s="40">
        <f t="shared" si="1"/>
        <v>4</v>
      </c>
      <c r="K38" s="41">
        <f>'Dec 14'!$F38*'Dec 14'!$I38</f>
        <v>7769017.4210526366</v>
      </c>
      <c r="L38" s="42">
        <f>'Dec 14'!$K38/$K$2</f>
        <v>5.8924422595120797E-2</v>
      </c>
      <c r="M38" s="43"/>
      <c r="O38" s="4"/>
    </row>
    <row r="39" spans="1:16" s="44" customFormat="1" ht="25.5" x14ac:dyDescent="0.2">
      <c r="A39" s="36" t="s">
        <v>138</v>
      </c>
      <c r="B39" s="36" t="s">
        <v>58</v>
      </c>
      <c r="C39" s="36" t="s">
        <v>59</v>
      </c>
      <c r="D39" s="37">
        <v>5.8999999999999997E-2</v>
      </c>
      <c r="E39" s="38">
        <f>'Dec 14'!$D39*$C$6*$C$2</f>
        <v>7780354.2364329994</v>
      </c>
      <c r="F39" s="38">
        <v>276586.03999999998</v>
      </c>
      <c r="G39" s="39">
        <f>'Dec 14'!$E39/'Dec 14'!$F39</f>
        <v>28.129959980745955</v>
      </c>
      <c r="H39" s="36">
        <v>25</v>
      </c>
      <c r="I39" s="36">
        <f>ROUND(Table138958456799101112131445626789101112131415161718192021345678910111213141516171819202122233456789101112131415161718192034567891011[[#This Row],[Target Quantity]],0)</f>
        <v>28</v>
      </c>
      <c r="J39" s="40">
        <f t="shared" si="1"/>
        <v>3</v>
      </c>
      <c r="K39" s="41">
        <f>'Dec 14'!$F39*'Dec 14'!$I39</f>
        <v>7744409.1199999992</v>
      </c>
      <c r="L39" s="42">
        <f>'Dec 14'!$K39/$K$2</f>
        <v>5.8737779953974924E-2</v>
      </c>
      <c r="M39" s="43"/>
      <c r="O39" s="4"/>
    </row>
    <row r="40" spans="1:16" s="66" customFormat="1" ht="12.75" x14ac:dyDescent="0.2">
      <c r="A40" s="36"/>
      <c r="B40" s="63"/>
      <c r="C40" s="63"/>
      <c r="D40" s="37"/>
      <c r="E40" s="65"/>
      <c r="F40" s="38"/>
      <c r="G40" s="39"/>
      <c r="H40" s="36"/>
      <c r="I40" s="36"/>
      <c r="J40" s="46"/>
      <c r="K40" s="38"/>
      <c r="L40" s="47"/>
      <c r="M40" s="64"/>
    </row>
    <row r="41" spans="1:16" s="17" customFormat="1" ht="12.75" x14ac:dyDescent="0.2">
      <c r="A41" s="48" t="s">
        <v>142</v>
      </c>
      <c r="B41" s="67"/>
      <c r="C41" s="67"/>
      <c r="D41" s="56">
        <f>SUBTOTAL(9,D30:D40)</f>
        <v>0.58999999999999986</v>
      </c>
      <c r="E41" s="68">
        <f>'Dec 14'!$D41*$C$6*$C$2</f>
        <v>77803542.364329994</v>
      </c>
      <c r="F41" s="69"/>
      <c r="G41" s="70"/>
      <c r="H41" s="55"/>
      <c r="I41" s="55"/>
      <c r="J41" s="59"/>
      <c r="K41" s="68">
        <f>SUM(K30:K40)</f>
        <v>77782318.875349477</v>
      </c>
      <c r="L41" s="71">
        <f>'Dec 14'!$K41/$K$2</f>
        <v>0.5899431008379098</v>
      </c>
      <c r="M41" s="72"/>
    </row>
    <row r="42" spans="1:16" s="44" customFormat="1" ht="12.75" x14ac:dyDescent="0.25">
      <c r="A42" s="36"/>
      <c r="B42" s="36"/>
      <c r="C42" s="36"/>
      <c r="D42" s="37"/>
      <c r="E42" s="38"/>
      <c r="F42" s="38"/>
      <c r="G42" s="74"/>
      <c r="H42" s="36"/>
      <c r="I42" s="36"/>
      <c r="J42" s="40"/>
      <c r="K42" s="41"/>
      <c r="L42" s="42"/>
      <c r="M42" s="43"/>
    </row>
    <row r="43" spans="1:16" s="44" customFormat="1" ht="25.5" x14ac:dyDescent="0.25">
      <c r="A43" s="36" t="s">
        <v>154</v>
      </c>
      <c r="B43" s="36" t="s">
        <v>45</v>
      </c>
      <c r="C43" s="36" t="s">
        <v>46</v>
      </c>
      <c r="D43" s="37">
        <v>2E-3</v>
      </c>
      <c r="E43" s="38">
        <f>'Dec 14'!$D43*$C$6*$C$2</f>
        <v>263740.821574</v>
      </c>
      <c r="F43" s="38">
        <v>50860</v>
      </c>
      <c r="G43" s="74">
        <f>'Dec 14'!$E43/'Dec 14'!$F43</f>
        <v>5.185623703775069</v>
      </c>
      <c r="H43" s="36">
        <v>5</v>
      </c>
      <c r="I43" s="36">
        <v>5</v>
      </c>
      <c r="J43" s="40">
        <f t="shared" ref="J43:J52" si="2">I43-H43</f>
        <v>0</v>
      </c>
      <c r="K43" s="41">
        <f>'Dec 14'!$F43*'Dec 14'!$I43</f>
        <v>254300</v>
      </c>
      <c r="L43" s="42">
        <f>'Dec 14'!$K43/$K$2</f>
        <v>1.928748495959602E-3</v>
      </c>
      <c r="M43" s="43"/>
    </row>
    <row r="44" spans="1:16" s="44" customFormat="1" ht="25.5" x14ac:dyDescent="0.25">
      <c r="A44" s="36" t="s">
        <v>154</v>
      </c>
      <c r="B44" s="36" t="s">
        <v>156</v>
      </c>
      <c r="C44" s="36" t="s">
        <v>61</v>
      </c>
      <c r="D44" s="37">
        <v>2E-3</v>
      </c>
      <c r="E44" s="38">
        <f>'Dec 14'!$D44*$C$6*$C$2</f>
        <v>263740.821574</v>
      </c>
      <c r="F44" s="38">
        <v>88205.666666666701</v>
      </c>
      <c r="G44" s="74">
        <f>'Dec 14'!$E44/'Dec 14'!$F44</f>
        <v>2.9900666424379376</v>
      </c>
      <c r="H44" s="36">
        <v>3</v>
      </c>
      <c r="I44" s="36">
        <v>3</v>
      </c>
      <c r="J44" s="40">
        <f t="shared" si="2"/>
        <v>0</v>
      </c>
      <c r="K44" s="41">
        <f>'Dec 14'!$F44*'Dec 14'!$I44</f>
        <v>264617.00000000012</v>
      </c>
      <c r="L44" s="42">
        <f>'Dec 14'!$K44/$K$2</f>
        <v>2.0069981940831392E-3</v>
      </c>
      <c r="M44" s="43"/>
      <c r="P44" s="44" t="s">
        <v>157</v>
      </c>
    </row>
    <row r="45" spans="1:16" s="44" customFormat="1" ht="25.5" x14ac:dyDescent="0.25">
      <c r="A45" s="36" t="s">
        <v>154</v>
      </c>
      <c r="B45" s="36" t="s">
        <v>68</v>
      </c>
      <c r="C45" s="36" t="s">
        <v>69</v>
      </c>
      <c r="D45" s="37">
        <v>2E-3</v>
      </c>
      <c r="E45" s="38">
        <f>'Dec 14'!$D45*$C$6*$C$2</f>
        <v>263740.821574</v>
      </c>
      <c r="F45" s="38">
        <v>105389.5</v>
      </c>
      <c r="G45" s="74">
        <f>'Dec 14'!$E45/'Dec 14'!$F45</f>
        <v>2.5025341383534414</v>
      </c>
      <c r="H45" s="36">
        <v>2</v>
      </c>
      <c r="I45" s="36">
        <v>3</v>
      </c>
      <c r="J45" s="40">
        <f t="shared" si="2"/>
        <v>1</v>
      </c>
      <c r="K45" s="41">
        <f>'Dec 14'!$F45*'Dec 14'!$I45</f>
        <v>316168.5</v>
      </c>
      <c r="L45" s="42">
        <f>'Dec 14'!$K45/$K$2</f>
        <v>2.3979926026142487E-3</v>
      </c>
      <c r="M45" s="43"/>
    </row>
    <row r="46" spans="1:16" s="44" customFormat="1" ht="25.5" x14ac:dyDescent="0.25">
      <c r="A46" s="36" t="s">
        <v>154</v>
      </c>
      <c r="B46" s="36" t="s">
        <v>70</v>
      </c>
      <c r="C46" s="36" t="s">
        <v>71</v>
      </c>
      <c r="D46" s="37">
        <v>2E-3</v>
      </c>
      <c r="E46" s="38">
        <f>'Dec 14'!$D46*$C$6*$C$2</f>
        <v>263740.821574</v>
      </c>
      <c r="F46" s="38">
        <v>232996</v>
      </c>
      <c r="G46" s="74">
        <f>'Dec 14'!$E46/'Dec 14'!$F46</f>
        <v>1.1319542892324332</v>
      </c>
      <c r="H46" s="36">
        <v>1</v>
      </c>
      <c r="I46" s="36">
        <v>1</v>
      </c>
      <c r="J46" s="40">
        <f t="shared" si="2"/>
        <v>0</v>
      </c>
      <c r="K46" s="41">
        <f>'Dec 14'!$F46*'Dec 14'!$I46</f>
        <v>232996</v>
      </c>
      <c r="L46" s="42">
        <f>'Dec 14'!$K46/$K$2</f>
        <v>1.7671674579811381E-3</v>
      </c>
      <c r="M46" s="43"/>
    </row>
    <row r="47" spans="1:16" s="44" customFormat="1" ht="25.5" x14ac:dyDescent="0.25">
      <c r="A47" s="36" t="s">
        <v>154</v>
      </c>
      <c r="B47" s="36" t="s">
        <v>159</v>
      </c>
      <c r="C47" s="36" t="s">
        <v>73</v>
      </c>
      <c r="D47" s="37">
        <v>2E-3</v>
      </c>
      <c r="E47" s="38">
        <f>'Dec 14'!$D47*$C$6*$C$2</f>
        <v>263740.821574</v>
      </c>
      <c r="F47" s="38">
        <v>15134.8</v>
      </c>
      <c r="G47" s="74">
        <f>'Dec 14'!$E47/'Dec 14'!$F47</f>
        <v>17.426118718053758</v>
      </c>
      <c r="H47" s="36">
        <v>15</v>
      </c>
      <c r="I47" s="36">
        <v>17</v>
      </c>
      <c r="J47" s="40">
        <f t="shared" si="2"/>
        <v>2</v>
      </c>
      <c r="K47" s="41">
        <f>'Dec 14'!$F47*'Dec 14'!$I47</f>
        <v>257291.59999999998</v>
      </c>
      <c r="L47" s="42">
        <f>'Dec 14'!$K47/$K$2</f>
        <v>1.951438405517261E-3</v>
      </c>
      <c r="M47" s="43"/>
    </row>
    <row r="48" spans="1:16" s="4" customFormat="1" ht="25.5" x14ac:dyDescent="0.2">
      <c r="A48" s="36" t="s">
        <v>154</v>
      </c>
      <c r="B48" s="63" t="s">
        <v>90</v>
      </c>
      <c r="C48" s="63" t="s">
        <v>91</v>
      </c>
      <c r="D48" s="37">
        <v>2E-3</v>
      </c>
      <c r="E48" s="38">
        <f>'Dec 14'!$D48*$C$6*$C$2</f>
        <v>263740.821574</v>
      </c>
      <c r="F48" s="38">
        <v>69979</v>
      </c>
      <c r="G48" s="74">
        <f>'Dec 14'!$E48/'Dec 14'!$F48</f>
        <v>3.768856679489561</v>
      </c>
      <c r="H48" s="36">
        <v>3</v>
      </c>
      <c r="I48" s="36">
        <v>4</v>
      </c>
      <c r="J48" s="40">
        <f t="shared" si="2"/>
        <v>1</v>
      </c>
      <c r="K48" s="41">
        <f>'Dec 14'!$F48*'Dec 14'!$I48</f>
        <v>279916</v>
      </c>
      <c r="L48" s="42">
        <f>'Dec 14'!$K48/$K$2</f>
        <v>2.1230340699765157E-3</v>
      </c>
      <c r="M48" s="64"/>
    </row>
    <row r="49" spans="1:13" s="44" customFormat="1" ht="25.5" x14ac:dyDescent="0.25">
      <c r="A49" s="36" t="s">
        <v>154</v>
      </c>
      <c r="B49" s="36" t="s">
        <v>163</v>
      </c>
      <c r="C49" s="36" t="s">
        <v>67</v>
      </c>
      <c r="D49" s="37">
        <v>2E-3</v>
      </c>
      <c r="E49" s="38">
        <f>'Dec 14'!$D49*$C$6*$C$2</f>
        <v>263740.821574</v>
      </c>
      <c r="F49" s="38">
        <v>26885.9</v>
      </c>
      <c r="G49" s="74">
        <f>'Dec 14'!$E49/'Dec 14'!$F49</f>
        <v>9.8096333607578696</v>
      </c>
      <c r="H49" s="36">
        <v>10</v>
      </c>
      <c r="I49" s="36">
        <v>10</v>
      </c>
      <c r="J49" s="40">
        <f t="shared" si="2"/>
        <v>0</v>
      </c>
      <c r="K49" s="41">
        <f>'Dec 14'!$F49*'Dec 14'!$I49</f>
        <v>268859</v>
      </c>
      <c r="L49" s="42">
        <f>'Dec 14'!$K49/$K$2</f>
        <v>2.0391718123287561E-3</v>
      </c>
      <c r="M49" s="43"/>
    </row>
    <row r="50" spans="1:13" s="44" customFormat="1" ht="25.5" x14ac:dyDescent="0.25">
      <c r="A50" s="36" t="s">
        <v>154</v>
      </c>
      <c r="B50" s="36" t="s">
        <v>77</v>
      </c>
      <c r="C50" s="36" t="s">
        <v>78</v>
      </c>
      <c r="D50" s="37">
        <v>2E-3</v>
      </c>
      <c r="E50" s="38">
        <f>'Dec 14'!$D50*$C$6*$C$2</f>
        <v>263740.821574</v>
      </c>
      <c r="F50" s="38">
        <v>7825.2</v>
      </c>
      <c r="G50" s="74">
        <f>'Dec 14'!$E50/'Dec 14'!$F50</f>
        <v>33.704035880744264</v>
      </c>
      <c r="H50" s="36">
        <v>30</v>
      </c>
      <c r="I50" s="36">
        <v>34</v>
      </c>
      <c r="J50" s="40">
        <f t="shared" si="2"/>
        <v>4</v>
      </c>
      <c r="K50" s="41">
        <f>'Dec 14'!$F50*'Dec 14'!$I50</f>
        <v>266056.8</v>
      </c>
      <c r="L50" s="42">
        <f>'Dec 14'!$K50/$K$2</f>
        <v>2.017918414627702E-3</v>
      </c>
      <c r="M50" s="43"/>
    </row>
    <row r="51" spans="1:13" s="44" customFormat="1" ht="25.5" x14ac:dyDescent="0.25">
      <c r="A51" s="36" t="s">
        <v>154</v>
      </c>
      <c r="B51" s="36" t="s">
        <v>63</v>
      </c>
      <c r="C51" s="36" t="s">
        <v>64</v>
      </c>
      <c r="D51" s="37">
        <v>2E-3</v>
      </c>
      <c r="E51" s="38">
        <f>'Dec 14'!$D51*$C$6*$C$2</f>
        <v>263740.821574</v>
      </c>
      <c r="F51" s="38">
        <v>28828.25</v>
      </c>
      <c r="G51" s="74">
        <f>'Dec 14'!$E51/'Dec 14'!$F51</f>
        <v>9.1486934369585384</v>
      </c>
      <c r="H51" s="36">
        <v>8</v>
      </c>
      <c r="I51" s="36">
        <v>9</v>
      </c>
      <c r="J51" s="40">
        <f t="shared" si="2"/>
        <v>1</v>
      </c>
      <c r="K51" s="41">
        <f>'Dec 14'!$F51*'Dec 14'!$I51</f>
        <v>259454.25</v>
      </c>
      <c r="L51" s="42">
        <f>'Dec 14'!$K51/$K$2</f>
        <v>1.9678411107268055E-3</v>
      </c>
      <c r="M51" s="43"/>
    </row>
    <row r="52" spans="1:13" s="44" customFormat="1" ht="25.5" x14ac:dyDescent="0.25">
      <c r="A52" s="36" t="s">
        <v>154</v>
      </c>
      <c r="B52" s="36" t="s">
        <v>88</v>
      </c>
      <c r="C52" s="36" t="s">
        <v>89</v>
      </c>
      <c r="D52" s="37">
        <v>2E-3</v>
      </c>
      <c r="E52" s="38">
        <f>'Dec 14'!$D52*$C$6*$C$2</f>
        <v>263740.821574</v>
      </c>
      <c r="F52" s="38">
        <v>58787.5</v>
      </c>
      <c r="G52" s="74">
        <f>'Dec 14'!$E52/'Dec 14'!$F52</f>
        <v>4.486341851141824</v>
      </c>
      <c r="H52" s="36">
        <v>4</v>
      </c>
      <c r="I52" s="36">
        <v>4</v>
      </c>
      <c r="J52" s="40">
        <f t="shared" si="2"/>
        <v>0</v>
      </c>
      <c r="K52" s="41">
        <f>'Dec 14'!$F52*'Dec 14'!$I52</f>
        <v>235150</v>
      </c>
      <c r="L52" s="42">
        <f>'Dec 14'!$K52/$K$2</f>
        <v>1.7835045569205678E-3</v>
      </c>
      <c r="M52" s="43"/>
    </row>
    <row r="53" spans="1:13" s="44" customFormat="1" ht="12.75" x14ac:dyDescent="0.25">
      <c r="A53" s="36"/>
      <c r="B53" s="36"/>
      <c r="C53" s="36"/>
      <c r="D53" s="37"/>
      <c r="E53" s="38"/>
      <c r="F53" s="38"/>
      <c r="G53" s="39"/>
      <c r="H53" s="36"/>
      <c r="I53" s="36"/>
      <c r="J53" s="43"/>
      <c r="K53" s="41"/>
      <c r="L53" s="42"/>
      <c r="M53" s="43"/>
    </row>
    <row r="54" spans="1:13" s="17" customFormat="1" ht="12.75" x14ac:dyDescent="0.2">
      <c r="A54" s="48" t="s">
        <v>164</v>
      </c>
      <c r="B54" s="67"/>
      <c r="C54" s="67"/>
      <c r="D54" s="75">
        <f>SUM(D43:D53)</f>
        <v>2.0000000000000004E-2</v>
      </c>
      <c r="E54" s="50">
        <f>SUM(E42:E53)</f>
        <v>2637408.2157400004</v>
      </c>
      <c r="F54" s="70"/>
      <c r="G54" s="70"/>
      <c r="H54" s="67"/>
      <c r="I54" s="67"/>
      <c r="J54" s="48"/>
      <c r="K54" s="50">
        <f>SUM(K42:K53)</f>
        <v>2634809.15</v>
      </c>
      <c r="L54" s="53">
        <f>'Dec 14'!$K54/$K$2</f>
        <v>1.9983815120735736E-2</v>
      </c>
      <c r="M54" s="60"/>
    </row>
    <row r="55" spans="1:13" s="4" customFormat="1" ht="12.75" x14ac:dyDescent="0.2">
      <c r="A55" s="36"/>
      <c r="B55" s="63"/>
      <c r="C55" s="63"/>
      <c r="D55" s="76"/>
      <c r="E55" s="38"/>
      <c r="F55" s="38"/>
      <c r="G55" s="39"/>
      <c r="H55" s="63"/>
      <c r="I55" s="63"/>
      <c r="J55" s="36"/>
      <c r="K55" s="36"/>
      <c r="L55" s="42"/>
      <c r="M55" s="64"/>
    </row>
    <row r="56" spans="1:13" s="44" customFormat="1" ht="25.5" x14ac:dyDescent="0.25">
      <c r="A56" s="48" t="s">
        <v>165</v>
      </c>
      <c r="B56" s="55" t="s">
        <v>166</v>
      </c>
      <c r="C56" s="55" t="s">
        <v>167</v>
      </c>
      <c r="D56" s="56">
        <v>0</v>
      </c>
      <c r="E56" s="57">
        <f>'Dec 14'!$D56*$C$6*$C$2</f>
        <v>0</v>
      </c>
      <c r="F56" s="57">
        <v>0</v>
      </c>
      <c r="G56" s="58" t="s">
        <v>168</v>
      </c>
      <c r="H56" s="55">
        <v>0</v>
      </c>
      <c r="I56" s="55">
        <v>0</v>
      </c>
      <c r="J56" s="77">
        <f>I56-H56</f>
        <v>0</v>
      </c>
      <c r="K56" s="57">
        <f>'Dec 14'!$F56*'Dec 14'!$I56</f>
        <v>0</v>
      </c>
      <c r="L56" s="78">
        <f>'Dec 14'!$K56/$K$2</f>
        <v>0</v>
      </c>
      <c r="M56" s="55"/>
    </row>
    <row r="57" spans="1:13" s="4" customFormat="1" ht="12.75" x14ac:dyDescent="0.2">
      <c r="A57" s="36"/>
      <c r="B57" s="63"/>
      <c r="C57" s="63"/>
      <c r="D57" s="76"/>
      <c r="E57" s="38"/>
      <c r="F57" s="38"/>
      <c r="G57" s="39"/>
      <c r="H57" s="63"/>
      <c r="I57" s="63"/>
      <c r="J57" s="36"/>
      <c r="K57" s="36"/>
      <c r="L57" s="42"/>
      <c r="M57" s="64"/>
    </row>
    <row r="58" spans="1:13" s="4" customFormat="1" ht="12.75" x14ac:dyDescent="0.2">
      <c r="A58" s="36"/>
      <c r="B58" s="63"/>
      <c r="C58" s="63"/>
      <c r="D58" s="79"/>
      <c r="E58" s="65"/>
      <c r="F58" s="38"/>
      <c r="G58" s="39"/>
      <c r="H58" s="63"/>
      <c r="I58" s="63"/>
      <c r="J58" s="36"/>
      <c r="K58" s="36"/>
      <c r="L58" s="42"/>
      <c r="M58" s="64"/>
    </row>
    <row r="59" spans="1:13" s="17" customFormat="1" ht="12.75" x14ac:dyDescent="0.2">
      <c r="A59" s="48" t="s">
        <v>169</v>
      </c>
      <c r="B59" s="67"/>
      <c r="C59" s="67"/>
      <c r="D59" s="67"/>
      <c r="E59" s="80"/>
      <c r="F59" s="80"/>
      <c r="G59" s="48"/>
      <c r="H59" s="67"/>
      <c r="I59" s="67"/>
      <c r="J59" s="67"/>
      <c r="K59" s="80">
        <f>SUM(K26,K28,K41,K54,K56:K56)</f>
        <v>131847154.01345223</v>
      </c>
      <c r="L59" s="53">
        <f>'Dec 14'!$K59/$K$2</f>
        <v>1</v>
      </c>
      <c r="M59" s="67"/>
    </row>
    <row r="60" spans="1:13" s="4" customFormat="1" ht="12.75" x14ac:dyDescent="0.2">
      <c r="A60" s="64"/>
      <c r="B60" s="64"/>
      <c r="C60" s="64"/>
      <c r="D60" s="81"/>
      <c r="E60" s="82"/>
      <c r="F60" s="38"/>
      <c r="G60" s="83"/>
      <c r="H60" s="64"/>
      <c r="I60" s="64"/>
      <c r="J60" s="64"/>
      <c r="K60" s="64"/>
      <c r="L60" s="42"/>
      <c r="M60" s="64"/>
    </row>
    <row r="61" spans="1:13" s="4" customFormat="1" ht="12.75" x14ac:dyDescent="0.2">
      <c r="A61" s="64"/>
      <c r="B61" s="64"/>
      <c r="C61" s="64"/>
      <c r="D61" s="81"/>
      <c r="E61" s="82"/>
      <c r="F61" s="38"/>
      <c r="G61" s="83"/>
      <c r="H61" s="64"/>
      <c r="I61" s="64"/>
      <c r="J61" s="64"/>
      <c r="K61" s="64"/>
      <c r="L61" s="42"/>
      <c r="M61" s="64"/>
    </row>
    <row r="62" spans="1:13" s="4" customFormat="1" ht="12.75" x14ac:dyDescent="0.2">
      <c r="A62" s="64"/>
      <c r="B62" s="64"/>
      <c r="C62" s="64"/>
      <c r="D62" s="81"/>
      <c r="E62" s="82"/>
      <c r="F62" s="38"/>
      <c r="G62" s="83"/>
      <c r="H62" s="64"/>
      <c r="I62" s="64"/>
      <c r="J62" s="64"/>
      <c r="K62" s="64"/>
      <c r="L62" s="42"/>
      <c r="M62" s="64"/>
    </row>
    <row r="63" spans="1:13" s="4" customFormat="1" ht="12.75" x14ac:dyDescent="0.2">
      <c r="A63" s="64"/>
      <c r="B63" s="64"/>
      <c r="C63" s="64"/>
      <c r="D63" s="81"/>
      <c r="E63" s="82"/>
      <c r="F63" s="38"/>
      <c r="G63" s="83"/>
      <c r="H63" s="64"/>
      <c r="I63" s="64"/>
      <c r="J63" s="64"/>
      <c r="K63" s="64"/>
      <c r="L63" s="42"/>
      <c r="M63" s="64"/>
    </row>
    <row r="64" spans="1:13" s="4" customFormat="1" ht="12.75" x14ac:dyDescent="0.2">
      <c r="A64" s="64"/>
      <c r="B64" s="64"/>
      <c r="C64" s="64"/>
      <c r="D64" s="81"/>
      <c r="E64" s="82"/>
      <c r="F64" s="38"/>
      <c r="G64" s="83"/>
      <c r="H64" s="64"/>
      <c r="I64" s="64"/>
      <c r="J64" s="64"/>
      <c r="K64" s="64"/>
      <c r="L64" s="42"/>
      <c r="M64" s="64"/>
    </row>
    <row r="65" spans="1:13" s="4" customFormat="1" ht="12.75" x14ac:dyDescent="0.2">
      <c r="A65" s="64"/>
      <c r="B65" s="64"/>
      <c r="C65" s="64"/>
      <c r="D65" s="81"/>
      <c r="E65" s="82"/>
      <c r="F65" s="38"/>
      <c r="G65" s="83"/>
      <c r="H65" s="64"/>
      <c r="I65" s="64"/>
      <c r="J65" s="64"/>
      <c r="K65" s="64"/>
      <c r="L65" s="42"/>
      <c r="M65" s="64"/>
    </row>
    <row r="66" spans="1:13" s="4" customFormat="1" ht="12.75" x14ac:dyDescent="0.2">
      <c r="A66" s="64"/>
      <c r="B66" s="64"/>
      <c r="C66" s="64"/>
      <c r="D66" s="81"/>
      <c r="E66" s="82"/>
      <c r="F66" s="38"/>
      <c r="G66" s="83"/>
      <c r="H66" s="64"/>
      <c r="I66" s="64"/>
      <c r="J66" s="64"/>
      <c r="K66" s="64"/>
      <c r="L66" s="42"/>
      <c r="M66" s="64"/>
    </row>
    <row r="67" spans="1:13" s="4" customFormat="1" ht="12.75" x14ac:dyDescent="0.2">
      <c r="A67" s="64"/>
      <c r="B67" s="64"/>
      <c r="C67" s="64"/>
      <c r="D67" s="81"/>
      <c r="E67" s="82"/>
      <c r="F67" s="38"/>
      <c r="G67" s="83"/>
      <c r="H67" s="64"/>
      <c r="I67" s="64"/>
      <c r="J67" s="64"/>
      <c r="K67" s="64"/>
      <c r="L67" s="42"/>
      <c r="M67" s="64"/>
    </row>
    <row r="68" spans="1:13" s="4" customFormat="1" ht="12.75" x14ac:dyDescent="0.2">
      <c r="A68" s="64"/>
      <c r="B68" s="64"/>
      <c r="C68" s="64"/>
      <c r="D68" s="81"/>
      <c r="E68" s="82"/>
      <c r="F68" s="38"/>
      <c r="G68" s="83"/>
      <c r="H68" s="64"/>
      <c r="I68" s="64"/>
      <c r="J68" s="64"/>
      <c r="K68" s="64"/>
      <c r="L68" s="42"/>
      <c r="M68" s="64"/>
    </row>
    <row r="69" spans="1:13" s="4" customFormat="1" ht="12.75" x14ac:dyDescent="0.2"/>
    <row r="70" spans="1:13" s="4" customFormat="1" ht="12.75" x14ac:dyDescent="0.2"/>
    <row r="72" spans="1:13" s="4" customFormat="1" ht="12.75" x14ac:dyDescent="0.2">
      <c r="A72" s="84"/>
      <c r="B72" s="84"/>
      <c r="E72" s="84"/>
      <c r="F72" s="84"/>
      <c r="G72" s="84"/>
      <c r="H72" s="85"/>
      <c r="M72" s="84"/>
    </row>
    <row r="73" spans="1:13" s="4" customFormat="1" ht="12.75" x14ac:dyDescent="0.2">
      <c r="A73" s="84"/>
      <c r="B73" s="84"/>
      <c r="E73" s="84"/>
      <c r="F73" s="84"/>
      <c r="G73" s="84"/>
      <c r="H73" s="85"/>
      <c r="M73" s="84"/>
    </row>
    <row r="74" spans="1:13" s="4" customFormat="1" ht="12.75" x14ac:dyDescent="0.2">
      <c r="A74" s="86"/>
      <c r="B74" s="86"/>
    </row>
    <row r="75" spans="1:13" s="4" customFormat="1" ht="12.75" x14ac:dyDescent="0.2">
      <c r="A75" s="87"/>
      <c r="B75" s="87"/>
      <c r="E75" s="87"/>
      <c r="F75" s="86"/>
      <c r="G75" s="86"/>
      <c r="M75" s="88"/>
    </row>
    <row r="76" spans="1:13" s="4" customFormat="1" ht="12.75" x14ac:dyDescent="0.2"/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H74"/>
  <sheetViews>
    <sheetView zoomScale="140" zoomScaleNormal="140" workbookViewId="0">
      <pane xSplit="2" topLeftCell="C1" activePane="topRight" state="frozen"/>
      <selection pane="topRight" activeCell="H4" sqref="H4"/>
    </sheetView>
  </sheetViews>
  <sheetFormatPr defaultColWidth="9.140625" defaultRowHeight="15" x14ac:dyDescent="0.25"/>
  <cols>
    <col min="1" max="2" width="15.140625" style="4" customWidth="1"/>
    <col min="3" max="3" width="29.28515625" style="4" customWidth="1"/>
    <col min="4" max="4" width="14.85546875" style="4" customWidth="1"/>
    <col min="5" max="5" width="27.42578125" style="4" customWidth="1"/>
    <col min="6" max="7" width="13.7109375" style="4" customWidth="1"/>
    <col min="8" max="8" width="16.42578125" style="4" customWidth="1"/>
    <col min="9" max="9" width="15.42578125" style="4" customWidth="1"/>
    <col min="10" max="10" width="13.42578125" customWidth="1"/>
    <col min="11" max="11" width="23.42578125" customWidth="1"/>
    <col min="12" max="12" width="13.42578125" customWidth="1"/>
    <col min="13" max="13" width="22.42578125" style="4" customWidth="1"/>
    <col min="14" max="16" width="10.85546875" style="4" customWidth="1"/>
    <col min="17" max="17" width="11.28515625" style="4" customWidth="1"/>
    <col min="18" max="1022" width="9.140625" style="4"/>
  </cols>
  <sheetData>
    <row r="1" spans="1:17" s="4" customFormat="1" ht="25.5" x14ac:dyDescent="0.2">
      <c r="A1" s="5"/>
      <c r="B1" s="5" t="s">
        <v>95</v>
      </c>
      <c r="C1" s="6">
        <v>44180</v>
      </c>
      <c r="D1" s="7"/>
      <c r="E1" s="8" t="s">
        <v>96</v>
      </c>
      <c r="F1" s="9"/>
      <c r="G1" s="10"/>
      <c r="K1" s="11" t="s">
        <v>97</v>
      </c>
      <c r="L1" s="11" t="s">
        <v>98</v>
      </c>
      <c r="M1" s="12" t="s">
        <v>99</v>
      </c>
    </row>
    <row r="2" spans="1:17" x14ac:dyDescent="0.25">
      <c r="A2" s="5"/>
      <c r="B2" s="5" t="s">
        <v>100</v>
      </c>
      <c r="C2" s="13">
        <v>5.0999999999999996</v>
      </c>
      <c r="D2" s="14"/>
      <c r="E2" s="15">
        <f>SUM(E24,E39,E52,E26,E54)</f>
        <v>143578473.21912745</v>
      </c>
      <c r="F2" s="16"/>
      <c r="G2" s="17"/>
      <c r="H2" s="14"/>
      <c r="I2" s="14"/>
      <c r="J2" s="14"/>
      <c r="K2" s="15">
        <f>SUM(K24,K39,K52,K26,K54:K54)</f>
        <v>143622774.73660344</v>
      </c>
      <c r="L2" s="18">
        <f>SUM(L52,L39,L24,L26,L54)</f>
        <v>1.0000000000000002</v>
      </c>
      <c r="M2" s="19">
        <f>K2/$C$6</f>
        <v>5.101588923203221</v>
      </c>
      <c r="N2" s="20"/>
    </row>
    <row r="3" spans="1:17" ht="26.25" x14ac:dyDescent="0.25">
      <c r="A3" s="5"/>
      <c r="B3" s="5" t="s">
        <v>101</v>
      </c>
      <c r="C3" s="21">
        <v>28152557.350000001</v>
      </c>
      <c r="D3" s="22"/>
      <c r="E3" s="8" t="s">
        <v>170</v>
      </c>
      <c r="F3" s="16"/>
      <c r="H3" s="14"/>
      <c r="I3" s="14"/>
      <c r="J3" s="14"/>
      <c r="K3" s="8" t="s">
        <v>102</v>
      </c>
      <c r="L3" s="14"/>
      <c r="M3" s="12" t="s">
        <v>171</v>
      </c>
      <c r="N3" s="23"/>
    </row>
    <row r="4" spans="1:17" x14ac:dyDescent="0.25">
      <c r="A4" s="5"/>
      <c r="B4" s="5" t="s">
        <v>104</v>
      </c>
      <c r="C4" s="21">
        <v>0</v>
      </c>
      <c r="D4" s="22"/>
      <c r="E4" s="15">
        <f>SUM(E24,E52,E26)</f>
        <v>58867428.152977459</v>
      </c>
      <c r="F4" s="16"/>
      <c r="G4" s="17"/>
      <c r="H4" s="14"/>
      <c r="I4" s="14"/>
      <c r="J4" s="14"/>
      <c r="K4" s="15">
        <f>SUM(K24,K26,K52)</f>
        <v>58862266.058970377</v>
      </c>
      <c r="L4" s="14"/>
      <c r="M4" s="19">
        <f>K4/$C$6</f>
        <v>2.0908319385404033</v>
      </c>
      <c r="N4" s="23"/>
    </row>
    <row r="5" spans="1:17" x14ac:dyDescent="0.25">
      <c r="A5" s="5"/>
      <c r="B5" s="5" t="s">
        <v>105</v>
      </c>
      <c r="C5" s="21">
        <v>0</v>
      </c>
      <c r="D5" s="22"/>
      <c r="E5" s="16"/>
      <c r="F5" s="16"/>
      <c r="G5" s="24">
        <f>SUM(D24,D26,D39,D52,D54:D54)</f>
        <v>1.0000029999999998</v>
      </c>
      <c r="H5" s="14"/>
      <c r="I5" s="14"/>
      <c r="J5" s="14"/>
      <c r="K5" s="14"/>
      <c r="L5" s="14"/>
      <c r="M5" s="14"/>
      <c r="N5" s="23"/>
    </row>
    <row r="6" spans="1:17" x14ac:dyDescent="0.25">
      <c r="A6" s="5"/>
      <c r="B6" s="5" t="s">
        <v>106</v>
      </c>
      <c r="C6" s="21">
        <f>C3+C4-C5</f>
        <v>28152557.350000001</v>
      </c>
      <c r="D6" s="22"/>
      <c r="E6" s="16"/>
      <c r="F6" s="16"/>
      <c r="G6" s="17"/>
      <c r="H6" s="14"/>
      <c r="I6" s="14"/>
      <c r="J6" s="14"/>
      <c r="K6" s="14"/>
      <c r="L6" s="14"/>
      <c r="M6" s="14"/>
      <c r="N6" s="23"/>
    </row>
    <row r="7" spans="1:17" x14ac:dyDescent="0.25">
      <c r="A7" s="25"/>
      <c r="B7" s="26"/>
      <c r="C7" s="26"/>
      <c r="D7" s="27"/>
      <c r="E7" s="28"/>
      <c r="F7" s="28"/>
      <c r="G7" s="28"/>
      <c r="H7" s="29"/>
      <c r="I7" s="29"/>
      <c r="J7" s="29"/>
      <c r="K7" s="14"/>
      <c r="L7" s="14"/>
      <c r="M7" s="14"/>
      <c r="N7" s="23"/>
    </row>
    <row r="8" spans="1:17" s="34" customFormat="1" ht="38.25" x14ac:dyDescent="0.2">
      <c r="A8" s="30" t="s">
        <v>107</v>
      </c>
      <c r="B8" s="30" t="s">
        <v>108</v>
      </c>
      <c r="C8" s="31" t="s">
        <v>1</v>
      </c>
      <c r="D8" s="31" t="s">
        <v>109</v>
      </c>
      <c r="E8" s="31" t="s">
        <v>110</v>
      </c>
      <c r="F8" s="31" t="s">
        <v>111</v>
      </c>
      <c r="G8" s="31" t="s">
        <v>112</v>
      </c>
      <c r="H8" s="31" t="s">
        <v>113</v>
      </c>
      <c r="I8" s="31" t="s">
        <v>114</v>
      </c>
      <c r="J8" s="31" t="s">
        <v>115</v>
      </c>
      <c r="K8" s="32" t="s">
        <v>116</v>
      </c>
      <c r="L8" s="32" t="s">
        <v>117</v>
      </c>
      <c r="M8" s="32" t="s">
        <v>118</v>
      </c>
      <c r="N8" s="33"/>
      <c r="Q8" s="35"/>
    </row>
    <row r="9" spans="1:17" s="45" customFormat="1" ht="12.75" customHeight="1" x14ac:dyDescent="0.25">
      <c r="A9" s="36" t="s">
        <v>119</v>
      </c>
      <c r="B9" s="36" t="s">
        <v>43</v>
      </c>
      <c r="C9" s="36" t="s">
        <v>44</v>
      </c>
      <c r="D9" s="37">
        <v>8.0940000000000005E-3</v>
      </c>
      <c r="E9" s="38">
        <f>'Dec 15'!$D9*$C$6*$C$2</f>
        <v>1162120.6758735902</v>
      </c>
      <c r="F9" s="38">
        <v>397</v>
      </c>
      <c r="G9" s="39">
        <f>'Dec 15'!$E9/'Dec 15'!$F9</f>
        <v>2927.2561105128216</v>
      </c>
      <c r="H9" s="36">
        <v>2716</v>
      </c>
      <c r="I9" s="36">
        <f>ROUND(Table13895845679910111213144562678910111213141516171819202134567891011121314151617181920212223345678910111213141516171819203456789101112[[#This Row],[Target Quantity]],0)</f>
        <v>2927</v>
      </c>
      <c r="J9" s="40">
        <f t="shared" ref="J9:J22" si="0">I9-H9</f>
        <v>211</v>
      </c>
      <c r="K9" s="41">
        <f>'Dec 15'!$F9*'Dec 15'!$I9</f>
        <v>1162019</v>
      </c>
      <c r="L9" s="42">
        <f>'Dec 15'!$K9/$K$2</f>
        <v>8.0907711338336231E-3</v>
      </c>
      <c r="M9" s="36"/>
      <c r="O9" s="44"/>
    </row>
    <row r="10" spans="1:17" s="45" customFormat="1" ht="12.75" customHeight="1" x14ac:dyDescent="0.25">
      <c r="A10" s="36" t="s">
        <v>119</v>
      </c>
      <c r="B10" s="36" t="s">
        <v>25</v>
      </c>
      <c r="C10" s="36" t="s">
        <v>26</v>
      </c>
      <c r="D10" s="37">
        <v>8.0940000000000005E-3</v>
      </c>
      <c r="E10" s="38">
        <f>'Dec 15'!$D10*$C$6*$C$2</f>
        <v>1162120.6758735902</v>
      </c>
      <c r="F10" s="38">
        <v>286.29988974641702</v>
      </c>
      <c r="G10" s="39">
        <f>'Dec 15'!$E10/'Dec 15'!$F10</f>
        <v>4059.1027712337213</v>
      </c>
      <c r="H10" s="36">
        <v>3628</v>
      </c>
      <c r="I10" s="36">
        <f>ROUND(Table13895845679910111213144562678910111213141516171819202134567891011121314151617181920212223345678910111213141516171819203456789101112[[#This Row],[Target Quantity]],0)</f>
        <v>4059</v>
      </c>
      <c r="J10" s="40">
        <f t="shared" si="0"/>
        <v>431</v>
      </c>
      <c r="K10" s="41">
        <f>'Dec 15'!$F10*'Dec 15'!$I10</f>
        <v>1162091.2524807067</v>
      </c>
      <c r="L10" s="42">
        <f>'Dec 15'!$K10/$K$2</f>
        <v>8.0912742050271661E-3</v>
      </c>
      <c r="M10" s="36"/>
      <c r="O10" s="44"/>
    </row>
    <row r="11" spans="1:17" s="45" customFormat="1" ht="12.75" customHeight="1" x14ac:dyDescent="0.25">
      <c r="A11" s="36" t="s">
        <v>119</v>
      </c>
      <c r="B11" s="36" t="s">
        <v>33</v>
      </c>
      <c r="C11" s="36" t="s">
        <v>34</v>
      </c>
      <c r="D11" s="37">
        <v>8.0940000000000005E-3</v>
      </c>
      <c r="E11" s="38">
        <f>'Dec 15'!$D11*$C$6*$C$2</f>
        <v>1162120.6758735902</v>
      </c>
      <c r="F11" s="38">
        <v>38.200007409053903</v>
      </c>
      <c r="G11" s="39">
        <f>'Dec 15'!$E11/'Dec 15'!$F11</f>
        <v>30422.001321344047</v>
      </c>
      <c r="H11" s="36">
        <v>26994</v>
      </c>
      <c r="I11" s="36">
        <f>ROUND(Table13895845679910111213144562678910111213141516171819202134567891011121314151617181920212223345678910111213141516171819203456789101112[[#This Row],[Target Quantity]],0)</f>
        <v>30422</v>
      </c>
      <c r="J11" s="40">
        <f t="shared" si="0"/>
        <v>3428</v>
      </c>
      <c r="K11" s="41">
        <f>'Dec 15'!$F11*'Dec 15'!$I11</f>
        <v>1162120.6253982377</v>
      </c>
      <c r="L11" s="42">
        <f>'Dec 15'!$K11/$K$2</f>
        <v>8.0914787193709734E-3</v>
      </c>
      <c r="M11" s="36"/>
      <c r="O11" s="44"/>
    </row>
    <row r="12" spans="1:17" s="45" customFormat="1" ht="12.75" customHeight="1" x14ac:dyDescent="0.25">
      <c r="A12" s="36" t="s">
        <v>119</v>
      </c>
      <c r="B12" s="36" t="s">
        <v>19</v>
      </c>
      <c r="C12" s="36" t="s">
        <v>20</v>
      </c>
      <c r="D12" s="37">
        <v>8.0940000000000005E-3</v>
      </c>
      <c r="E12" s="38">
        <f>'Dec 15'!$D12*$C$6*$C$2</f>
        <v>1162120.6758735902</v>
      </c>
      <c r="F12" s="38">
        <v>504.31021377672198</v>
      </c>
      <c r="G12" s="39">
        <f>'Dec 15'!$E12/'Dec 15'!$F12</f>
        <v>2304.3766398673552</v>
      </c>
      <c r="H12" s="36">
        <v>2105</v>
      </c>
      <c r="I12" s="36">
        <f>ROUND(Table13895845679910111213144562678910111213141516171819202134567891011121314151617181920212223345678910111213141516171819203456789101112[[#This Row],[Target Quantity]],0)</f>
        <v>2304</v>
      </c>
      <c r="J12" s="40">
        <f t="shared" si="0"/>
        <v>199</v>
      </c>
      <c r="K12" s="41">
        <f>'Dec 15'!$F12*'Dec 15'!$I12</f>
        <v>1161930.7325415674</v>
      </c>
      <c r="L12" s="42">
        <f>'Dec 15'!$K12/$K$2</f>
        <v>8.0901565554104271E-3</v>
      </c>
      <c r="M12" s="36"/>
      <c r="O12" s="92"/>
    </row>
    <row r="13" spans="1:17" s="45" customFormat="1" ht="12.75" customHeight="1" x14ac:dyDescent="0.25">
      <c r="A13" s="36" t="s">
        <v>119</v>
      </c>
      <c r="B13" s="36" t="s">
        <v>29</v>
      </c>
      <c r="C13" s="36" t="s">
        <v>30</v>
      </c>
      <c r="D13" s="37">
        <v>8.0940000000000005E-3</v>
      </c>
      <c r="E13" s="38">
        <f>'Dec 15'!$D13*$C$6*$C$2</f>
        <v>1162120.6758735902</v>
      </c>
      <c r="F13" s="38">
        <v>20.339994530395401</v>
      </c>
      <c r="G13" s="39">
        <f>'Dec 15'!$E13/'Dec 15'!$F13</f>
        <v>57134.758523998433</v>
      </c>
      <c r="H13" s="36">
        <v>51192</v>
      </c>
      <c r="I13" s="36">
        <f>ROUND(Table13895845679910111213144562678910111213141516171819202134567891011121314151617181920212223345678910111213141516171819203456789101112[[#This Row],[Target Quantity]],0)</f>
        <v>57135</v>
      </c>
      <c r="J13" s="40">
        <f t="shared" si="0"/>
        <v>5943</v>
      </c>
      <c r="K13" s="41">
        <f>'Dec 15'!$F13*'Dec 15'!$I13</f>
        <v>1162125.5874941412</v>
      </c>
      <c r="L13" s="42">
        <f>'Dec 15'!$K13/$K$2</f>
        <v>8.0915132688768755E-3</v>
      </c>
      <c r="M13" s="36"/>
      <c r="O13" s="44"/>
    </row>
    <row r="14" spans="1:17" s="45" customFormat="1" ht="12.75" customHeight="1" x14ac:dyDescent="0.25">
      <c r="A14" s="36" t="s">
        <v>119</v>
      </c>
      <c r="B14" s="36" t="s">
        <v>21</v>
      </c>
      <c r="C14" s="36" t="s">
        <v>22</v>
      </c>
      <c r="D14" s="37">
        <v>8.0940000000000005E-3</v>
      </c>
      <c r="E14" s="38">
        <f>'Dec 15'!$D14*$C$6*$C$2</f>
        <v>1162120.6758735902</v>
      </c>
      <c r="F14" s="38">
        <v>36.6199909480207</v>
      </c>
      <c r="G14" s="39">
        <f>'Dec 15'!$E14/'Dec 15'!$F14</f>
        <v>31734.597573307223</v>
      </c>
      <c r="H14" s="36">
        <v>28723</v>
      </c>
      <c r="I14" s="36">
        <f>ROUND(Table13895845679910111213144562678910111213141516171819202134567891011121314151617181920212223345678910111213141516171819203456789101112[[#This Row],[Target Quantity]],0)</f>
        <v>31735</v>
      </c>
      <c r="J14" s="40">
        <f t="shared" si="0"/>
        <v>3012</v>
      </c>
      <c r="K14" s="41">
        <f>'Dec 15'!$F14*'Dec 15'!$I14</f>
        <v>1162135.4127354368</v>
      </c>
      <c r="L14" s="42">
        <f>'Dec 15'!$K14/$K$2</f>
        <v>8.0915816789275345E-3</v>
      </c>
      <c r="M14" s="36"/>
      <c r="O14" s="44"/>
    </row>
    <row r="15" spans="1:17" s="45" customFormat="1" ht="12.75" customHeight="1" x14ac:dyDescent="0.25">
      <c r="A15" s="36" t="s">
        <v>119</v>
      </c>
      <c r="B15" s="36" t="s">
        <v>37</v>
      </c>
      <c r="C15" s="36" t="s">
        <v>38</v>
      </c>
      <c r="D15" s="37">
        <v>8.0940000000000005E-3</v>
      </c>
      <c r="E15" s="38">
        <f>'Dec 15'!$D15*$C$6*$C$2</f>
        <v>1162120.6758735902</v>
      </c>
      <c r="F15" s="38">
        <v>68.509993247805497</v>
      </c>
      <c r="G15" s="39">
        <f>'Dec 15'!$E15/'Dec 15'!$F15</f>
        <v>16962.790693470328</v>
      </c>
      <c r="H15" s="36">
        <v>14810</v>
      </c>
      <c r="I15" s="36">
        <f>ROUND(Table13895845679910111213144562678910111213141516171819202134567891011121314151617181920212223345678910111213141516171819203456789101112[[#This Row],[Target Quantity]],0)</f>
        <v>16963</v>
      </c>
      <c r="J15" s="40">
        <f t="shared" si="0"/>
        <v>2153</v>
      </c>
      <c r="K15" s="41">
        <f>'Dec 15'!$F15*'Dec 15'!$I15</f>
        <v>1162135.0154625247</v>
      </c>
      <c r="L15" s="42">
        <f>'Dec 15'!$K15/$K$2</f>
        <v>8.0915789128417747E-3</v>
      </c>
      <c r="M15" s="36"/>
      <c r="O15" s="44"/>
    </row>
    <row r="16" spans="1:17" s="45" customFormat="1" ht="12.75" customHeight="1" x14ac:dyDescent="0.25">
      <c r="A16" s="36" t="s">
        <v>119</v>
      </c>
      <c r="B16" s="36" t="s">
        <v>23</v>
      </c>
      <c r="C16" s="36" t="s">
        <v>24</v>
      </c>
      <c r="D16" s="37">
        <v>8.0940000000000005E-3</v>
      </c>
      <c r="E16" s="38">
        <f>'Dec 15'!$D16*$C$6*$C$2</f>
        <v>1162120.6758735902</v>
      </c>
      <c r="F16" s="38">
        <v>252.72010543973201</v>
      </c>
      <c r="G16" s="39">
        <f>'Dec 15'!$E16/'Dec 15'!$F16</f>
        <v>4598.4496320603566</v>
      </c>
      <c r="H16" s="36">
        <v>4173</v>
      </c>
      <c r="I16" s="36">
        <f>ROUND(Table13895845679910111213144562678910111213141516171819202134567891011121314151617181920212223345678910111213141516171819203456789101112[[#This Row],[Target Quantity]],0)</f>
        <v>4598</v>
      </c>
      <c r="J16" s="40">
        <f t="shared" si="0"/>
        <v>425</v>
      </c>
      <c r="K16" s="41">
        <f>'Dec 15'!$F16*'Dec 15'!$I16</f>
        <v>1162007.0448118877</v>
      </c>
      <c r="L16" s="42">
        <f>'Dec 15'!$K16/$K$2</f>
        <v>8.090687893636277E-3</v>
      </c>
      <c r="M16" s="36"/>
      <c r="O16" s="44"/>
    </row>
    <row r="17" spans="1:15" s="45" customFormat="1" ht="12.75" customHeight="1" x14ac:dyDescent="0.25">
      <c r="A17" s="36" t="s">
        <v>119</v>
      </c>
      <c r="B17" s="36" t="s">
        <v>15</v>
      </c>
      <c r="C17" s="36" t="s">
        <v>16</v>
      </c>
      <c r="D17" s="37">
        <v>8.0940000000000005E-3</v>
      </c>
      <c r="E17" s="38">
        <f>'Dec 15'!$D17*$C$6*$C$2</f>
        <v>1162120.6758735902</v>
      </c>
      <c r="F17" s="38">
        <v>134.819953234606</v>
      </c>
      <c r="G17" s="39">
        <f>'Dec 15'!$E17/'Dec 15'!$F17</f>
        <v>8619.797351889998</v>
      </c>
      <c r="H17" s="36">
        <v>7698</v>
      </c>
      <c r="I17" s="36">
        <f>ROUND(Table13895845679910111213144562678910111213141516171819202134567891011121314151617181920212223345678910111213141516171819203456789101112[[#This Row],[Target Quantity]],0)</f>
        <v>8620</v>
      </c>
      <c r="J17" s="40">
        <f t="shared" si="0"/>
        <v>922</v>
      </c>
      <c r="K17" s="41">
        <f>'Dec 15'!$F17*'Dec 15'!$I17</f>
        <v>1162147.9968823039</v>
      </c>
      <c r="L17" s="42">
        <f>'Dec 15'!$K17/$K$2</f>
        <v>8.0916692983659562E-3</v>
      </c>
      <c r="M17" s="36"/>
      <c r="O17" s="44"/>
    </row>
    <row r="18" spans="1:15" s="45" customFormat="1" ht="12.75" customHeight="1" x14ac:dyDescent="0.25">
      <c r="A18" s="36" t="s">
        <v>119</v>
      </c>
      <c r="B18" s="36" t="s">
        <v>27</v>
      </c>
      <c r="C18" s="36" t="s">
        <v>28</v>
      </c>
      <c r="D18" s="37">
        <v>8.0940000000000005E-3</v>
      </c>
      <c r="E18" s="38">
        <f>'Dec 15'!$D18*$C$6*$C$2</f>
        <v>1162120.6758735902</v>
      </c>
      <c r="F18" s="38">
        <v>41.799992075755803</v>
      </c>
      <c r="G18" s="39">
        <f>'Dec 15'!$E18/'Dec 15'!$F18</f>
        <v>27801.935315380735</v>
      </c>
      <c r="H18" s="36">
        <v>25239</v>
      </c>
      <c r="I18" s="36">
        <f>ROUND(Table13895845679910111213144562678910111213141516171819202134567891011121314151617181920212223345678910111213141516171819203456789101112[[#This Row],[Target Quantity]],0)</f>
        <v>27802</v>
      </c>
      <c r="J18" s="40">
        <f t="shared" si="0"/>
        <v>2563</v>
      </c>
      <c r="K18" s="41">
        <f>'Dec 15'!$F18*'Dec 15'!$I18</f>
        <v>1162123.3796901628</v>
      </c>
      <c r="L18" s="42">
        <f>'Dec 15'!$K18/$K$2</f>
        <v>8.0914978966353732E-3</v>
      </c>
      <c r="M18" s="36"/>
      <c r="O18" s="91"/>
    </row>
    <row r="19" spans="1:15" s="45" customFormat="1" ht="12.75" customHeight="1" x14ac:dyDescent="0.25">
      <c r="A19" s="36" t="s">
        <v>119</v>
      </c>
      <c r="B19" s="36" t="s">
        <v>41</v>
      </c>
      <c r="C19" s="36" t="s">
        <v>42</v>
      </c>
      <c r="D19" s="37">
        <v>8.0940000000000005E-3</v>
      </c>
      <c r="E19" s="38">
        <f>'Dec 15'!$D19*$C$6*$C$2</f>
        <v>1162120.6758735902</v>
      </c>
      <c r="F19" s="38">
        <v>34.670001656451902</v>
      </c>
      <c r="G19" s="39">
        <f>'Dec 15'!$E19/'Dec 15'!$F19</f>
        <v>33519.487174795846</v>
      </c>
      <c r="H19" s="36">
        <v>30185</v>
      </c>
      <c r="I19" s="36">
        <f>ROUND(Table13895845679910111213144562678910111213141516171819202134567891011121314151617181920212223345678910111213141516171819203456789101112[[#This Row],[Target Quantity]],0)</f>
        <v>33519</v>
      </c>
      <c r="J19" s="40">
        <f t="shared" si="0"/>
        <v>3334</v>
      </c>
      <c r="K19" s="41">
        <f>'Dec 15'!$F19*'Dec 15'!$I19</f>
        <v>1162103.7855226113</v>
      </c>
      <c r="L19" s="42">
        <f>'Dec 15'!$K19/$K$2</f>
        <v>8.091361468637882E-3</v>
      </c>
      <c r="M19" s="36"/>
      <c r="O19" s="91"/>
    </row>
    <row r="20" spans="1:15" s="45" customFormat="1" ht="12.75" customHeight="1" x14ac:dyDescent="0.25">
      <c r="A20" s="36" t="s">
        <v>119</v>
      </c>
      <c r="B20" s="36" t="s">
        <v>35</v>
      </c>
      <c r="C20" s="36" t="s">
        <v>36</v>
      </c>
      <c r="D20" s="37">
        <v>8.0940000000000005E-3</v>
      </c>
      <c r="E20" s="38">
        <f>'Dec 15'!$D20*$C$6*$C$2</f>
        <v>1162120.6758735902</v>
      </c>
      <c r="F20" s="38">
        <v>153.39996954933</v>
      </c>
      <c r="G20" s="39">
        <f>'Dec 15'!$E20/'Dec 15'!$F20</f>
        <v>7575.7555838358767</v>
      </c>
      <c r="H20" s="36">
        <v>6568</v>
      </c>
      <c r="I20" s="36">
        <f>ROUND(Table13895845679910111213144562678910111213141516171819202134567891011121314151617181920212223345678910111213141516171819203456789101112[[#This Row],[Target Quantity]],0)</f>
        <v>7576</v>
      </c>
      <c r="J20" s="40">
        <f t="shared" si="0"/>
        <v>1008</v>
      </c>
      <c r="K20" s="41">
        <f>'Dec 15'!$F20*'Dec 15'!$I20</f>
        <v>1162158.1693057241</v>
      </c>
      <c r="L20" s="42">
        <f>'Dec 15'!$K20/$K$2</f>
        <v>8.0917401257360518E-3</v>
      </c>
      <c r="M20" s="36"/>
      <c r="O20" s="91"/>
    </row>
    <row r="21" spans="1:15" s="45" customFormat="1" ht="12.75" customHeight="1" x14ac:dyDescent="0.25">
      <c r="A21" s="36" t="s">
        <v>119</v>
      </c>
      <c r="B21" s="36" t="s">
        <v>39</v>
      </c>
      <c r="C21" s="36" t="s">
        <v>40</v>
      </c>
      <c r="D21" s="37">
        <v>0.22662499999999999</v>
      </c>
      <c r="E21" s="38">
        <f>'Dec 15'!$D21*$C$6*$C$2</f>
        <v>32538373.878163125</v>
      </c>
      <c r="F21" s="38">
        <v>305.13000993370798</v>
      </c>
      <c r="G21" s="39">
        <f>'Dec 15'!$E21/'Dec 15'!$F21</f>
        <v>106637.73741964075</v>
      </c>
      <c r="H21" s="36">
        <v>98654</v>
      </c>
      <c r="I21" s="36">
        <f>ROUND(Table13895845679910111213144562678910111213141516171819202134567891011121314151617181920212223345678910111213141516171819203456789101112[[#This Row],[Target Quantity]],0)</f>
        <v>106638</v>
      </c>
      <c r="J21" s="40">
        <f t="shared" si="0"/>
        <v>7984</v>
      </c>
      <c r="K21" s="41">
        <f>'Dec 15'!$F21*'Dec 15'!$I21</f>
        <v>32538453.999310751</v>
      </c>
      <c r="L21" s="42">
        <f>'Dec 15'!$K21/$K$2</f>
        <v>0.22655497402124802</v>
      </c>
      <c r="M21" s="36"/>
      <c r="O21" s="93"/>
    </row>
    <row r="22" spans="1:15" s="45" customFormat="1" ht="12.75" customHeight="1" x14ac:dyDescent="0.25">
      <c r="A22" s="36" t="s">
        <v>119</v>
      </c>
      <c r="B22" s="45" t="s">
        <v>11</v>
      </c>
      <c r="C22" s="36" t="s">
        <v>12</v>
      </c>
      <c r="D22" s="37">
        <v>2.6249999999999999E-2</v>
      </c>
      <c r="E22" s="38">
        <f>'Dec 15'!$D22*$C$6*$C$2</f>
        <v>3768923.6152312495</v>
      </c>
      <c r="F22" s="38">
        <v>2.48582328737458</v>
      </c>
      <c r="G22" s="39">
        <f>'Dec 15'!$E22/'Dec 15'!$F22</f>
        <v>1516167.1524977244</v>
      </c>
      <c r="H22" s="36">
        <v>1385300</v>
      </c>
      <c r="I22" s="36">
        <f>ROUND(Table13895845679910111213144562678910111213141516171819202134567891011121314151617181920212223345678910111213141516171819203456789101112[[#This Row],[Target Quantity]],-2)</f>
        <v>1516200</v>
      </c>
      <c r="J22" s="40">
        <f t="shared" si="0"/>
        <v>130900</v>
      </c>
      <c r="K22" s="41">
        <f>'Dec 15'!$F22*'Dec 15'!$I22</f>
        <v>3769005.2683173381</v>
      </c>
      <c r="L22" s="42">
        <f>'Dec 15'!$K22/$K$2</f>
        <v>2.6242392790624566E-2</v>
      </c>
      <c r="M22" s="36"/>
    </row>
    <row r="23" spans="1:15" s="45" customFormat="1" ht="12.75" customHeight="1" x14ac:dyDescent="0.25">
      <c r="A23" s="36"/>
      <c r="B23" s="36"/>
      <c r="C23" s="36"/>
      <c r="D23" s="37"/>
      <c r="E23" s="38"/>
      <c r="F23" s="38"/>
      <c r="G23" s="39"/>
      <c r="H23" s="36"/>
      <c r="I23" s="36"/>
      <c r="J23" s="46"/>
      <c r="K23" s="38"/>
      <c r="L23" s="47"/>
      <c r="M23" s="36"/>
      <c r="O23" s="91"/>
    </row>
    <row r="24" spans="1:15" s="54" customFormat="1" ht="12.75" customHeight="1" x14ac:dyDescent="0.25">
      <c r="A24" s="48" t="s">
        <v>136</v>
      </c>
      <c r="B24" s="48"/>
      <c r="C24" s="48"/>
      <c r="D24" s="49">
        <f>SUM(D9:D23)</f>
        <v>0.35000300000000001</v>
      </c>
      <c r="E24" s="50">
        <f>'Dec 15'!$D24*$C$6*$C$2</f>
        <v>50252745.603877455</v>
      </c>
      <c r="F24" s="51"/>
      <c r="G24" s="51"/>
      <c r="H24" s="48"/>
      <c r="I24" s="48"/>
      <c r="J24" s="52"/>
      <c r="K24" s="50">
        <f>SUM(K9:K23)</f>
        <v>50252557.2699534</v>
      </c>
      <c r="L24" s="53">
        <f>'Dec 15'!$K24/$K$2</f>
        <v>0.34989267796917256</v>
      </c>
      <c r="M24" s="48"/>
      <c r="O24" s="90"/>
    </row>
    <row r="25" spans="1:15" s="45" customFormat="1" ht="12.75" customHeight="1" x14ac:dyDescent="0.25">
      <c r="A25" s="36"/>
      <c r="B25" s="36"/>
      <c r="C25" s="36"/>
      <c r="D25" s="37"/>
      <c r="E25" s="38"/>
      <c r="F25" s="38"/>
      <c r="G25" s="39"/>
      <c r="H25" s="36"/>
      <c r="I25" s="36"/>
      <c r="J25" s="46"/>
      <c r="K25" s="38"/>
      <c r="L25" s="42"/>
      <c r="M25" s="36"/>
      <c r="O25" s="89"/>
    </row>
    <row r="26" spans="1:15" s="44" customFormat="1" ht="12.75" customHeight="1" x14ac:dyDescent="0.25">
      <c r="A26" s="55"/>
      <c r="B26" s="48" t="s">
        <v>31</v>
      </c>
      <c r="C26" s="55" t="s">
        <v>32</v>
      </c>
      <c r="D26" s="56">
        <v>0.04</v>
      </c>
      <c r="E26" s="57">
        <f>'Dec 15'!$D26*$C$6*$C$2</f>
        <v>5743121.6993999993</v>
      </c>
      <c r="F26" s="51">
        <v>17.590001818452301</v>
      </c>
      <c r="G26" s="58">
        <f>'Dec 15'!$E26/'Dec 15'!$F26</f>
        <v>326499.21010100964</v>
      </c>
      <c r="H26" s="55">
        <v>302455</v>
      </c>
      <c r="I26" s="55">
        <f>ROUND(Table13895845679910111213144562678910111213141516171819202134567891011121314151617181920212223345678910111213141516171819203456789101112[[#This Row],[Target Quantity]],0)</f>
        <v>326499</v>
      </c>
      <c r="J26" s="59">
        <f>I26-H26</f>
        <v>24044</v>
      </c>
      <c r="K26" s="60">
        <f>'Dec 15'!$F26*'Dec 15'!$I26</f>
        <v>5743118.0037228577</v>
      </c>
      <c r="L26" s="53">
        <f>'Dec 15'!$K26/$K$2</f>
        <v>3.998751600681321E-2</v>
      </c>
      <c r="M26" s="48"/>
      <c r="O26" s="61"/>
    </row>
    <row r="27" spans="1:15" s="44" customFormat="1" ht="12.75" customHeight="1" x14ac:dyDescent="0.25">
      <c r="A27" s="36"/>
      <c r="B27" s="36"/>
      <c r="C27" s="36"/>
      <c r="D27" s="37"/>
      <c r="E27" s="38"/>
      <c r="F27" s="38"/>
      <c r="G27" s="39"/>
      <c r="H27" s="36"/>
      <c r="I27" s="36"/>
      <c r="J27" s="46"/>
      <c r="K27" s="41"/>
      <c r="L27" s="42"/>
      <c r="M27" s="36"/>
      <c r="O27" s="61"/>
    </row>
    <row r="28" spans="1:15" s="4" customFormat="1" ht="25.5" x14ac:dyDescent="0.2">
      <c r="A28" s="36" t="s">
        <v>137</v>
      </c>
      <c r="B28" s="62" t="s">
        <v>75</v>
      </c>
      <c r="C28" s="63" t="s">
        <v>76</v>
      </c>
      <c r="D28" s="37">
        <v>5.8999999999999997E-2</v>
      </c>
      <c r="E28" s="38">
        <f>'Dec 15'!$D28*$C$6*$C$2</f>
        <v>8471104.5066149998</v>
      </c>
      <c r="F28" s="38">
        <v>156443.34</v>
      </c>
      <c r="G28" s="39">
        <f>'Dec 15'!$E28/'Dec 15'!$F28</f>
        <v>54.148067323383664</v>
      </c>
      <c r="H28" s="36">
        <v>50</v>
      </c>
      <c r="I28" s="36">
        <f>ROUND(Table13895845679910111213144562678910111213141516171819202134567891011121314151617181920212223345678910111213141516171819203456789101112[[#This Row],[Target Quantity]],0)</f>
        <v>54</v>
      </c>
      <c r="J28" s="40">
        <f t="shared" ref="J28:J37" si="1">I28-H28</f>
        <v>4</v>
      </c>
      <c r="K28" s="41">
        <f>'Dec 15'!$F28*'Dec 15'!$I28</f>
        <v>8447940.3599999994</v>
      </c>
      <c r="L28" s="42">
        <f>'Dec 15'!$K28/$K$2</f>
        <v>5.8820339430797619E-2</v>
      </c>
      <c r="M28" s="64"/>
    </row>
    <row r="29" spans="1:15" s="4" customFormat="1" ht="25.5" x14ac:dyDescent="0.2">
      <c r="A29" s="36" t="s">
        <v>137</v>
      </c>
      <c r="B29" s="62" t="s">
        <v>80</v>
      </c>
      <c r="C29" s="63" t="s">
        <v>81</v>
      </c>
      <c r="D29" s="37">
        <v>5.8999999999999997E-2</v>
      </c>
      <c r="E29" s="38">
        <f>'Dec 15'!$D29*$C$6*$C$2</f>
        <v>8471104.5066149998</v>
      </c>
      <c r="F29" s="38">
        <v>213824.675675676</v>
      </c>
      <c r="G29" s="39">
        <f>'Dec 15'!$E29/'Dec 15'!$F29</f>
        <v>39.617057665803557</v>
      </c>
      <c r="H29" s="36">
        <v>37</v>
      </c>
      <c r="I29" s="36">
        <f>ROUND(Table13895845679910111213144562678910111213141516171819202134567891011121314151617181920212223345678910111213141516171819203456789101112[[#This Row],[Target Quantity]],0)</f>
        <v>40</v>
      </c>
      <c r="J29" s="40">
        <f t="shared" si="1"/>
        <v>3</v>
      </c>
      <c r="K29" s="41">
        <f>'Dec 15'!$F29*'Dec 15'!$I29</f>
        <v>8552987.0270270407</v>
      </c>
      <c r="L29" s="42">
        <f>'Dec 15'!$K29/$K$2</f>
        <v>5.9551746181709456E-2</v>
      </c>
      <c r="M29" s="64"/>
    </row>
    <row r="30" spans="1:15" s="4" customFormat="1" ht="25.5" x14ac:dyDescent="0.2">
      <c r="A30" s="36" t="s">
        <v>137</v>
      </c>
      <c r="B30" s="62" t="s">
        <v>82</v>
      </c>
      <c r="C30" s="63" t="s">
        <v>83</v>
      </c>
      <c r="D30" s="37">
        <v>5.8999999999999997E-2</v>
      </c>
      <c r="E30" s="38">
        <f>'Dec 15'!$D30*$C$6*$C$2</f>
        <v>8471104.5066149998</v>
      </c>
      <c r="F30" s="38">
        <v>173593.75555555601</v>
      </c>
      <c r="G30" s="39">
        <f>'Dec 15'!$E30/'Dec 15'!$F30</f>
        <v>48.798440240576241</v>
      </c>
      <c r="H30" s="36">
        <v>45</v>
      </c>
      <c r="I30" s="36">
        <f>ROUND(Table13895845679910111213144562678910111213141516171819202134567891011121314151617181920212223345678910111213141516171819203456789101112[[#This Row],[Target Quantity]],0)</f>
        <v>49</v>
      </c>
      <c r="J30" s="40">
        <f t="shared" si="1"/>
        <v>4</v>
      </c>
      <c r="K30" s="41">
        <f>'Dec 15'!$F30*'Dec 15'!$I30</f>
        <v>8506094.0222222451</v>
      </c>
      <c r="L30" s="42">
        <f>'Dec 15'!$K30/$K$2</f>
        <v>5.9225245006037312E-2</v>
      </c>
      <c r="M30" s="64"/>
    </row>
    <row r="31" spans="1:15" s="4" customFormat="1" ht="25.5" x14ac:dyDescent="0.2">
      <c r="A31" s="36" t="s">
        <v>137</v>
      </c>
      <c r="B31" s="62" t="s">
        <v>84</v>
      </c>
      <c r="C31" s="63" t="s">
        <v>85</v>
      </c>
      <c r="D31" s="37">
        <v>5.8999999999999997E-2</v>
      </c>
      <c r="E31" s="38">
        <f>'Dec 15'!$D31*$C$6*$C$2</f>
        <v>8471104.5066149998</v>
      </c>
      <c r="F31" s="38">
        <v>126073.24193548399</v>
      </c>
      <c r="G31" s="39">
        <f>'Dec 15'!$E31/'Dec 15'!$F31</f>
        <v>67.191930472843353</v>
      </c>
      <c r="H31" s="36">
        <v>62</v>
      </c>
      <c r="I31" s="36">
        <f>ROUND(Table13895845679910111213144562678910111213141516171819202134567891011121314151617181920212223345678910111213141516171819203456789101112[[#This Row],[Target Quantity]],0)</f>
        <v>67</v>
      </c>
      <c r="J31" s="40">
        <f t="shared" si="1"/>
        <v>5</v>
      </c>
      <c r="K31" s="41">
        <f>'Dec 15'!$F31*'Dec 15'!$I31</f>
        <v>8446907.209677428</v>
      </c>
      <c r="L31" s="42">
        <f>'Dec 15'!$K31/$K$2</f>
        <v>5.8813145931546081E-2</v>
      </c>
      <c r="M31" s="64"/>
    </row>
    <row r="32" spans="1:15" s="4" customFormat="1" ht="25.5" x14ac:dyDescent="0.2">
      <c r="A32" s="36" t="s">
        <v>137</v>
      </c>
      <c r="B32" s="62" t="s">
        <v>86</v>
      </c>
      <c r="C32" s="63" t="s">
        <v>87</v>
      </c>
      <c r="D32" s="37">
        <v>5.8999999999999997E-2</v>
      </c>
      <c r="E32" s="38">
        <f>'Dec 15'!$D32*$C$6*$C$2</f>
        <v>8471104.5066149998</v>
      </c>
      <c r="F32" s="38">
        <v>138021.625</v>
      </c>
      <c r="G32" s="39">
        <f>'Dec 15'!$E32/'Dec 15'!$F32</f>
        <v>61.375197593963989</v>
      </c>
      <c r="H32" s="36">
        <v>56</v>
      </c>
      <c r="I32" s="36">
        <f>ROUND(Table13895845679910111213144562678910111213141516171819202134567891011121314151617181920212223345678910111213141516171819203456789101112[[#This Row],[Target Quantity]],0)</f>
        <v>61</v>
      </c>
      <c r="J32" s="40">
        <f t="shared" si="1"/>
        <v>5</v>
      </c>
      <c r="K32" s="41">
        <f>'Dec 15'!$F32*'Dec 15'!$I32</f>
        <v>8419319.125</v>
      </c>
      <c r="L32" s="42">
        <f>'Dec 15'!$K32/$K$2</f>
        <v>5.862105881494481E-2</v>
      </c>
      <c r="M32" s="64"/>
    </row>
    <row r="33" spans="1:16" s="4" customFormat="1" ht="25.5" x14ac:dyDescent="0.2">
      <c r="A33" s="36" t="s">
        <v>137</v>
      </c>
      <c r="B33" s="62" t="s">
        <v>92</v>
      </c>
      <c r="C33" s="63" t="s">
        <v>93</v>
      </c>
      <c r="D33" s="37">
        <v>5.8999999999999997E-2</v>
      </c>
      <c r="E33" s="38">
        <f>'Dec 15'!$D33*$C$6*$C$2</f>
        <v>8471104.5066149998</v>
      </c>
      <c r="F33" s="38">
        <v>220942.17142857099</v>
      </c>
      <c r="G33" s="39">
        <f>'Dec 15'!$E33/'Dec 15'!$F33</f>
        <v>38.340822179135898</v>
      </c>
      <c r="H33" s="36">
        <v>35</v>
      </c>
      <c r="I33" s="36">
        <f>ROUND(Table13895845679910111213144562678910111213141516171819202134567891011121314151617181920212223345678910111213141516171819203456789101112[[#This Row],[Target Quantity]],0)</f>
        <v>38</v>
      </c>
      <c r="J33" s="40">
        <f t="shared" si="1"/>
        <v>3</v>
      </c>
      <c r="K33" s="41">
        <f>'Dec 15'!$F33*'Dec 15'!$I33</f>
        <v>8395802.5142856985</v>
      </c>
      <c r="L33" s="42">
        <f>'Dec 15'!$K33/$K$2</f>
        <v>5.8457320085085085E-2</v>
      </c>
      <c r="M33" s="64"/>
    </row>
    <row r="34" spans="1:16" s="44" customFormat="1" ht="25.5" customHeight="1" x14ac:dyDescent="0.2">
      <c r="A34" s="36" t="s">
        <v>138</v>
      </c>
      <c r="B34" s="36" t="s">
        <v>54</v>
      </c>
      <c r="C34" s="36" t="s">
        <v>55</v>
      </c>
      <c r="D34" s="37">
        <v>5.8999999999999997E-2</v>
      </c>
      <c r="E34" s="38">
        <f>'Dec 15'!$D34*$C$6*$C$2</f>
        <v>8471104.5066149998</v>
      </c>
      <c r="F34" s="38">
        <v>116456.820895522</v>
      </c>
      <c r="G34" s="39">
        <f>'Dec 15'!$E34/'Dec 15'!$F34</f>
        <v>72.740303586122806</v>
      </c>
      <c r="H34" s="36">
        <v>67</v>
      </c>
      <c r="I34" s="36">
        <f>ROUND(Table13895845679910111213144562678910111213141516171819202134567891011121314151617181920212223345678910111213141516171819203456789101112[[#This Row],[Target Quantity]],0)</f>
        <v>73</v>
      </c>
      <c r="J34" s="40">
        <f t="shared" si="1"/>
        <v>6</v>
      </c>
      <c r="K34" s="41">
        <f>'Dec 15'!$F34*'Dec 15'!$I34</f>
        <v>8501347.9253731053</v>
      </c>
      <c r="L34" s="42">
        <f>'Dec 15'!$K34/$K$2</f>
        <v>5.919219943330107E-2</v>
      </c>
      <c r="M34" s="43"/>
      <c r="O34" s="4"/>
    </row>
    <row r="35" spans="1:16" s="44" customFormat="1" ht="25.5" x14ac:dyDescent="0.2">
      <c r="A35" s="36" t="s">
        <v>138</v>
      </c>
      <c r="B35" s="36" t="s">
        <v>52</v>
      </c>
      <c r="C35" s="36" t="s">
        <v>53</v>
      </c>
      <c r="D35" s="37">
        <v>5.8999999999999997E-2</v>
      </c>
      <c r="E35" s="38">
        <f>'Dec 15'!$D35*$C$6*$C$2</f>
        <v>8471104.5066149998</v>
      </c>
      <c r="F35" s="38">
        <v>137777.69642857101</v>
      </c>
      <c r="G35" s="39">
        <f>'Dec 15'!$E35/'Dec 15'!$F35</f>
        <v>61.483859334277156</v>
      </c>
      <c r="H35" s="36">
        <v>56</v>
      </c>
      <c r="I35" s="36">
        <f>ROUND(Table13895845679910111213144562678910111213141516171819202134567891011121314151617181920212223345678910111213141516171819203456789101112[[#This Row],[Target Quantity]],0)</f>
        <v>61</v>
      </c>
      <c r="J35" s="40">
        <f t="shared" si="1"/>
        <v>5</v>
      </c>
      <c r="K35" s="41">
        <f>'Dec 15'!$F35*'Dec 15'!$I35</f>
        <v>8404439.4821428321</v>
      </c>
      <c r="L35" s="42">
        <f>'Dec 15'!$K35/$K$2</f>
        <v>5.8517456563251399E-2</v>
      </c>
      <c r="M35" s="43"/>
      <c r="O35" s="4"/>
    </row>
    <row r="36" spans="1:16" s="44" customFormat="1" ht="24.95" customHeight="1" x14ac:dyDescent="0.2">
      <c r="A36" s="36" t="s">
        <v>138</v>
      </c>
      <c r="B36" s="36" t="s">
        <v>48</v>
      </c>
      <c r="C36" s="36" t="s">
        <v>49</v>
      </c>
      <c r="D36" s="37">
        <v>5.8999999999999997E-2</v>
      </c>
      <c r="E36" s="38">
        <f>'Dec 15'!$D36*$C$6*$C$2</f>
        <v>8471104.5066149998</v>
      </c>
      <c r="F36" s="38">
        <v>185169.69047619001</v>
      </c>
      <c r="G36" s="39">
        <f>'Dec 15'!$E36/'Dec 15'!$F36</f>
        <v>45.747792118841687</v>
      </c>
      <c r="H36" s="36">
        <v>42</v>
      </c>
      <c r="I36" s="36">
        <f>ROUND(Table13895845679910111213144562678910111213141516171819202134567891011121314151617181920212223345678910111213141516171819203456789101112[[#This Row],[Target Quantity]],0)</f>
        <v>46</v>
      </c>
      <c r="J36" s="40">
        <f t="shared" si="1"/>
        <v>4</v>
      </c>
      <c r="K36" s="41">
        <f>'Dec 15'!$F36*'Dec 15'!$I36</f>
        <v>8517805.7619047407</v>
      </c>
      <c r="L36" s="42">
        <f>'Dec 15'!$K36/$K$2</f>
        <v>5.9306790148887914E-2</v>
      </c>
      <c r="M36" s="43"/>
      <c r="O36" s="4"/>
    </row>
    <row r="37" spans="1:16" s="44" customFormat="1" ht="25.5" x14ac:dyDescent="0.2">
      <c r="A37" s="36" t="s">
        <v>138</v>
      </c>
      <c r="B37" s="36" t="s">
        <v>58</v>
      </c>
      <c r="C37" s="36" t="s">
        <v>59</v>
      </c>
      <c r="D37" s="37">
        <v>5.8999999999999997E-2</v>
      </c>
      <c r="E37" s="38">
        <f>'Dec 15'!$D37*$C$6*$C$2</f>
        <v>8471104.5066149998</v>
      </c>
      <c r="F37" s="38">
        <v>276382.75</v>
      </c>
      <c r="G37" s="39">
        <f>'Dec 15'!$E37/'Dec 15'!$F37</f>
        <v>30.649903102183476</v>
      </c>
      <c r="H37" s="36">
        <v>28</v>
      </c>
      <c r="I37" s="36">
        <f>ROUND(Table13895845679910111213144562678910111213141516171819202134567891011121314151617181920212223345678910111213141516171819203456789101112[[#This Row],[Target Quantity]],0)</f>
        <v>31</v>
      </c>
      <c r="J37" s="40">
        <f t="shared" si="1"/>
        <v>3</v>
      </c>
      <c r="K37" s="41">
        <f>'Dec 15'!$F37*'Dec 15'!$I37</f>
        <v>8567865.25</v>
      </c>
      <c r="L37" s="42">
        <f>'Dec 15'!$K37/$K$2</f>
        <v>5.9655338547197762E-2</v>
      </c>
      <c r="M37" s="43"/>
      <c r="O37" s="4"/>
    </row>
    <row r="38" spans="1:16" s="66" customFormat="1" ht="12.75" x14ac:dyDescent="0.2">
      <c r="A38" s="36"/>
      <c r="B38" s="63"/>
      <c r="C38" s="63"/>
      <c r="D38" s="37"/>
      <c r="E38" s="65"/>
      <c r="F38" s="38"/>
      <c r="G38" s="39"/>
      <c r="H38" s="36"/>
      <c r="I38" s="36"/>
      <c r="J38" s="46"/>
      <c r="K38" s="38"/>
      <c r="L38" s="47"/>
      <c r="M38" s="64"/>
    </row>
    <row r="39" spans="1:16" s="17" customFormat="1" ht="12.75" x14ac:dyDescent="0.2">
      <c r="A39" s="48" t="s">
        <v>142</v>
      </c>
      <c r="B39" s="67"/>
      <c r="C39" s="67"/>
      <c r="D39" s="56">
        <f>SUBTOTAL(9,D28:D38)</f>
        <v>0.58999999999999986</v>
      </c>
      <c r="E39" s="68">
        <f>'Dec 15'!$D39*$C$6*$C$2</f>
        <v>84711045.06614998</v>
      </c>
      <c r="F39" s="69"/>
      <c r="G39" s="70"/>
      <c r="H39" s="55"/>
      <c r="I39" s="55"/>
      <c r="J39" s="59"/>
      <c r="K39" s="68">
        <f>SUM(K28:K38)</f>
        <v>84760508.677633092</v>
      </c>
      <c r="L39" s="71">
        <f>'Dec 15'!$K39/$K$2</f>
        <v>0.59016064014275849</v>
      </c>
      <c r="M39" s="72"/>
    </row>
    <row r="40" spans="1:16" s="44" customFormat="1" ht="12.75" x14ac:dyDescent="0.25">
      <c r="A40" s="36"/>
      <c r="B40" s="36"/>
      <c r="C40" s="36"/>
      <c r="D40" s="37"/>
      <c r="E40" s="38"/>
      <c r="F40" s="38"/>
      <c r="G40" s="74"/>
      <c r="H40" s="36"/>
      <c r="I40" s="36"/>
      <c r="J40" s="40"/>
      <c r="K40" s="41"/>
      <c r="L40" s="42"/>
      <c r="M40" s="43"/>
    </row>
    <row r="41" spans="1:16" s="44" customFormat="1" ht="25.5" x14ac:dyDescent="0.25">
      <c r="A41" s="36" t="s">
        <v>154</v>
      </c>
      <c r="B41" s="36" t="s">
        <v>45</v>
      </c>
      <c r="C41" s="36" t="s">
        <v>46</v>
      </c>
      <c r="D41" s="37">
        <v>2E-3</v>
      </c>
      <c r="E41" s="38">
        <f>'Dec 15'!$D41*$C$6*$C$2</f>
        <v>287156.08497000003</v>
      </c>
      <c r="F41" s="38">
        <v>50963.8</v>
      </c>
      <c r="G41" s="74">
        <f>'Dec 15'!$E41/'Dec 15'!$F41</f>
        <v>5.6345108679101639</v>
      </c>
      <c r="H41" s="36">
        <v>5</v>
      </c>
      <c r="I41" s="36">
        <v>6</v>
      </c>
      <c r="J41" s="40">
        <f t="shared" ref="J41:J50" si="2">I41-H41</f>
        <v>1</v>
      </c>
      <c r="K41" s="41">
        <f>'Dec 15'!$F41*'Dec 15'!$I41</f>
        <v>305782.80000000005</v>
      </c>
      <c r="L41" s="42">
        <f>'Dec 15'!$K41/$K$2</f>
        <v>2.1290690182026459E-3</v>
      </c>
      <c r="M41" s="43"/>
    </row>
    <row r="42" spans="1:16" s="44" customFormat="1" ht="25.5" x14ac:dyDescent="0.25">
      <c r="A42" s="36" t="s">
        <v>154</v>
      </c>
      <c r="B42" s="36" t="s">
        <v>156</v>
      </c>
      <c r="C42" s="36" t="s">
        <v>61</v>
      </c>
      <c r="D42" s="37">
        <v>2E-3</v>
      </c>
      <c r="E42" s="38">
        <f>'Dec 15'!$D42*$C$6*$C$2</f>
        <v>287156.08497000003</v>
      </c>
      <c r="F42" s="38">
        <v>88092</v>
      </c>
      <c r="G42" s="74">
        <f>'Dec 15'!$E42/'Dec 15'!$F42</f>
        <v>3.2597294302547342</v>
      </c>
      <c r="H42" s="36">
        <v>3</v>
      </c>
      <c r="I42" s="36">
        <v>3</v>
      </c>
      <c r="J42" s="40">
        <f t="shared" si="2"/>
        <v>0</v>
      </c>
      <c r="K42" s="41">
        <f>'Dec 15'!$F42*'Dec 15'!$I42</f>
        <v>264276</v>
      </c>
      <c r="L42" s="42">
        <f>'Dec 15'!$K42/$K$2</f>
        <v>1.8400702847070612E-3</v>
      </c>
      <c r="M42" s="43"/>
      <c r="P42" s="44" t="s">
        <v>157</v>
      </c>
    </row>
    <row r="43" spans="1:16" s="44" customFormat="1" ht="25.5" x14ac:dyDescent="0.25">
      <c r="A43" s="36" t="s">
        <v>154</v>
      </c>
      <c r="B43" s="36" t="s">
        <v>68</v>
      </c>
      <c r="C43" s="36" t="s">
        <v>69</v>
      </c>
      <c r="D43" s="37">
        <v>2E-3</v>
      </c>
      <c r="E43" s="38">
        <f>'Dec 15'!$D43*$C$6*$C$2</f>
        <v>287156.08497000003</v>
      </c>
      <c r="F43" s="38">
        <v>105719.33333333299</v>
      </c>
      <c r="G43" s="74">
        <f>'Dec 15'!$E43/'Dec 15'!$F43</f>
        <v>2.7162116513220629</v>
      </c>
      <c r="H43" s="36">
        <v>3</v>
      </c>
      <c r="I43" s="36">
        <v>3</v>
      </c>
      <c r="J43" s="40">
        <f t="shared" si="2"/>
        <v>0</v>
      </c>
      <c r="K43" s="41">
        <f>'Dec 15'!$F43*'Dec 15'!$I43</f>
        <v>317157.99999999895</v>
      </c>
      <c r="L43" s="42">
        <f>'Dec 15'!$K43/$K$2</f>
        <v>2.2082709415804694E-3</v>
      </c>
      <c r="M43" s="43"/>
    </row>
    <row r="44" spans="1:16" s="44" customFormat="1" ht="25.5" x14ac:dyDescent="0.25">
      <c r="A44" s="36" t="s">
        <v>154</v>
      </c>
      <c r="B44" s="36" t="s">
        <v>70</v>
      </c>
      <c r="C44" s="36" t="s">
        <v>71</v>
      </c>
      <c r="D44" s="37">
        <v>2E-3</v>
      </c>
      <c r="E44" s="38">
        <f>'Dec 15'!$D44*$C$6*$C$2</f>
        <v>287156.08497000003</v>
      </c>
      <c r="F44" s="38">
        <v>232752</v>
      </c>
      <c r="G44" s="74">
        <f>'Dec 15'!$E44/'Dec 15'!$F44</f>
        <v>1.2337427174417406</v>
      </c>
      <c r="H44" s="36">
        <v>1</v>
      </c>
      <c r="I44" s="36">
        <v>1</v>
      </c>
      <c r="J44" s="40">
        <f t="shared" si="2"/>
        <v>0</v>
      </c>
      <c r="K44" s="41">
        <f>'Dec 15'!$F44*'Dec 15'!$I44</f>
        <v>232752</v>
      </c>
      <c r="L44" s="42">
        <f>'Dec 15'!$K44/$K$2</f>
        <v>1.6205786333459637E-3</v>
      </c>
      <c r="M44" s="43"/>
    </row>
    <row r="45" spans="1:16" s="44" customFormat="1" ht="25.5" x14ac:dyDescent="0.25">
      <c r="A45" s="36" t="s">
        <v>154</v>
      </c>
      <c r="B45" s="36" t="s">
        <v>159</v>
      </c>
      <c r="C45" s="36" t="s">
        <v>73</v>
      </c>
      <c r="D45" s="37">
        <v>2E-3</v>
      </c>
      <c r="E45" s="38">
        <f>'Dec 15'!$D45*$C$6*$C$2</f>
        <v>287156.08497000003</v>
      </c>
      <c r="F45" s="38">
        <v>15100</v>
      </c>
      <c r="G45" s="74">
        <f>'Dec 15'!$E45/'Dec 15'!$F45</f>
        <v>19.016959269536425</v>
      </c>
      <c r="H45" s="36">
        <v>17</v>
      </c>
      <c r="I45" s="36">
        <v>19</v>
      </c>
      <c r="J45" s="40">
        <f t="shared" si="2"/>
        <v>2</v>
      </c>
      <c r="K45" s="41">
        <f>'Dec 15'!$F45*'Dec 15'!$I45</f>
        <v>286900</v>
      </c>
      <c r="L45" s="42">
        <f>'Dec 15'!$K45/$K$2</f>
        <v>1.9975940482013345E-3</v>
      </c>
      <c r="M45" s="43"/>
    </row>
    <row r="46" spans="1:16" s="4" customFormat="1" ht="25.5" x14ac:dyDescent="0.2">
      <c r="A46" s="36" t="s">
        <v>154</v>
      </c>
      <c r="B46" s="63" t="s">
        <v>90</v>
      </c>
      <c r="C46" s="63" t="s">
        <v>91</v>
      </c>
      <c r="D46" s="37">
        <v>2E-3</v>
      </c>
      <c r="E46" s="38">
        <f>'Dec 15'!$D46*$C$6*$C$2</f>
        <v>287156.08497000003</v>
      </c>
      <c r="F46" s="38">
        <v>70636</v>
      </c>
      <c r="G46" s="74">
        <f>'Dec 15'!$E46/'Dec 15'!$F46</f>
        <v>4.0652936883458866</v>
      </c>
      <c r="H46" s="36">
        <v>4</v>
      </c>
      <c r="I46" s="36">
        <v>4</v>
      </c>
      <c r="J46" s="40">
        <f t="shared" si="2"/>
        <v>0</v>
      </c>
      <c r="K46" s="41">
        <f>'Dec 15'!$F46*'Dec 15'!$I46</f>
        <v>282544</v>
      </c>
      <c r="L46" s="42">
        <f>'Dec 15'!$K46/$K$2</f>
        <v>1.9672645965667403E-3</v>
      </c>
      <c r="M46" s="64"/>
    </row>
    <row r="47" spans="1:16" s="44" customFormat="1" ht="25.5" x14ac:dyDescent="0.25">
      <c r="A47" s="36" t="s">
        <v>154</v>
      </c>
      <c r="B47" s="36" t="s">
        <v>163</v>
      </c>
      <c r="C47" s="36" t="s">
        <v>67</v>
      </c>
      <c r="D47" s="37">
        <v>2E-3</v>
      </c>
      <c r="E47" s="38">
        <f>'Dec 15'!$D47*$C$6*$C$2</f>
        <v>287156.08497000003</v>
      </c>
      <c r="F47" s="38">
        <v>26580</v>
      </c>
      <c r="G47" s="74">
        <f>'Dec 15'!$E47/'Dec 15'!$F47</f>
        <v>10.803464445823929</v>
      </c>
      <c r="H47" s="36">
        <v>10</v>
      </c>
      <c r="I47" s="36">
        <v>11</v>
      </c>
      <c r="J47" s="40">
        <f t="shared" si="2"/>
        <v>1</v>
      </c>
      <c r="K47" s="41">
        <f>'Dec 15'!$F47*'Dec 15'!$I47</f>
        <v>292380</v>
      </c>
      <c r="L47" s="42">
        <f>'Dec 15'!$K47/$K$2</f>
        <v>2.0357495566856263E-3</v>
      </c>
      <c r="M47" s="43"/>
    </row>
    <row r="48" spans="1:16" s="44" customFormat="1" ht="25.5" x14ac:dyDescent="0.25">
      <c r="A48" s="36" t="s">
        <v>154</v>
      </c>
      <c r="B48" s="36" t="s">
        <v>77</v>
      </c>
      <c r="C48" s="36" t="s">
        <v>78</v>
      </c>
      <c r="D48" s="37">
        <v>2E-3</v>
      </c>
      <c r="E48" s="38">
        <f>'Dec 15'!$D48*$C$6*$C$2</f>
        <v>287156.08497000003</v>
      </c>
      <c r="F48" s="38">
        <v>7855.1176470588198</v>
      </c>
      <c r="G48" s="74">
        <f>'Dec 15'!$E48/'Dec 15'!$F48</f>
        <v>36.556560687225286</v>
      </c>
      <c r="H48" s="36">
        <v>34</v>
      </c>
      <c r="I48" s="36">
        <v>36</v>
      </c>
      <c r="J48" s="40">
        <f t="shared" si="2"/>
        <v>2</v>
      </c>
      <c r="K48" s="41">
        <f>'Dec 15'!$F48*'Dec 15'!$I48</f>
        <v>282784.23529411753</v>
      </c>
      <c r="L48" s="42">
        <f>'Dec 15'!$K48/$K$2</f>
        <v>1.9689372790125301E-3</v>
      </c>
      <c r="M48" s="43"/>
    </row>
    <row r="49" spans="1:13" s="44" customFormat="1" ht="25.5" x14ac:dyDescent="0.25">
      <c r="A49" s="36" t="s">
        <v>154</v>
      </c>
      <c r="B49" s="36" t="s">
        <v>63</v>
      </c>
      <c r="C49" s="36" t="s">
        <v>64</v>
      </c>
      <c r="D49" s="37">
        <v>2E-3</v>
      </c>
      <c r="E49" s="38">
        <f>'Dec 15'!$D49*$C$6*$C$2</f>
        <v>287156.08497000003</v>
      </c>
      <c r="F49" s="38">
        <v>28170</v>
      </c>
      <c r="G49" s="74">
        <f>'Dec 15'!$E49/'Dec 15'!$F49</f>
        <v>10.193684237486689</v>
      </c>
      <c r="H49" s="36">
        <v>9</v>
      </c>
      <c r="I49" s="36">
        <v>11</v>
      </c>
      <c r="J49" s="40">
        <f t="shared" si="2"/>
        <v>2</v>
      </c>
      <c r="K49" s="41">
        <f>'Dec 15'!$F49*'Dec 15'!$I49</f>
        <v>309870</v>
      </c>
      <c r="L49" s="42">
        <f>'Dec 15'!$K49/$K$2</f>
        <v>2.1575269003699807E-3</v>
      </c>
      <c r="M49" s="43"/>
    </row>
    <row r="50" spans="1:13" s="44" customFormat="1" ht="25.5" x14ac:dyDescent="0.25">
      <c r="A50" s="36" t="s">
        <v>154</v>
      </c>
      <c r="B50" s="36" t="s">
        <v>88</v>
      </c>
      <c r="C50" s="36" t="s">
        <v>89</v>
      </c>
      <c r="D50" s="37">
        <v>2E-3</v>
      </c>
      <c r="E50" s="38">
        <f>'Dec 15'!$D50*$C$6*$C$2</f>
        <v>287156.08497000003</v>
      </c>
      <c r="F50" s="38">
        <v>58428.75</v>
      </c>
      <c r="G50" s="74">
        <f>'Dec 15'!$E50/'Dec 15'!$F50</f>
        <v>4.9146368007188244</v>
      </c>
      <c r="H50" s="36">
        <v>4</v>
      </c>
      <c r="I50" s="36">
        <v>5</v>
      </c>
      <c r="J50" s="40">
        <f t="shared" si="2"/>
        <v>1</v>
      </c>
      <c r="K50" s="41">
        <f>'Dec 15'!$F50*'Dec 15'!$I50</f>
        <v>292143.75</v>
      </c>
      <c r="L50" s="42">
        <f>'Dec 15'!$K50/$K$2</f>
        <v>2.0341046225835434E-3</v>
      </c>
      <c r="M50" s="43"/>
    </row>
    <row r="51" spans="1:13" s="44" customFormat="1" ht="12.75" x14ac:dyDescent="0.25">
      <c r="A51" s="36"/>
      <c r="B51" s="36"/>
      <c r="C51" s="36"/>
      <c r="D51" s="37"/>
      <c r="E51" s="38"/>
      <c r="F51" s="38"/>
      <c r="G51" s="39"/>
      <c r="H51" s="36"/>
      <c r="I51" s="36"/>
      <c r="J51" s="43"/>
      <c r="K51" s="41"/>
      <c r="L51" s="42"/>
      <c r="M51" s="43"/>
    </row>
    <row r="52" spans="1:13" s="17" customFormat="1" ht="12.75" x14ac:dyDescent="0.2">
      <c r="A52" s="48" t="s">
        <v>164</v>
      </c>
      <c r="B52" s="67"/>
      <c r="C52" s="67"/>
      <c r="D52" s="75">
        <f>SUM(D41:D51)</f>
        <v>2.0000000000000004E-2</v>
      </c>
      <c r="E52" s="50">
        <f>SUM(E40:E51)</f>
        <v>2871560.8497000006</v>
      </c>
      <c r="F52" s="70"/>
      <c r="G52" s="70"/>
      <c r="H52" s="67"/>
      <c r="I52" s="67"/>
      <c r="J52" s="48"/>
      <c r="K52" s="50">
        <f>SUM(K40:K51)</f>
        <v>2866590.7852941165</v>
      </c>
      <c r="L52" s="53">
        <f>'Dec 15'!$K52/$K$2</f>
        <v>1.9959165881255896E-2</v>
      </c>
      <c r="M52" s="60"/>
    </row>
    <row r="53" spans="1:13" s="4" customFormat="1" ht="12.75" x14ac:dyDescent="0.2">
      <c r="A53" s="36"/>
      <c r="B53" s="63"/>
      <c r="C53" s="63"/>
      <c r="D53" s="76"/>
      <c r="E53" s="38"/>
      <c r="F53" s="38"/>
      <c r="G53" s="39"/>
      <c r="H53" s="63"/>
      <c r="I53" s="63"/>
      <c r="J53" s="36"/>
      <c r="K53" s="36"/>
      <c r="L53" s="42"/>
      <c r="M53" s="64"/>
    </row>
    <row r="54" spans="1:13" s="44" customFormat="1" ht="25.5" x14ac:dyDescent="0.25">
      <c r="A54" s="48" t="s">
        <v>165</v>
      </c>
      <c r="B54" s="55" t="s">
        <v>166</v>
      </c>
      <c r="C54" s="55" t="s">
        <v>167</v>
      </c>
      <c r="D54" s="56">
        <v>0</v>
      </c>
      <c r="E54" s="57">
        <f>'Dec 15'!$D54*$C$6*$C$2</f>
        <v>0</v>
      </c>
      <c r="F54" s="57">
        <v>0</v>
      </c>
      <c r="G54" s="58" t="s">
        <v>168</v>
      </c>
      <c r="H54" s="55">
        <v>0</v>
      </c>
      <c r="I54" s="55">
        <v>0</v>
      </c>
      <c r="J54" s="77">
        <f>I54-H54</f>
        <v>0</v>
      </c>
      <c r="K54" s="57">
        <f>'Dec 15'!$F54*'Dec 15'!$I54</f>
        <v>0</v>
      </c>
      <c r="L54" s="78">
        <f>'Dec 15'!$K54/$K$2</f>
        <v>0</v>
      </c>
      <c r="M54" s="55"/>
    </row>
    <row r="55" spans="1:13" s="4" customFormat="1" ht="12.75" x14ac:dyDescent="0.2">
      <c r="A55" s="36"/>
      <c r="B55" s="63"/>
      <c r="C55" s="63"/>
      <c r="D55" s="76"/>
      <c r="E55" s="38"/>
      <c r="F55" s="38"/>
      <c r="G55" s="39"/>
      <c r="H55" s="63"/>
      <c r="I55" s="63"/>
      <c r="J55" s="36"/>
      <c r="K55" s="36"/>
      <c r="L55" s="42"/>
      <c r="M55" s="64"/>
    </row>
    <row r="56" spans="1:13" s="4" customFormat="1" ht="12.75" x14ac:dyDescent="0.2">
      <c r="A56" s="36"/>
      <c r="B56" s="63"/>
      <c r="C56" s="63"/>
      <c r="D56" s="79"/>
      <c r="E56" s="65"/>
      <c r="F56" s="38"/>
      <c r="G56" s="39"/>
      <c r="H56" s="63"/>
      <c r="I56" s="63"/>
      <c r="J56" s="36"/>
      <c r="K56" s="36"/>
      <c r="L56" s="42"/>
      <c r="M56" s="64"/>
    </row>
    <row r="57" spans="1:13" s="17" customFormat="1" ht="12.75" x14ac:dyDescent="0.2">
      <c r="A57" s="48" t="s">
        <v>169</v>
      </c>
      <c r="B57" s="67"/>
      <c r="C57" s="67"/>
      <c r="D57" s="67"/>
      <c r="E57" s="80"/>
      <c r="F57" s="80"/>
      <c r="G57" s="48"/>
      <c r="H57" s="67"/>
      <c r="I57" s="67"/>
      <c r="J57" s="67"/>
      <c r="K57" s="80">
        <f>SUM(K24,K26,K39,K52,K54:K54)</f>
        <v>143622774.73660347</v>
      </c>
      <c r="L57" s="53">
        <f>'Dec 15'!$K57/$K$2</f>
        <v>1.0000000000000002</v>
      </c>
      <c r="M57" s="67"/>
    </row>
    <row r="58" spans="1:13" s="4" customFormat="1" ht="12.75" x14ac:dyDescent="0.2">
      <c r="A58" s="64"/>
      <c r="B58" s="64"/>
      <c r="C58" s="64"/>
      <c r="D58" s="81"/>
      <c r="E58" s="82"/>
      <c r="F58" s="38"/>
      <c r="G58" s="83"/>
      <c r="H58" s="64"/>
      <c r="I58" s="64"/>
      <c r="J58" s="64"/>
      <c r="K58" s="64"/>
      <c r="L58" s="42"/>
      <c r="M58" s="64"/>
    </row>
    <row r="59" spans="1:13" s="4" customFormat="1" ht="12.75" x14ac:dyDescent="0.2">
      <c r="A59" s="64"/>
      <c r="B59" s="64"/>
      <c r="C59" s="64"/>
      <c r="D59" s="81"/>
      <c r="E59" s="82"/>
      <c r="F59" s="38"/>
      <c r="G59" s="83"/>
      <c r="H59" s="64"/>
      <c r="I59" s="64"/>
      <c r="J59" s="64"/>
      <c r="K59" s="64"/>
      <c r="L59" s="42"/>
      <c r="M59" s="64"/>
    </row>
    <row r="60" spans="1:13" s="4" customFormat="1" ht="12.75" x14ac:dyDescent="0.2">
      <c r="A60" s="64"/>
      <c r="B60" s="64"/>
      <c r="C60" s="64"/>
      <c r="D60" s="81"/>
      <c r="E60" s="82"/>
      <c r="F60" s="38"/>
      <c r="G60" s="83"/>
      <c r="H60" s="64"/>
      <c r="I60" s="64"/>
      <c r="J60" s="64"/>
      <c r="K60" s="64"/>
      <c r="L60" s="42"/>
      <c r="M60" s="64"/>
    </row>
    <row r="61" spans="1:13" s="4" customFormat="1" ht="12.75" x14ac:dyDescent="0.2">
      <c r="A61" s="64"/>
      <c r="B61" s="64"/>
      <c r="C61" s="64"/>
      <c r="D61" s="81"/>
      <c r="E61" s="82"/>
      <c r="F61" s="38"/>
      <c r="G61" s="83"/>
      <c r="H61" s="64"/>
      <c r="I61" s="64"/>
      <c r="J61" s="64"/>
      <c r="K61" s="64"/>
      <c r="L61" s="42"/>
      <c r="M61" s="64"/>
    </row>
    <row r="62" spans="1:13" s="4" customFormat="1" ht="12.75" x14ac:dyDescent="0.2">
      <c r="A62" s="64"/>
      <c r="B62" s="64"/>
      <c r="C62" s="64"/>
      <c r="D62" s="81"/>
      <c r="E62" s="82"/>
      <c r="F62" s="38"/>
      <c r="G62" s="83"/>
      <c r="H62" s="64"/>
      <c r="I62" s="64"/>
      <c r="J62" s="64"/>
      <c r="K62" s="64"/>
      <c r="L62" s="42"/>
      <c r="M62" s="64"/>
    </row>
    <row r="63" spans="1:13" s="4" customFormat="1" ht="12.75" x14ac:dyDescent="0.2">
      <c r="A63" s="64"/>
      <c r="B63" s="64"/>
      <c r="C63" s="64"/>
      <c r="D63" s="81"/>
      <c r="E63" s="82"/>
      <c r="F63" s="38"/>
      <c r="G63" s="83"/>
      <c r="H63" s="64"/>
      <c r="I63" s="64"/>
      <c r="J63" s="64"/>
      <c r="K63" s="64"/>
      <c r="L63" s="42"/>
      <c r="M63" s="64"/>
    </row>
    <row r="64" spans="1:13" s="4" customFormat="1" ht="12.75" x14ac:dyDescent="0.2">
      <c r="A64" s="64"/>
      <c r="B64" s="64"/>
      <c r="C64" s="64"/>
      <c r="D64" s="81"/>
      <c r="E64" s="82"/>
      <c r="F64" s="38"/>
      <c r="G64" s="83"/>
      <c r="H64" s="64"/>
      <c r="I64" s="64"/>
      <c r="J64" s="64"/>
      <c r="K64" s="64"/>
      <c r="L64" s="42"/>
      <c r="M64" s="64"/>
    </row>
    <row r="65" spans="1:13" s="4" customFormat="1" ht="12.75" x14ac:dyDescent="0.2">
      <c r="A65" s="64"/>
      <c r="B65" s="64"/>
      <c r="C65" s="64"/>
      <c r="D65" s="81"/>
      <c r="E65" s="82"/>
      <c r="F65" s="38"/>
      <c r="G65" s="83"/>
      <c r="H65" s="64"/>
      <c r="I65" s="64"/>
      <c r="J65" s="64"/>
      <c r="K65" s="64"/>
      <c r="L65" s="42"/>
      <c r="M65" s="64"/>
    </row>
    <row r="66" spans="1:13" s="4" customFormat="1" ht="12.75" x14ac:dyDescent="0.2">
      <c r="A66" s="64"/>
      <c r="B66" s="64"/>
      <c r="C66" s="64"/>
      <c r="D66" s="81"/>
      <c r="E66" s="82"/>
      <c r="F66" s="38"/>
      <c r="G66" s="83"/>
      <c r="H66" s="64"/>
      <c r="I66" s="64"/>
      <c r="J66" s="64"/>
      <c r="K66" s="64"/>
      <c r="L66" s="42"/>
      <c r="M66" s="64"/>
    </row>
    <row r="67" spans="1:13" s="4" customFormat="1" ht="12.75" x14ac:dyDescent="0.2"/>
    <row r="68" spans="1:13" s="4" customFormat="1" ht="12.75" x14ac:dyDescent="0.2"/>
    <row r="70" spans="1:13" s="4" customFormat="1" ht="12.75" x14ac:dyDescent="0.2">
      <c r="A70" s="84"/>
      <c r="B70" s="84"/>
      <c r="E70" s="84"/>
      <c r="F70" s="84"/>
      <c r="G70" s="84"/>
      <c r="H70" s="85"/>
      <c r="M70" s="84"/>
    </row>
    <row r="71" spans="1:13" s="4" customFormat="1" ht="12.75" x14ac:dyDescent="0.2">
      <c r="A71" s="84"/>
      <c r="B71" s="84"/>
      <c r="E71" s="84"/>
      <c r="F71" s="84"/>
      <c r="G71" s="84"/>
      <c r="H71" s="85"/>
      <c r="M71" s="84"/>
    </row>
    <row r="72" spans="1:13" s="4" customFormat="1" ht="12.75" x14ac:dyDescent="0.2">
      <c r="A72" s="86"/>
      <c r="B72" s="86"/>
    </row>
    <row r="73" spans="1:13" s="4" customFormat="1" ht="12.75" x14ac:dyDescent="0.2">
      <c r="A73" s="87"/>
      <c r="B73" s="87"/>
      <c r="E73" s="87"/>
      <c r="F73" s="86"/>
      <c r="G73" s="86"/>
      <c r="M73" s="88"/>
    </row>
    <row r="74" spans="1:13" s="4" customFormat="1" ht="12.75" x14ac:dyDescent="0.2"/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MH74"/>
  <sheetViews>
    <sheetView zoomScale="140" zoomScaleNormal="140" workbookViewId="0">
      <pane xSplit="2" topLeftCell="C1" activePane="topRight" state="frozen"/>
      <selection pane="topRight" activeCell="C2" sqref="C2"/>
    </sheetView>
  </sheetViews>
  <sheetFormatPr defaultColWidth="9.140625" defaultRowHeight="15" x14ac:dyDescent="0.25"/>
  <cols>
    <col min="1" max="2" width="15.140625" style="4" customWidth="1"/>
    <col min="3" max="3" width="29.28515625" style="4" customWidth="1"/>
    <col min="4" max="4" width="14.85546875" style="4" customWidth="1"/>
    <col min="5" max="5" width="27.42578125" style="4" customWidth="1"/>
    <col min="6" max="7" width="13.7109375" style="4" customWidth="1"/>
    <col min="8" max="8" width="16.42578125" style="4" customWidth="1"/>
    <col min="9" max="9" width="15.42578125" style="4" customWidth="1"/>
    <col min="10" max="10" width="13.42578125" customWidth="1"/>
    <col min="11" max="11" width="23.42578125" customWidth="1"/>
    <col min="12" max="12" width="13.42578125" customWidth="1"/>
    <col min="13" max="13" width="22.42578125" style="4" customWidth="1"/>
    <col min="14" max="16" width="10.85546875" style="4" customWidth="1"/>
    <col min="17" max="17" width="11.28515625" style="4" customWidth="1"/>
    <col min="18" max="1022" width="9.140625" style="4"/>
  </cols>
  <sheetData>
    <row r="1" spans="1:17" s="4" customFormat="1" ht="25.5" x14ac:dyDescent="0.2">
      <c r="A1" s="5"/>
      <c r="B1" s="5" t="s">
        <v>95</v>
      </c>
      <c r="C1" s="6">
        <v>44181</v>
      </c>
      <c r="D1" s="7"/>
      <c r="E1" s="8" t="s">
        <v>96</v>
      </c>
      <c r="F1" s="9"/>
      <c r="G1" s="10"/>
      <c r="K1" s="11" t="s">
        <v>97</v>
      </c>
      <c r="L1" s="11" t="s">
        <v>98</v>
      </c>
      <c r="M1" s="12" t="s">
        <v>99</v>
      </c>
    </row>
    <row r="2" spans="1:17" x14ac:dyDescent="0.25">
      <c r="A2" s="5"/>
      <c r="B2" s="5" t="s">
        <v>100</v>
      </c>
      <c r="C2" s="13">
        <v>5.13</v>
      </c>
      <c r="D2" s="14"/>
      <c r="E2" s="15">
        <f>SUM(E24,E39,E52,E26,E54)</f>
        <v>146177009.55741307</v>
      </c>
      <c r="F2" s="16"/>
      <c r="G2" s="17"/>
      <c r="H2" s="14"/>
      <c r="I2" s="14"/>
      <c r="J2" s="14"/>
      <c r="K2" s="15">
        <f>SUM(K24,K39,K52,K26,K54:K54)</f>
        <v>145994369.93628153</v>
      </c>
      <c r="L2" s="18">
        <f>SUM(L52,L39,L24,L26,L54)</f>
        <v>0.99999999999999989</v>
      </c>
      <c r="M2" s="19">
        <f>K2/$C$6</f>
        <v>5.1236057359096243</v>
      </c>
      <c r="N2" s="20"/>
    </row>
    <row r="3" spans="1:17" ht="26.25" x14ac:dyDescent="0.25">
      <c r="A3" s="5"/>
      <c r="B3" s="5" t="s">
        <v>101</v>
      </c>
      <c r="C3" s="21">
        <v>28494458.289999999</v>
      </c>
      <c r="D3" s="22"/>
      <c r="E3" s="8" t="s">
        <v>170</v>
      </c>
      <c r="F3" s="16"/>
      <c r="H3" s="14"/>
      <c r="I3" s="14"/>
      <c r="J3" s="14"/>
      <c r="K3" s="8" t="s">
        <v>102</v>
      </c>
      <c r="L3" s="14"/>
      <c r="M3" s="12" t="s">
        <v>171</v>
      </c>
      <c r="N3" s="23"/>
    </row>
    <row r="4" spans="1:17" x14ac:dyDescent="0.25">
      <c r="A4" s="5"/>
      <c r="B4" s="5" t="s">
        <v>104</v>
      </c>
      <c r="C4" s="21">
        <v>0</v>
      </c>
      <c r="D4" s="22"/>
      <c r="E4" s="15">
        <f>SUM(E24,E52,E26)</f>
        <v>59932832.651070073</v>
      </c>
      <c r="F4" s="16"/>
      <c r="G4" s="17"/>
      <c r="H4" s="14"/>
      <c r="I4" s="14"/>
      <c r="J4" s="14"/>
      <c r="K4" s="15">
        <f>SUM(K24,K26,K52)</f>
        <v>59903736.224039495</v>
      </c>
      <c r="L4" s="14"/>
      <c r="M4" s="19">
        <f>K4/$C$6</f>
        <v>2.1022942641819737</v>
      </c>
      <c r="N4" s="23"/>
    </row>
    <row r="5" spans="1:17" x14ac:dyDescent="0.25">
      <c r="A5" s="5"/>
      <c r="B5" s="5" t="s">
        <v>105</v>
      </c>
      <c r="C5" s="21">
        <v>0</v>
      </c>
      <c r="D5" s="22"/>
      <c r="E5" s="16"/>
      <c r="F5" s="16"/>
      <c r="G5" s="24">
        <f>SUM(D24,D26,D39,D52,D54:D54)</f>
        <v>1.0000029999999998</v>
      </c>
      <c r="H5" s="14"/>
      <c r="I5" s="14"/>
      <c r="J5" s="14"/>
      <c r="K5" s="14"/>
      <c r="L5" s="14"/>
      <c r="M5" s="14"/>
      <c r="N5" s="23"/>
    </row>
    <row r="6" spans="1:17" x14ac:dyDescent="0.25">
      <c r="A6" s="5"/>
      <c r="B6" s="5" t="s">
        <v>106</v>
      </c>
      <c r="C6" s="21">
        <f>C3+C4-C5</f>
        <v>28494458.289999999</v>
      </c>
      <c r="D6" s="22"/>
      <c r="E6" s="16"/>
      <c r="F6" s="16"/>
      <c r="G6" s="17"/>
      <c r="H6" s="14"/>
      <c r="I6" s="14"/>
      <c r="J6" s="14"/>
      <c r="K6" s="14"/>
      <c r="L6" s="14"/>
      <c r="M6" s="14"/>
      <c r="N6" s="23"/>
    </row>
    <row r="7" spans="1:17" x14ac:dyDescent="0.25">
      <c r="A7" s="25"/>
      <c r="B7" s="26"/>
      <c r="C7" s="26"/>
      <c r="D7" s="27"/>
      <c r="E7" s="28"/>
      <c r="F7" s="28"/>
      <c r="G7" s="28"/>
      <c r="H7" s="29"/>
      <c r="I7" s="29"/>
      <c r="J7" s="29"/>
      <c r="K7" s="14"/>
      <c r="L7" s="14"/>
      <c r="M7" s="14"/>
      <c r="N7" s="23"/>
    </row>
    <row r="8" spans="1:17" s="34" customFormat="1" ht="38.25" x14ac:dyDescent="0.2">
      <c r="A8" s="30" t="s">
        <v>107</v>
      </c>
      <c r="B8" s="30" t="s">
        <v>108</v>
      </c>
      <c r="C8" s="31" t="s">
        <v>1</v>
      </c>
      <c r="D8" s="31" t="s">
        <v>109</v>
      </c>
      <c r="E8" s="31" t="s">
        <v>110</v>
      </c>
      <c r="F8" s="31" t="s">
        <v>111</v>
      </c>
      <c r="G8" s="31" t="s">
        <v>112</v>
      </c>
      <c r="H8" s="31" t="s">
        <v>113</v>
      </c>
      <c r="I8" s="31" t="s">
        <v>114</v>
      </c>
      <c r="J8" s="31" t="s">
        <v>115</v>
      </c>
      <c r="K8" s="32" t="s">
        <v>116</v>
      </c>
      <c r="L8" s="32" t="s">
        <v>117</v>
      </c>
      <c r="M8" s="32" t="s">
        <v>118</v>
      </c>
      <c r="N8" s="33"/>
      <c r="Q8" s="35"/>
    </row>
    <row r="9" spans="1:17" s="45" customFormat="1" ht="12.75" customHeight="1" x14ac:dyDescent="0.25">
      <c r="A9" s="36" t="s">
        <v>119</v>
      </c>
      <c r="B9" s="36" t="s">
        <v>43</v>
      </c>
      <c r="C9" s="36" t="s">
        <v>44</v>
      </c>
      <c r="D9" s="37">
        <v>8.0940000000000005E-3</v>
      </c>
      <c r="E9" s="38">
        <f>'Dec 16'!$D9*$C$6*$C$2</f>
        <v>1183153.1658982038</v>
      </c>
      <c r="F9" s="38">
        <v>400</v>
      </c>
      <c r="G9" s="39">
        <f>'Dec 16'!$E9/'Dec 16'!$F9</f>
        <v>2957.8829147455094</v>
      </c>
      <c r="H9" s="36">
        <v>2927</v>
      </c>
      <c r="I9" s="36">
        <f>ROUND(Table1389584567991011121314456267891011121314151617181920213456789101112131415161718192021222334567891011121314151617181920345678910111213[[#This Row],[Target Quantity]],0)</f>
        <v>2958</v>
      </c>
      <c r="J9" s="40">
        <f t="shared" ref="J9:J22" si="0">I9-H9</f>
        <v>31</v>
      </c>
      <c r="K9" s="41">
        <f>'Dec 16'!$F9*'Dec 16'!$I9</f>
        <v>1183200</v>
      </c>
      <c r="L9" s="42">
        <f>'Dec 16'!$K9/$K$2</f>
        <v>8.1044221124170843E-3</v>
      </c>
      <c r="M9" s="36"/>
      <c r="O9" s="44"/>
    </row>
    <row r="10" spans="1:17" s="45" customFormat="1" ht="12.75" customHeight="1" x14ac:dyDescent="0.25">
      <c r="A10" s="36" t="s">
        <v>119</v>
      </c>
      <c r="B10" s="36" t="s">
        <v>25</v>
      </c>
      <c r="C10" s="36" t="s">
        <v>26</v>
      </c>
      <c r="D10" s="37">
        <v>8.0940000000000005E-3</v>
      </c>
      <c r="E10" s="38">
        <f>'Dec 16'!$D10*$C$6*$C$2</f>
        <v>1183153.1658982038</v>
      </c>
      <c r="F10" s="38">
        <v>285.74008376447398</v>
      </c>
      <c r="G10" s="39">
        <f>'Dec 16'!$E10/'Dec 16'!$F10</f>
        <v>4140.6622071037036</v>
      </c>
      <c r="H10" s="36">
        <v>4059</v>
      </c>
      <c r="I10" s="36">
        <f>ROUND(Table1389584567991011121314456267891011121314151617181920213456789101112131415161718192021222334567891011121314151617181920345678910111213[[#This Row],[Target Quantity]],0)</f>
        <v>4141</v>
      </c>
      <c r="J10" s="40">
        <f t="shared" si="0"/>
        <v>82</v>
      </c>
      <c r="K10" s="41">
        <f>'Dec 16'!$F10*'Dec 16'!$I10</f>
        <v>1183249.6868686867</v>
      </c>
      <c r="L10" s="42">
        <f>'Dec 16'!$K10/$K$2</f>
        <v>8.1047624465594784E-3</v>
      </c>
      <c r="M10" s="36"/>
      <c r="O10" s="44"/>
    </row>
    <row r="11" spans="1:17" s="45" customFormat="1" ht="12.75" customHeight="1" x14ac:dyDescent="0.25">
      <c r="A11" s="36" t="s">
        <v>119</v>
      </c>
      <c r="B11" s="36" t="s">
        <v>33</v>
      </c>
      <c r="C11" s="36" t="s">
        <v>34</v>
      </c>
      <c r="D11" s="37">
        <v>8.0940000000000005E-3</v>
      </c>
      <c r="E11" s="38">
        <f>'Dec 16'!$D11*$C$6*$C$2</f>
        <v>1183153.1658982038</v>
      </c>
      <c r="F11" s="38">
        <v>39.319998685162098</v>
      </c>
      <c r="G11" s="39">
        <f>'Dec 16'!$E11/'Dec 16'!$F11</f>
        <v>30090.366364754784</v>
      </c>
      <c r="H11" s="36">
        <v>30422</v>
      </c>
      <c r="I11" s="36">
        <f>ROUND(Table1389584567991011121314456267891011121314151617181920213456789101112131415161718192021222334567891011121314151617181920345678910111213[[#This Row],[Target Quantity]],0)</f>
        <v>30090</v>
      </c>
      <c r="J11" s="40">
        <f t="shared" si="0"/>
        <v>-332</v>
      </c>
      <c r="K11" s="41">
        <f>'Dec 16'!$F11*'Dec 16'!$I11</f>
        <v>1183138.7604365274</v>
      </c>
      <c r="L11" s="42">
        <f>'Dec 16'!$K11/$K$2</f>
        <v>8.1040026471767505E-3</v>
      </c>
      <c r="M11" s="36"/>
      <c r="O11" s="44"/>
    </row>
    <row r="12" spans="1:17" s="45" customFormat="1" ht="12.75" customHeight="1" x14ac:dyDescent="0.25">
      <c r="A12" s="36" t="s">
        <v>119</v>
      </c>
      <c r="B12" s="36" t="s">
        <v>19</v>
      </c>
      <c r="C12" s="36" t="s">
        <v>20</v>
      </c>
      <c r="D12" s="37">
        <v>8.0940000000000005E-3</v>
      </c>
      <c r="E12" s="38">
        <f>'Dec 16'!$D12*$C$6*$C$2</f>
        <v>1183153.1658982038</v>
      </c>
      <c r="F12" s="38">
        <v>516.29991319444503</v>
      </c>
      <c r="G12" s="39">
        <f>'Dec 16'!$E12/'Dec 16'!$F12</f>
        <v>2291.6005516596192</v>
      </c>
      <c r="H12" s="36">
        <v>2304</v>
      </c>
      <c r="I12" s="36">
        <f>ROUND(Table1389584567991011121314456267891011121314151617181920213456789101112131415161718192021222334567891011121314151617181920345678910111213[[#This Row],[Target Quantity]],0)</f>
        <v>2292</v>
      </c>
      <c r="J12" s="40">
        <f t="shared" si="0"/>
        <v>-12</v>
      </c>
      <c r="K12" s="41">
        <f>'Dec 16'!$F12*'Dec 16'!$I12</f>
        <v>1183359.4010416679</v>
      </c>
      <c r="L12" s="42">
        <f>'Dec 16'!$K12/$K$2</f>
        <v>8.1055139424769523E-3</v>
      </c>
      <c r="M12" s="36"/>
      <c r="O12" s="92"/>
    </row>
    <row r="13" spans="1:17" s="45" customFormat="1" ht="12.75" customHeight="1" x14ac:dyDescent="0.25">
      <c r="A13" s="36" t="s">
        <v>119</v>
      </c>
      <c r="B13" s="36" t="s">
        <v>29</v>
      </c>
      <c r="C13" s="36" t="s">
        <v>30</v>
      </c>
      <c r="D13" s="37">
        <v>8.0940000000000005E-3</v>
      </c>
      <c r="E13" s="38">
        <f>'Dec 16'!$D13*$C$6*$C$2</f>
        <v>1183153.1658982038</v>
      </c>
      <c r="F13" s="38">
        <v>20.689997374638999</v>
      </c>
      <c r="G13" s="39">
        <f>'Dec 16'!$E13/'Dec 16'!$F13</f>
        <v>57184.79052822246</v>
      </c>
      <c r="H13" s="36">
        <v>57135</v>
      </c>
      <c r="I13" s="36">
        <f>ROUND(Table1389584567991011121314456267891011121314151617181920213456789101112131415161718192021222334567891011121314151617181920345678910111213[[#This Row],[Target Quantity]],0)</f>
        <v>57185</v>
      </c>
      <c r="J13" s="40">
        <f t="shared" si="0"/>
        <v>50</v>
      </c>
      <c r="K13" s="41">
        <f>'Dec 16'!$F13*'Dec 16'!$I13</f>
        <v>1183157.4998687312</v>
      </c>
      <c r="L13" s="42">
        <f>'Dec 16'!$K13/$K$2</f>
        <v>8.1041310044018405E-3</v>
      </c>
      <c r="M13" s="36"/>
      <c r="O13" s="44"/>
    </row>
    <row r="14" spans="1:17" s="45" customFormat="1" ht="12.75" customHeight="1" x14ac:dyDescent="0.25">
      <c r="A14" s="36" t="s">
        <v>119</v>
      </c>
      <c r="B14" s="36" t="s">
        <v>21</v>
      </c>
      <c r="C14" s="36" t="s">
        <v>22</v>
      </c>
      <c r="D14" s="37">
        <v>8.0940000000000005E-3</v>
      </c>
      <c r="E14" s="38">
        <f>'Dec 16'!$D14*$C$6*$C$2</f>
        <v>1183153.1658982038</v>
      </c>
      <c r="F14" s="38">
        <v>37.669985820072498</v>
      </c>
      <c r="G14" s="39">
        <f>'Dec 16'!$E14/'Dec 16'!$F14</f>
        <v>31408.378318734573</v>
      </c>
      <c r="H14" s="36">
        <v>31735</v>
      </c>
      <c r="I14" s="36">
        <f>ROUND(Table1389584567991011121314456267891011121314151617181920213456789101112131415161718192021222334567891011121314151617181920345678910111213[[#This Row],[Target Quantity]],0)</f>
        <v>31408</v>
      </c>
      <c r="J14" s="40">
        <f t="shared" si="0"/>
        <v>-327</v>
      </c>
      <c r="K14" s="41">
        <f>'Dec 16'!$F14*'Dec 16'!$I14</f>
        <v>1183138.9146368371</v>
      </c>
      <c r="L14" s="42">
        <f>'Dec 16'!$K14/$K$2</f>
        <v>8.104003703383985E-3</v>
      </c>
      <c r="M14" s="36"/>
      <c r="O14" s="44"/>
    </row>
    <row r="15" spans="1:17" s="45" customFormat="1" ht="12.75" customHeight="1" x14ac:dyDescent="0.25">
      <c r="A15" s="36" t="s">
        <v>119</v>
      </c>
      <c r="B15" s="36" t="s">
        <v>37</v>
      </c>
      <c r="C15" s="36" t="s">
        <v>38</v>
      </c>
      <c r="D15" s="37">
        <v>8.0940000000000005E-3</v>
      </c>
      <c r="E15" s="38">
        <f>'Dec 16'!$D15*$C$6*$C$2</f>
        <v>1183153.1658982038</v>
      </c>
      <c r="F15" s="38">
        <v>69.239992925779603</v>
      </c>
      <c r="G15" s="39">
        <f>'Dec 16'!$E15/'Dec 16'!$F15</f>
        <v>17087.713558354357</v>
      </c>
      <c r="H15" s="36">
        <v>16963</v>
      </c>
      <c r="I15" s="36">
        <f>ROUND(Table1389584567991011121314456267891011121314151617181920213456789101112131415161718192021222334567891011121314151617181920345678910111213[[#This Row],[Target Quantity]],0)</f>
        <v>17088</v>
      </c>
      <c r="J15" s="40">
        <f t="shared" si="0"/>
        <v>125</v>
      </c>
      <c r="K15" s="41">
        <f>'Dec 16'!$F15*'Dec 16'!$I15</f>
        <v>1183172.9991157218</v>
      </c>
      <c r="L15" s="42">
        <f>'Dec 16'!$K15/$K$2</f>
        <v>8.1042371677216823E-3</v>
      </c>
      <c r="M15" s="36"/>
      <c r="O15" s="44"/>
    </row>
    <row r="16" spans="1:17" s="45" customFormat="1" ht="12.75" customHeight="1" x14ac:dyDescent="0.25">
      <c r="A16" s="36" t="s">
        <v>119</v>
      </c>
      <c r="B16" s="36" t="s">
        <v>23</v>
      </c>
      <c r="C16" s="36" t="s">
        <v>24</v>
      </c>
      <c r="D16" s="37">
        <v>8.0940000000000005E-3</v>
      </c>
      <c r="E16" s="38">
        <f>'Dec 16'!$D16*$C$6*$C$2</f>
        <v>1183153.1658982038</v>
      </c>
      <c r="F16" s="38">
        <v>261.98999565028299</v>
      </c>
      <c r="G16" s="39">
        <f>'Dec 16'!$E16/'Dec 16'!$F16</f>
        <v>4516.0242205489949</v>
      </c>
      <c r="H16" s="36">
        <v>4598</v>
      </c>
      <c r="I16" s="36">
        <f>ROUND(Table1389584567991011121314456267891011121314151617181920213456789101112131415161718192021222334567891011121314151617181920345678910111213[[#This Row],[Target Quantity]],0)</f>
        <v>4516</v>
      </c>
      <c r="J16" s="40">
        <f t="shared" si="0"/>
        <v>-82</v>
      </c>
      <c r="K16" s="41">
        <f>'Dec 16'!$F16*'Dec 16'!$I16</f>
        <v>1183146.820356678</v>
      </c>
      <c r="L16" s="42">
        <f>'Dec 16'!$K16/$K$2</f>
        <v>8.1040578542381884E-3</v>
      </c>
      <c r="M16" s="36"/>
      <c r="O16" s="44"/>
    </row>
    <row r="17" spans="1:15" s="45" customFormat="1" ht="12.75" customHeight="1" x14ac:dyDescent="0.25">
      <c r="A17" s="36" t="s">
        <v>119</v>
      </c>
      <c r="B17" s="36" t="s">
        <v>15</v>
      </c>
      <c r="C17" s="36" t="s">
        <v>16</v>
      </c>
      <c r="D17" s="37">
        <v>8.0940000000000005E-3</v>
      </c>
      <c r="E17" s="38">
        <f>'Dec 16'!$D17*$C$6*$C$2</f>
        <v>1183153.1658982038</v>
      </c>
      <c r="F17" s="38">
        <v>137.94002320185601</v>
      </c>
      <c r="G17" s="39">
        <f>'Dec 16'!$E17/'Dec 16'!$F17</f>
        <v>8577.3014853479035</v>
      </c>
      <c r="H17" s="36">
        <v>8620</v>
      </c>
      <c r="I17" s="36">
        <f>ROUND(Table1389584567991011121314456267891011121314151617181920213456789101112131415161718192021222334567891011121314151617181920345678910111213[[#This Row],[Target Quantity]],0)</f>
        <v>8577</v>
      </c>
      <c r="J17" s="40">
        <f t="shared" si="0"/>
        <v>-43</v>
      </c>
      <c r="K17" s="41">
        <f>'Dec 16'!$F17*'Dec 16'!$I17</f>
        <v>1183111.5790023189</v>
      </c>
      <c r="L17" s="42">
        <f>'Dec 16'!$K17/$K$2</f>
        <v>8.103816465790302E-3</v>
      </c>
      <c r="M17" s="36"/>
      <c r="O17" s="44"/>
    </row>
    <row r="18" spans="1:15" s="45" customFormat="1" ht="12.75" customHeight="1" x14ac:dyDescent="0.25">
      <c r="A18" s="36" t="s">
        <v>119</v>
      </c>
      <c r="B18" s="36" t="s">
        <v>27</v>
      </c>
      <c r="C18" s="36" t="s">
        <v>28</v>
      </c>
      <c r="D18" s="37">
        <v>8.0940000000000005E-3</v>
      </c>
      <c r="E18" s="38">
        <f>'Dec 16'!$D18*$C$6*$C$2</f>
        <v>1183153.1658982038</v>
      </c>
      <c r="F18" s="38">
        <v>41.8600100712179</v>
      </c>
      <c r="G18" s="39">
        <f>'Dec 16'!$E18/'Dec 16'!$F18</f>
        <v>28264.521768754094</v>
      </c>
      <c r="H18" s="36">
        <v>27802</v>
      </c>
      <c r="I18" s="36">
        <f>ROUND(Table1389584567991011121314456267891011121314151617181920213456789101112131415161718192021222334567891011121314151617181920345678910111213[[#This Row],[Target Quantity]],0)</f>
        <v>28265</v>
      </c>
      <c r="J18" s="40">
        <f t="shared" si="0"/>
        <v>463</v>
      </c>
      <c r="K18" s="41">
        <f>'Dec 16'!$F18*'Dec 16'!$I18</f>
        <v>1183173.184662974</v>
      </c>
      <c r="L18" s="42">
        <f>'Dec 16'!$K18/$K$2</f>
        <v>8.1042384386422819E-3</v>
      </c>
      <c r="M18" s="36"/>
      <c r="O18" s="91"/>
    </row>
    <row r="19" spans="1:15" s="45" customFormat="1" ht="12.75" customHeight="1" x14ac:dyDescent="0.25">
      <c r="A19" s="36" t="s">
        <v>119</v>
      </c>
      <c r="B19" s="36" t="s">
        <v>41</v>
      </c>
      <c r="C19" s="36" t="s">
        <v>42</v>
      </c>
      <c r="D19" s="37">
        <v>8.0940000000000005E-3</v>
      </c>
      <c r="E19" s="38">
        <f>'Dec 16'!$D19*$C$6*$C$2</f>
        <v>1183153.1658982038</v>
      </c>
      <c r="F19" s="38">
        <v>35.140010143500703</v>
      </c>
      <c r="G19" s="39">
        <f>'Dec 16'!$E19/'Dec 16'!$F19</f>
        <v>33669.687659923264</v>
      </c>
      <c r="H19" s="36">
        <v>33519</v>
      </c>
      <c r="I19" s="36">
        <f>ROUND(Table1389584567991011121314456267891011121314151617181920213456789101112131415161718192021222334567891011121314151617181920345678910111213[[#This Row],[Target Quantity]],0)</f>
        <v>33670</v>
      </c>
      <c r="J19" s="40">
        <f t="shared" si="0"/>
        <v>151</v>
      </c>
      <c r="K19" s="41">
        <f>'Dec 16'!$F19*'Dec 16'!$I19</f>
        <v>1183164.1415316686</v>
      </c>
      <c r="L19" s="42">
        <f>'Dec 16'!$K19/$K$2</f>
        <v>8.1041764969981677E-3</v>
      </c>
      <c r="M19" s="36"/>
      <c r="O19" s="91"/>
    </row>
    <row r="20" spans="1:15" s="45" customFormat="1" ht="12.75" customHeight="1" x14ac:dyDescent="0.25">
      <c r="A20" s="36" t="s">
        <v>119</v>
      </c>
      <c r="B20" s="36" t="s">
        <v>35</v>
      </c>
      <c r="C20" s="36" t="s">
        <v>36</v>
      </c>
      <c r="D20" s="37">
        <v>8.0940000000000005E-3</v>
      </c>
      <c r="E20" s="38">
        <f>'Dec 16'!$D20*$C$6*$C$2</f>
        <v>1183153.1658982038</v>
      </c>
      <c r="F20" s="38">
        <v>142.5</v>
      </c>
      <c r="G20" s="39">
        <f>'Dec 16'!$E20/'Dec 16'!$F20</f>
        <v>8302.829234373361</v>
      </c>
      <c r="H20" s="36">
        <v>7576</v>
      </c>
      <c r="I20" s="36">
        <f>ROUND(Table1389584567991011121314456267891011121314151617181920213456789101112131415161718192021222334567891011121314151617181920345678910111213[[#This Row],[Target Quantity]],0)</f>
        <v>8303</v>
      </c>
      <c r="J20" s="40">
        <f t="shared" si="0"/>
        <v>727</v>
      </c>
      <c r="K20" s="41">
        <f>'Dec 16'!$F20*'Dec 16'!$I20</f>
        <v>1183177.5</v>
      </c>
      <c r="L20" s="42">
        <f>'Dec 16'!$K20/$K$2</f>
        <v>8.1042679968850277E-3</v>
      </c>
      <c r="M20" s="36"/>
      <c r="O20" s="91"/>
    </row>
    <row r="21" spans="1:15" s="45" customFormat="1" ht="12.75" customHeight="1" x14ac:dyDescent="0.25">
      <c r="A21" s="36" t="s">
        <v>119</v>
      </c>
      <c r="B21" s="36" t="s">
        <v>39</v>
      </c>
      <c r="C21" s="36" t="s">
        <v>40</v>
      </c>
      <c r="D21" s="37">
        <v>0.22662499999999999</v>
      </c>
      <c r="E21" s="38">
        <f>'Dec 16'!$D21*$C$6*$C$2</f>
        <v>33127265.409152508</v>
      </c>
      <c r="F21" s="38">
        <v>308.17999212288299</v>
      </c>
      <c r="G21" s="39">
        <f>'Dec 16'!$E21/'Dec 16'!$F21</f>
        <v>107493.23854854087</v>
      </c>
      <c r="H21" s="36">
        <v>106638</v>
      </c>
      <c r="I21" s="36">
        <f>ROUND(Table1389584567991011121314456267891011121314151617181920213456789101112131415161718192021222334567891011121314151617181920345678910111213[[#This Row],[Target Quantity]],0)</f>
        <v>107493</v>
      </c>
      <c r="J21" s="40">
        <f t="shared" si="0"/>
        <v>855</v>
      </c>
      <c r="K21" s="41">
        <f>'Dec 16'!$F21*'Dec 16'!$I21</f>
        <v>33127191.893265061</v>
      </c>
      <c r="L21" s="42">
        <f>'Dec 16'!$K21/$K$2</f>
        <v>0.22690732462986929</v>
      </c>
      <c r="M21" s="36"/>
      <c r="O21" s="93"/>
    </row>
    <row r="22" spans="1:15" s="45" customFormat="1" ht="12.75" customHeight="1" x14ac:dyDescent="0.25">
      <c r="A22" s="36" t="s">
        <v>119</v>
      </c>
      <c r="B22" s="45" t="s">
        <v>11</v>
      </c>
      <c r="C22" s="36" t="s">
        <v>12</v>
      </c>
      <c r="D22" s="37">
        <v>2.6249999999999999E-2</v>
      </c>
      <c r="E22" s="38">
        <f>'Dec 16'!$D22*$C$6*$C$2</f>
        <v>3837134.9894771245</v>
      </c>
      <c r="F22" s="38">
        <v>2.5063058963197502</v>
      </c>
      <c r="G22" s="39">
        <f>'Dec 16'!$E22/'Dec 16'!$F22</f>
        <v>1530992.2843462797</v>
      </c>
      <c r="H22" s="36">
        <v>1516200</v>
      </c>
      <c r="I22" s="36">
        <f>ROUND(Table1389584567991011121314456267891011121314151617181920213456789101112131415161718192021222334567891011121314151617181920345678910111213[[#This Row],[Target Quantity]],-2)</f>
        <v>1531000</v>
      </c>
      <c r="J22" s="40">
        <f t="shared" si="0"/>
        <v>14800</v>
      </c>
      <c r="K22" s="41">
        <f>'Dec 16'!$F22*'Dec 16'!$I22</f>
        <v>3837154.3272655373</v>
      </c>
      <c r="L22" s="42">
        <f>'Dec 16'!$K22/$K$2</f>
        <v>2.6282892476882792E-2</v>
      </c>
      <c r="M22" s="36"/>
    </row>
    <row r="23" spans="1:15" s="45" customFormat="1" ht="12.75" customHeight="1" x14ac:dyDescent="0.25">
      <c r="A23" s="36"/>
      <c r="B23" s="36"/>
      <c r="C23" s="36"/>
      <c r="D23" s="37"/>
      <c r="E23" s="38"/>
      <c r="F23" s="38"/>
      <c r="G23" s="39"/>
      <c r="H23" s="36"/>
      <c r="I23" s="36"/>
      <c r="J23" s="46"/>
      <c r="K23" s="38"/>
      <c r="L23" s="47"/>
      <c r="M23" s="36"/>
      <c r="O23" s="91"/>
    </row>
    <row r="24" spans="1:15" s="54" customFormat="1" ht="12.75" customHeight="1" x14ac:dyDescent="0.25">
      <c r="A24" s="48" t="s">
        <v>136</v>
      </c>
      <c r="B24" s="48"/>
      <c r="C24" s="48"/>
      <c r="D24" s="49">
        <f>SUM(D9:D23)</f>
        <v>0.35000300000000001</v>
      </c>
      <c r="E24" s="50">
        <f>'Dec 16'!$D24*$C$6*$C$2</f>
        <v>51162238.389408074</v>
      </c>
      <c r="F24" s="51"/>
      <c r="G24" s="51"/>
      <c r="H24" s="48"/>
      <c r="I24" s="48"/>
      <c r="J24" s="52"/>
      <c r="K24" s="50">
        <f>SUM(K9:K23)</f>
        <v>51162536.708052412</v>
      </c>
      <c r="L24" s="53">
        <f>'Dec 16'!$K24/$K$2</f>
        <v>0.35044184738344381</v>
      </c>
      <c r="M24" s="48"/>
      <c r="O24" s="90"/>
    </row>
    <row r="25" spans="1:15" s="45" customFormat="1" ht="12.75" customHeight="1" x14ac:dyDescent="0.25">
      <c r="A25" s="36"/>
      <c r="B25" s="36"/>
      <c r="C25" s="36"/>
      <c r="D25" s="37"/>
      <c r="E25" s="38"/>
      <c r="F25" s="38"/>
      <c r="G25" s="39"/>
      <c r="H25" s="36"/>
      <c r="I25" s="36"/>
      <c r="J25" s="46"/>
      <c r="K25" s="38"/>
      <c r="L25" s="42"/>
      <c r="M25" s="36"/>
      <c r="O25" s="89"/>
    </row>
    <row r="26" spans="1:15" s="44" customFormat="1" ht="12.75" customHeight="1" x14ac:dyDescent="0.25">
      <c r="A26" s="55"/>
      <c r="B26" s="48" t="s">
        <v>31</v>
      </c>
      <c r="C26" s="55" t="s">
        <v>32</v>
      </c>
      <c r="D26" s="56">
        <v>0.04</v>
      </c>
      <c r="E26" s="57">
        <f>'Dec 16'!$D26*$C$6*$C$2</f>
        <v>5847062.8411079999</v>
      </c>
      <c r="F26" s="51">
        <v>17.769999295556801</v>
      </c>
      <c r="G26" s="58">
        <f>'Dec 16'!$E26/'Dec 16'!$F26</f>
        <v>329041.25339892367</v>
      </c>
      <c r="H26" s="55">
        <v>326499</v>
      </c>
      <c r="I26" s="55">
        <f>ROUND(Table1389584567991011121314456267891011121314151617181920213456789101112131415161718192021222334567891011121314151617181920345678910111213[[#This Row],[Target Quantity]],0)</f>
        <v>329041</v>
      </c>
      <c r="J26" s="59">
        <f>I26-H26</f>
        <v>2542</v>
      </c>
      <c r="K26" s="60">
        <f>'Dec 16'!$F26*'Dec 16'!$I26</f>
        <v>5847058.338209305</v>
      </c>
      <c r="L26" s="53">
        <f>'Dec 16'!$K26/$K$2</f>
        <v>4.0049889189296972E-2</v>
      </c>
      <c r="M26" s="48"/>
      <c r="O26" s="61"/>
    </row>
    <row r="27" spans="1:15" s="44" customFormat="1" ht="12.75" customHeight="1" x14ac:dyDescent="0.25">
      <c r="A27" s="36"/>
      <c r="B27" s="36"/>
      <c r="C27" s="36"/>
      <c r="D27" s="37"/>
      <c r="E27" s="38"/>
      <c r="F27" s="38"/>
      <c r="G27" s="39"/>
      <c r="H27" s="36"/>
      <c r="I27" s="36"/>
      <c r="J27" s="46"/>
      <c r="K27" s="41"/>
      <c r="L27" s="42"/>
      <c r="M27" s="36"/>
      <c r="O27" s="61"/>
    </row>
    <row r="28" spans="1:15" s="4" customFormat="1" ht="25.5" x14ac:dyDescent="0.2">
      <c r="A28" s="36" t="s">
        <v>137</v>
      </c>
      <c r="B28" s="62" t="s">
        <v>75</v>
      </c>
      <c r="C28" s="63" t="s">
        <v>76</v>
      </c>
      <c r="D28" s="37">
        <v>5.8999999999999997E-2</v>
      </c>
      <c r="E28" s="38">
        <f>'Dec 16'!$D28*$C$6*$C$2</f>
        <v>8624417.6906342991</v>
      </c>
      <c r="F28" s="38">
        <v>156115.03703703699</v>
      </c>
      <c r="G28" s="39">
        <f>'Dec 16'!$E28/'Dec 16'!$F28</f>
        <v>55.24399093335402</v>
      </c>
      <c r="H28" s="36">
        <v>54</v>
      </c>
      <c r="I28" s="36">
        <f>ROUND(Table1389584567991011121314456267891011121314151617181920213456789101112131415161718192021222334567891011121314151617181920345678910111213[[#This Row],[Target Quantity]],0)</f>
        <v>55</v>
      </c>
      <c r="J28" s="40">
        <f t="shared" ref="J28:J37" si="1">I28-H28</f>
        <v>1</v>
      </c>
      <c r="K28" s="41">
        <f>'Dec 16'!$F28*'Dec 16'!$I28</f>
        <v>8586327.0370370355</v>
      </c>
      <c r="L28" s="42">
        <f>'Dec 16'!$K28/$K$2</f>
        <v>5.8812727098890814E-2</v>
      </c>
      <c r="M28" s="64"/>
    </row>
    <row r="29" spans="1:15" s="4" customFormat="1" ht="25.5" x14ac:dyDescent="0.2">
      <c r="A29" s="36" t="s">
        <v>137</v>
      </c>
      <c r="B29" s="62" t="s">
        <v>80</v>
      </c>
      <c r="C29" s="63" t="s">
        <v>81</v>
      </c>
      <c r="D29" s="37">
        <v>5.8999999999999997E-2</v>
      </c>
      <c r="E29" s="38">
        <f>'Dec 16'!$D29*$C$6*$C$2</f>
        <v>8624417.6906342991</v>
      </c>
      <c r="F29" s="38">
        <v>212293.375</v>
      </c>
      <c r="G29" s="39">
        <f>'Dec 16'!$E29/'Dec 16'!$F29</f>
        <v>40.624996849921949</v>
      </c>
      <c r="H29" s="36">
        <v>40</v>
      </c>
      <c r="I29" s="36">
        <f>ROUND(Table1389584567991011121314456267891011121314151617181920213456789101112131415161718192021222334567891011121314151617181920345678910111213[[#This Row],[Target Quantity]],0)</f>
        <v>41</v>
      </c>
      <c r="J29" s="40">
        <f t="shared" si="1"/>
        <v>1</v>
      </c>
      <c r="K29" s="41">
        <f>'Dec 16'!$F29*'Dec 16'!$I29</f>
        <v>8704028.375</v>
      </c>
      <c r="L29" s="42">
        <f>'Dec 16'!$K29/$K$2</f>
        <v>5.9618931735510257E-2</v>
      </c>
      <c r="M29" s="64"/>
    </row>
    <row r="30" spans="1:15" s="4" customFormat="1" ht="25.5" x14ac:dyDescent="0.2">
      <c r="A30" s="36" t="s">
        <v>137</v>
      </c>
      <c r="B30" s="62" t="s">
        <v>82</v>
      </c>
      <c r="C30" s="63" t="s">
        <v>83</v>
      </c>
      <c r="D30" s="37">
        <v>5.8999999999999997E-2</v>
      </c>
      <c r="E30" s="38">
        <f>'Dec 16'!$D30*$C$6*$C$2</f>
        <v>8624417.6906342991</v>
      </c>
      <c r="F30" s="38">
        <v>172913.42857142899</v>
      </c>
      <c r="G30" s="39">
        <f>'Dec 16'!$E30/'Dec 16'!$F30</f>
        <v>49.877084514992596</v>
      </c>
      <c r="H30" s="36">
        <v>49</v>
      </c>
      <c r="I30" s="36">
        <f>ROUND(Table1389584567991011121314456267891011121314151617181920213456789101112131415161718192021222334567891011121314151617181920345678910111213[[#This Row],[Target Quantity]],0)</f>
        <v>50</v>
      </c>
      <c r="J30" s="40">
        <f t="shared" si="1"/>
        <v>1</v>
      </c>
      <c r="K30" s="41">
        <f>'Dec 16'!$F30*'Dec 16'!$I30</f>
        <v>8645671.4285714496</v>
      </c>
      <c r="L30" s="42">
        <f>'Dec 16'!$K30/$K$2</f>
        <v>5.9219211208930915E-2</v>
      </c>
      <c r="M30" s="64"/>
    </row>
    <row r="31" spans="1:15" s="4" customFormat="1" ht="25.5" x14ac:dyDescent="0.2">
      <c r="A31" s="36" t="s">
        <v>137</v>
      </c>
      <c r="B31" s="62" t="s">
        <v>84</v>
      </c>
      <c r="C31" s="63" t="s">
        <v>85</v>
      </c>
      <c r="D31" s="37">
        <v>5.8999999999999997E-2</v>
      </c>
      <c r="E31" s="38">
        <f>'Dec 16'!$D31*$C$6*$C$2</f>
        <v>8624417.6906342991</v>
      </c>
      <c r="F31" s="38">
        <v>126025.835820896</v>
      </c>
      <c r="G31" s="39">
        <f>'Dec 16'!$E31/'Dec 16'!$F31</f>
        <v>68.433727373893817</v>
      </c>
      <c r="H31" s="36">
        <v>67</v>
      </c>
      <c r="I31" s="36">
        <f>ROUND(Table1389584567991011121314456267891011121314151617181920213456789101112131415161718192021222334567891011121314151617181920345678910111213[[#This Row],[Target Quantity]],0)</f>
        <v>68</v>
      </c>
      <c r="J31" s="40">
        <f t="shared" si="1"/>
        <v>1</v>
      </c>
      <c r="K31" s="41">
        <f>'Dec 16'!$F31*'Dec 16'!$I31</f>
        <v>8569756.8358209282</v>
      </c>
      <c r="L31" s="42">
        <f>'Dec 16'!$K31/$K$2</f>
        <v>5.8699228193259463E-2</v>
      </c>
      <c r="M31" s="64"/>
    </row>
    <row r="32" spans="1:15" s="4" customFormat="1" ht="25.5" x14ac:dyDescent="0.2">
      <c r="A32" s="36" t="s">
        <v>137</v>
      </c>
      <c r="B32" s="62" t="s">
        <v>86</v>
      </c>
      <c r="C32" s="63" t="s">
        <v>87</v>
      </c>
      <c r="D32" s="37">
        <v>5.8999999999999997E-2</v>
      </c>
      <c r="E32" s="38">
        <f>'Dec 16'!$D32*$C$6*$C$2</f>
        <v>8624417.6906342991</v>
      </c>
      <c r="F32" s="38">
        <v>137854.59016393399</v>
      </c>
      <c r="G32" s="39">
        <f>'Dec 16'!$E32/'Dec 16'!$F32</f>
        <v>62.561701285233305</v>
      </c>
      <c r="H32" s="36">
        <v>61</v>
      </c>
      <c r="I32" s="36">
        <f>ROUND(Table1389584567991011121314456267891011121314151617181920213456789101112131415161718192021222334567891011121314151617181920345678910111213[[#This Row],[Target Quantity]],0)</f>
        <v>63</v>
      </c>
      <c r="J32" s="40">
        <f t="shared" si="1"/>
        <v>2</v>
      </c>
      <c r="K32" s="41">
        <f>'Dec 16'!$F32*'Dec 16'!$I32</f>
        <v>8684839.180327842</v>
      </c>
      <c r="L32" s="42">
        <f>'Dec 16'!$K32/$K$2</f>
        <v>5.9487493826770814E-2</v>
      </c>
      <c r="M32" s="64"/>
    </row>
    <row r="33" spans="1:16" s="4" customFormat="1" ht="25.5" x14ac:dyDescent="0.2">
      <c r="A33" s="36" t="s">
        <v>137</v>
      </c>
      <c r="B33" s="62" t="s">
        <v>92</v>
      </c>
      <c r="C33" s="63" t="s">
        <v>93</v>
      </c>
      <c r="D33" s="37">
        <v>5.8999999999999997E-2</v>
      </c>
      <c r="E33" s="38">
        <f>'Dec 16'!$D33*$C$6*$C$2</f>
        <v>8624417.6906342991</v>
      </c>
      <c r="F33" s="38">
        <v>220936.21052631599</v>
      </c>
      <c r="G33" s="39">
        <f>'Dec 16'!$E33/'Dec 16'!$F33</f>
        <v>39.035781731247873</v>
      </c>
      <c r="H33" s="36">
        <v>38</v>
      </c>
      <c r="I33" s="36">
        <f>ROUND(Table1389584567991011121314456267891011121314151617181920213456789101112131415161718192021222334567891011121314151617181920345678910111213[[#This Row],[Target Quantity]],0)</f>
        <v>39</v>
      </c>
      <c r="J33" s="40">
        <f t="shared" si="1"/>
        <v>1</v>
      </c>
      <c r="K33" s="41">
        <f>'Dec 16'!$F33*'Dec 16'!$I33</f>
        <v>8616512.2105263229</v>
      </c>
      <c r="L33" s="42">
        <f>'Dec 16'!$K33/$K$2</f>
        <v>5.9019482835447383E-2</v>
      </c>
      <c r="M33" s="64"/>
    </row>
    <row r="34" spans="1:16" s="44" customFormat="1" ht="25.5" customHeight="1" x14ac:dyDescent="0.2">
      <c r="A34" s="36" t="s">
        <v>138</v>
      </c>
      <c r="B34" s="36" t="s">
        <v>54</v>
      </c>
      <c r="C34" s="36" t="s">
        <v>55</v>
      </c>
      <c r="D34" s="37">
        <v>5.8999999999999997E-2</v>
      </c>
      <c r="E34" s="38">
        <f>'Dec 16'!$D34*$C$6*$C$2</f>
        <v>8624417.6906342991</v>
      </c>
      <c r="F34" s="38">
        <v>116619.054794521</v>
      </c>
      <c r="G34" s="39">
        <f>'Dec 16'!$E34/'Dec 16'!$F34</f>
        <v>73.953760865497017</v>
      </c>
      <c r="H34" s="36">
        <v>73</v>
      </c>
      <c r="I34" s="36">
        <f>ROUND(Table1389584567991011121314456267891011121314151617181920213456789101112131415161718192021222334567891011121314151617181920345678910111213[[#This Row],[Target Quantity]],0)</f>
        <v>74</v>
      </c>
      <c r="J34" s="40">
        <f t="shared" si="1"/>
        <v>1</v>
      </c>
      <c r="K34" s="41">
        <f>'Dec 16'!$F34*'Dec 16'!$I34</f>
        <v>8629810.0547945537</v>
      </c>
      <c r="L34" s="42">
        <f>'Dec 16'!$K34/$K$2</f>
        <v>5.9110567472985355E-2</v>
      </c>
      <c r="M34" s="43"/>
      <c r="O34" s="4"/>
    </row>
    <row r="35" spans="1:16" s="44" customFormat="1" ht="25.5" x14ac:dyDescent="0.2">
      <c r="A35" s="36" t="s">
        <v>138</v>
      </c>
      <c r="B35" s="36" t="s">
        <v>52</v>
      </c>
      <c r="C35" s="36" t="s">
        <v>53</v>
      </c>
      <c r="D35" s="37">
        <v>5.8999999999999997E-2</v>
      </c>
      <c r="E35" s="38">
        <f>'Dec 16'!$D35*$C$6*$C$2</f>
        <v>8624417.6906342991</v>
      </c>
      <c r="F35" s="38">
        <v>138280.59016393399</v>
      </c>
      <c r="G35" s="39">
        <f>'Dec 16'!$E35/'Dec 16'!$F35</f>
        <v>62.368967910897005</v>
      </c>
      <c r="H35" s="36">
        <v>61</v>
      </c>
      <c r="I35" s="36">
        <f>ROUND(Table1389584567991011121314456267891011121314151617181920213456789101112131415161718192021222334567891011121314151617181920345678910111213[[#This Row],[Target Quantity]],0)</f>
        <v>62</v>
      </c>
      <c r="J35" s="40">
        <f t="shared" si="1"/>
        <v>1</v>
      </c>
      <c r="K35" s="41">
        <f>'Dec 16'!$F35*'Dec 16'!$I35</f>
        <v>8573396.590163907</v>
      </c>
      <c r="L35" s="42">
        <f>'Dec 16'!$K35/$K$2</f>
        <v>5.8724158978909397E-2</v>
      </c>
      <c r="M35" s="43"/>
      <c r="O35" s="4"/>
    </row>
    <row r="36" spans="1:16" s="44" customFormat="1" ht="24.95" customHeight="1" x14ac:dyDescent="0.2">
      <c r="A36" s="36" t="s">
        <v>138</v>
      </c>
      <c r="B36" s="36" t="s">
        <v>48</v>
      </c>
      <c r="C36" s="36" t="s">
        <v>49</v>
      </c>
      <c r="D36" s="37">
        <v>5.8999999999999997E-2</v>
      </c>
      <c r="E36" s="38">
        <f>'Dec 16'!$D36*$C$6*$C$2</f>
        <v>8624417.6906342991</v>
      </c>
      <c r="F36" s="38">
        <v>185758.54347826101</v>
      </c>
      <c r="G36" s="39">
        <f>'Dec 16'!$E36/'Dec 16'!$F36</f>
        <v>46.428107849820641</v>
      </c>
      <c r="H36" s="36">
        <v>46</v>
      </c>
      <c r="I36" s="36">
        <f>ROUND(Table1389584567991011121314456267891011121314151617181920213456789101112131415161718192021222334567891011121314151617181920345678910111213[[#This Row],[Target Quantity]],0)</f>
        <v>46</v>
      </c>
      <c r="J36" s="40">
        <f t="shared" si="1"/>
        <v>0</v>
      </c>
      <c r="K36" s="41">
        <f>'Dec 16'!$F36*'Dec 16'!$I36</f>
        <v>8544893.0000000056</v>
      </c>
      <c r="L36" s="42">
        <f>'Dec 16'!$K36/$K$2</f>
        <v>5.8528921380525692E-2</v>
      </c>
      <c r="M36" s="43"/>
      <c r="O36" s="4"/>
    </row>
    <row r="37" spans="1:16" s="44" customFormat="1" ht="25.5" x14ac:dyDescent="0.2">
      <c r="A37" s="36" t="s">
        <v>138</v>
      </c>
      <c r="B37" s="36" t="s">
        <v>58</v>
      </c>
      <c r="C37" s="36" t="s">
        <v>59</v>
      </c>
      <c r="D37" s="37">
        <v>5.8999999999999997E-2</v>
      </c>
      <c r="E37" s="38">
        <f>'Dec 16'!$D37*$C$6*$C$2</f>
        <v>8624417.6906342991</v>
      </c>
      <c r="F37" s="38">
        <v>275335.45161290298</v>
      </c>
      <c r="G37" s="39">
        <f>'Dec 16'!$E37/'Dec 16'!$F37</f>
        <v>31.323309948329715</v>
      </c>
      <c r="H37" s="36">
        <v>31</v>
      </c>
      <c r="I37" s="36">
        <f>ROUND(Table1389584567991011121314456267891011121314151617181920213456789101112131415161718192021222334567891011121314151617181920345678910111213[[#This Row],[Target Quantity]],0)</f>
        <v>31</v>
      </c>
      <c r="J37" s="40">
        <f t="shared" si="1"/>
        <v>0</v>
      </c>
      <c r="K37" s="41">
        <f>'Dec 16'!$F37*'Dec 16'!$I37</f>
        <v>8535398.9999999925</v>
      </c>
      <c r="L37" s="42">
        <f>'Dec 16'!$K37/$K$2</f>
        <v>5.8463891475576915E-2</v>
      </c>
      <c r="M37" s="43"/>
      <c r="O37" s="4"/>
    </row>
    <row r="38" spans="1:16" s="66" customFormat="1" ht="12.75" x14ac:dyDescent="0.2">
      <c r="A38" s="36"/>
      <c r="B38" s="63"/>
      <c r="C38" s="63"/>
      <c r="D38" s="37"/>
      <c r="E38" s="65"/>
      <c r="F38" s="38"/>
      <c r="G38" s="39"/>
      <c r="H38" s="36"/>
      <c r="I38" s="36"/>
      <c r="J38" s="46"/>
      <c r="K38" s="38"/>
      <c r="L38" s="47"/>
      <c r="M38" s="64"/>
    </row>
    <row r="39" spans="1:16" s="17" customFormat="1" ht="12.75" x14ac:dyDescent="0.2">
      <c r="A39" s="48" t="s">
        <v>142</v>
      </c>
      <c r="B39" s="67"/>
      <c r="C39" s="67"/>
      <c r="D39" s="56">
        <f>SUBTOTAL(9,D28:D38)</f>
        <v>0.58999999999999986</v>
      </c>
      <c r="E39" s="68">
        <f>'Dec 16'!$D39*$C$6*$C$2</f>
        <v>86244176.906342983</v>
      </c>
      <c r="F39" s="69"/>
      <c r="G39" s="70"/>
      <c r="H39" s="55"/>
      <c r="I39" s="55"/>
      <c r="J39" s="59"/>
      <c r="K39" s="68">
        <f>SUM(K28:K38)</f>
        <v>86090633.712242037</v>
      </c>
      <c r="L39" s="71">
        <f>'Dec 16'!$K39/$K$2</f>
        <v>0.58968461420680696</v>
      </c>
      <c r="M39" s="72"/>
    </row>
    <row r="40" spans="1:16" s="44" customFormat="1" ht="12.75" x14ac:dyDescent="0.25">
      <c r="A40" s="36"/>
      <c r="B40" s="36"/>
      <c r="C40" s="36"/>
      <c r="D40" s="37"/>
      <c r="E40" s="38"/>
      <c r="F40" s="38"/>
      <c r="G40" s="74"/>
      <c r="H40" s="36"/>
      <c r="I40" s="36"/>
      <c r="J40" s="40"/>
      <c r="K40" s="41"/>
      <c r="L40" s="42"/>
      <c r="M40" s="43"/>
    </row>
    <row r="41" spans="1:16" s="44" customFormat="1" ht="25.5" x14ac:dyDescent="0.25">
      <c r="A41" s="36" t="s">
        <v>154</v>
      </c>
      <c r="B41" s="36" t="s">
        <v>45</v>
      </c>
      <c r="C41" s="36" t="s">
        <v>46</v>
      </c>
      <c r="D41" s="37">
        <v>2E-3</v>
      </c>
      <c r="E41" s="38">
        <f>'Dec 16'!$D41*$C$6*$C$2</f>
        <v>292353.14205540001</v>
      </c>
      <c r="F41" s="38">
        <v>51100.5</v>
      </c>
      <c r="G41" s="74">
        <f>'Dec 16'!$E41/'Dec 16'!$F41</f>
        <v>5.7211405378694922</v>
      </c>
      <c r="H41" s="36">
        <v>6</v>
      </c>
      <c r="I41" s="36">
        <v>6</v>
      </c>
      <c r="J41" s="40">
        <f t="shared" ref="J41:J50" si="2">I41-H41</f>
        <v>0</v>
      </c>
      <c r="K41" s="41">
        <f>'Dec 16'!$F41*'Dec 16'!$I41</f>
        <v>306603</v>
      </c>
      <c r="L41" s="42">
        <f>'Dec 16'!$K41/$K$2</f>
        <v>2.1001015322290525E-3</v>
      </c>
      <c r="M41" s="43"/>
    </row>
    <row r="42" spans="1:16" s="44" customFormat="1" ht="25.5" x14ac:dyDescent="0.25">
      <c r="A42" s="36" t="s">
        <v>154</v>
      </c>
      <c r="B42" s="36" t="s">
        <v>156</v>
      </c>
      <c r="C42" s="36" t="s">
        <v>61</v>
      </c>
      <c r="D42" s="37">
        <v>2E-3</v>
      </c>
      <c r="E42" s="38">
        <f>'Dec 16'!$D42*$C$6*$C$2</f>
        <v>292353.14205540001</v>
      </c>
      <c r="F42" s="38">
        <v>88967.666666666701</v>
      </c>
      <c r="G42" s="74">
        <f>'Dec 16'!$E42/'Dec 16'!$F42</f>
        <v>3.2860605769369386</v>
      </c>
      <c r="H42" s="36">
        <v>3</v>
      </c>
      <c r="I42" s="36">
        <v>3</v>
      </c>
      <c r="J42" s="40">
        <f t="shared" si="2"/>
        <v>0</v>
      </c>
      <c r="K42" s="41">
        <f>'Dec 16'!$F42*'Dec 16'!$I42</f>
        <v>266903.00000000012</v>
      </c>
      <c r="L42" s="42">
        <f>'Dec 16'!$K42/$K$2</f>
        <v>1.8281732378891632E-3</v>
      </c>
      <c r="M42" s="43"/>
      <c r="P42" s="44" t="s">
        <v>157</v>
      </c>
    </row>
    <row r="43" spans="1:16" s="44" customFormat="1" ht="25.5" x14ac:dyDescent="0.25">
      <c r="A43" s="36" t="s">
        <v>154</v>
      </c>
      <c r="B43" s="36" t="s">
        <v>68</v>
      </c>
      <c r="C43" s="36" t="s">
        <v>69</v>
      </c>
      <c r="D43" s="37">
        <v>2E-3</v>
      </c>
      <c r="E43" s="38">
        <f>'Dec 16'!$D43*$C$6*$C$2</f>
        <v>292353.14205540001</v>
      </c>
      <c r="F43" s="38">
        <v>105012.33333333299</v>
      </c>
      <c r="G43" s="74">
        <f>'Dec 16'!$E43/'Dec 16'!$F43</f>
        <v>2.7839886304345294</v>
      </c>
      <c r="H43" s="36">
        <v>3</v>
      </c>
      <c r="I43" s="36">
        <v>3</v>
      </c>
      <c r="J43" s="40">
        <f t="shared" si="2"/>
        <v>0</v>
      </c>
      <c r="K43" s="41">
        <f>'Dec 16'!$F43*'Dec 16'!$I43</f>
        <v>315036.99999999895</v>
      </c>
      <c r="L43" s="42">
        <f>'Dec 16'!$K43/$K$2</f>
        <v>2.1578708832230664E-3</v>
      </c>
      <c r="M43" s="43"/>
    </row>
    <row r="44" spans="1:16" s="44" customFormat="1" ht="25.5" x14ac:dyDescent="0.25">
      <c r="A44" s="36" t="s">
        <v>154</v>
      </c>
      <c r="B44" s="36" t="s">
        <v>70</v>
      </c>
      <c r="C44" s="36" t="s">
        <v>71</v>
      </c>
      <c r="D44" s="37">
        <v>2E-3</v>
      </c>
      <c r="E44" s="38">
        <f>'Dec 16'!$D44*$C$6*$C$2</f>
        <v>292353.14205540001</v>
      </c>
      <c r="F44" s="38">
        <v>234070</v>
      </c>
      <c r="G44" s="74">
        <f>'Dec 16'!$E44/'Dec 16'!$F44</f>
        <v>1.2489987698355194</v>
      </c>
      <c r="H44" s="36">
        <v>1</v>
      </c>
      <c r="I44" s="36">
        <v>1</v>
      </c>
      <c r="J44" s="40">
        <f t="shared" si="2"/>
        <v>0</v>
      </c>
      <c r="K44" s="41">
        <f>'Dec 16'!$F44*'Dec 16'!$I44</f>
        <v>234070</v>
      </c>
      <c r="L44" s="42">
        <f>'Dec 16'!$K44/$K$2</f>
        <v>1.6032810039329503E-3</v>
      </c>
      <c r="M44" s="43"/>
    </row>
    <row r="45" spans="1:16" s="44" customFormat="1" ht="25.5" x14ac:dyDescent="0.25">
      <c r="A45" s="36" t="s">
        <v>154</v>
      </c>
      <c r="B45" s="36" t="s">
        <v>159</v>
      </c>
      <c r="C45" s="36" t="s">
        <v>73</v>
      </c>
      <c r="D45" s="37">
        <v>2E-3</v>
      </c>
      <c r="E45" s="38">
        <f>'Dec 16'!$D45*$C$6*$C$2</f>
        <v>292353.14205540001</v>
      </c>
      <c r="F45" s="38">
        <v>15305.266666666699</v>
      </c>
      <c r="G45" s="74">
        <f>'Dec 16'!$E45/'Dec 16'!$F45</f>
        <v>19.101473265546897</v>
      </c>
      <c r="H45" s="36">
        <v>19</v>
      </c>
      <c r="I45" s="36">
        <v>19</v>
      </c>
      <c r="J45" s="40">
        <f t="shared" si="2"/>
        <v>0</v>
      </c>
      <c r="K45" s="41">
        <f>'Dec 16'!$F45*'Dec 16'!$I45</f>
        <v>290800.06666666729</v>
      </c>
      <c r="L45" s="42">
        <f>'Dec 16'!$K45/$K$2</f>
        <v>1.9918580887303083E-3</v>
      </c>
      <c r="M45" s="43"/>
    </row>
    <row r="46" spans="1:16" s="4" customFormat="1" ht="25.5" x14ac:dyDescent="0.2">
      <c r="A46" s="36" t="s">
        <v>154</v>
      </c>
      <c r="B46" s="63" t="s">
        <v>90</v>
      </c>
      <c r="C46" s="63" t="s">
        <v>91</v>
      </c>
      <c r="D46" s="37">
        <v>2E-3</v>
      </c>
      <c r="E46" s="38">
        <f>'Dec 16'!$D46*$C$6*$C$2</f>
        <v>292353.14205540001</v>
      </c>
      <c r="F46" s="38">
        <v>70787.25</v>
      </c>
      <c r="G46" s="74">
        <f>'Dec 16'!$E46/'Dec 16'!$F46</f>
        <v>4.1300254220272716</v>
      </c>
      <c r="H46" s="36">
        <v>4</v>
      </c>
      <c r="I46" s="36">
        <v>4</v>
      </c>
      <c r="J46" s="40">
        <f t="shared" si="2"/>
        <v>0</v>
      </c>
      <c r="K46" s="41">
        <f>'Dec 16'!$F46*'Dec 16'!$I46</f>
        <v>283149</v>
      </c>
      <c r="L46" s="42">
        <f>'Dec 16'!$K46/$K$2</f>
        <v>1.9394515016132395E-3</v>
      </c>
      <c r="M46" s="64"/>
    </row>
    <row r="47" spans="1:16" s="44" customFormat="1" ht="25.5" x14ac:dyDescent="0.25">
      <c r="A47" s="36" t="s">
        <v>154</v>
      </c>
      <c r="B47" s="36" t="s">
        <v>66</v>
      </c>
      <c r="C47" s="36" t="s">
        <v>67</v>
      </c>
      <c r="D47" s="37">
        <v>2E-3</v>
      </c>
      <c r="E47" s="38">
        <f>'Dec 16'!$D47*$C$6*$C$2</f>
        <v>292353.14205540001</v>
      </c>
      <c r="F47" s="38">
        <v>26410</v>
      </c>
      <c r="G47" s="74">
        <f>'Dec 16'!$E47/'Dec 16'!$F47</f>
        <v>11.069789551510791</v>
      </c>
      <c r="H47" s="36">
        <v>11</v>
      </c>
      <c r="I47" s="36">
        <v>11</v>
      </c>
      <c r="J47" s="40">
        <f t="shared" si="2"/>
        <v>0</v>
      </c>
      <c r="K47" s="41">
        <f>'Dec 16'!$F47*'Dec 16'!$I47</f>
        <v>290510</v>
      </c>
      <c r="L47" s="42">
        <f>'Dec 16'!$K47/$K$2</f>
        <v>1.9898712541229608E-3</v>
      </c>
      <c r="M47" s="43"/>
    </row>
    <row r="48" spans="1:16" s="44" customFormat="1" ht="25.5" x14ac:dyDescent="0.25">
      <c r="A48" s="36" t="s">
        <v>154</v>
      </c>
      <c r="B48" s="36" t="s">
        <v>77</v>
      </c>
      <c r="C48" s="36" t="s">
        <v>78</v>
      </c>
      <c r="D48" s="37">
        <v>2E-3</v>
      </c>
      <c r="E48" s="38">
        <f>'Dec 16'!$D48*$C$6*$C$2</f>
        <v>292353.14205540001</v>
      </c>
      <c r="F48" s="38">
        <v>7780.5555555555602</v>
      </c>
      <c r="G48" s="74">
        <f>'Dec 16'!$E48/'Dec 16'!$F48</f>
        <v>37.574841535146</v>
      </c>
      <c r="H48" s="36">
        <v>36</v>
      </c>
      <c r="I48" s="36">
        <v>38</v>
      </c>
      <c r="J48" s="40">
        <f t="shared" si="2"/>
        <v>2</v>
      </c>
      <c r="K48" s="41">
        <f>'Dec 16'!$F48*'Dec 16'!$I48</f>
        <v>295661.1111111113</v>
      </c>
      <c r="L48" s="42">
        <f>'Dec 16'!$K48/$K$2</f>
        <v>2.0251541976594786E-3</v>
      </c>
      <c r="M48" s="43"/>
    </row>
    <row r="49" spans="1:13" s="44" customFormat="1" ht="25.5" x14ac:dyDescent="0.25">
      <c r="A49" s="36" t="s">
        <v>154</v>
      </c>
      <c r="B49" s="36" t="s">
        <v>63</v>
      </c>
      <c r="C49" s="36" t="s">
        <v>64</v>
      </c>
      <c r="D49" s="37">
        <v>2E-3</v>
      </c>
      <c r="E49" s="38">
        <f>'Dec 16'!$D49*$C$6*$C$2</f>
        <v>292353.14205540001</v>
      </c>
      <c r="F49" s="38">
        <v>28446.727272727301</v>
      </c>
      <c r="G49" s="74">
        <f>'Dec 16'!$E49/'Dec 16'!$F49</f>
        <v>10.277215345460403</v>
      </c>
      <c r="H49" s="36">
        <v>11</v>
      </c>
      <c r="I49" s="36">
        <v>11</v>
      </c>
      <c r="J49" s="40">
        <f t="shared" si="2"/>
        <v>0</v>
      </c>
      <c r="K49" s="41">
        <f>'Dec 16'!$F49*'Dec 16'!$I49</f>
        <v>312914.00000000029</v>
      </c>
      <c r="L49" s="42">
        <f>'Dec 16'!$K49/$K$2</f>
        <v>2.143329226576134E-3</v>
      </c>
      <c r="M49" s="43"/>
    </row>
    <row r="50" spans="1:13" s="44" customFormat="1" ht="25.5" x14ac:dyDescent="0.25">
      <c r="A50" s="36" t="s">
        <v>154</v>
      </c>
      <c r="B50" s="36" t="s">
        <v>88</v>
      </c>
      <c r="C50" s="36" t="s">
        <v>89</v>
      </c>
      <c r="D50" s="37">
        <v>2E-3</v>
      </c>
      <c r="E50" s="38">
        <f>'Dec 16'!$D50*$C$6*$C$2</f>
        <v>292353.14205540001</v>
      </c>
      <c r="F50" s="38">
        <v>59698.8</v>
      </c>
      <c r="G50" s="74">
        <f>'Dec 16'!$E50/'Dec 16'!$F50</f>
        <v>4.8971359902611109</v>
      </c>
      <c r="H50" s="36">
        <v>5</v>
      </c>
      <c r="I50" s="36">
        <v>5</v>
      </c>
      <c r="J50" s="40">
        <f t="shared" si="2"/>
        <v>0</v>
      </c>
      <c r="K50" s="41">
        <f>'Dec 16'!$F50*'Dec 16'!$I50</f>
        <v>298494</v>
      </c>
      <c r="L50" s="42">
        <f>'Dec 16'!$K50/$K$2</f>
        <v>2.0445582944758497E-3</v>
      </c>
      <c r="M50" s="43"/>
    </row>
    <row r="51" spans="1:13" s="44" customFormat="1" ht="12.75" x14ac:dyDescent="0.25">
      <c r="A51" s="36"/>
      <c r="B51" s="36"/>
      <c r="C51" s="36"/>
      <c r="D51" s="37"/>
      <c r="E51" s="38"/>
      <c r="F51" s="38"/>
      <c r="G51" s="39"/>
      <c r="H51" s="36"/>
      <c r="I51" s="36"/>
      <c r="J51" s="43"/>
      <c r="K51" s="41"/>
      <c r="L51" s="42"/>
      <c r="M51" s="43"/>
    </row>
    <row r="52" spans="1:13" s="17" customFormat="1" ht="12.75" x14ac:dyDescent="0.2">
      <c r="A52" s="48" t="s">
        <v>164</v>
      </c>
      <c r="B52" s="67"/>
      <c r="C52" s="67"/>
      <c r="D52" s="75">
        <f>SUM(D41:D51)</f>
        <v>2.0000000000000004E-2</v>
      </c>
      <c r="E52" s="50">
        <f>SUM(E40:E51)</f>
        <v>2923531.4205540004</v>
      </c>
      <c r="F52" s="70"/>
      <c r="G52" s="70"/>
      <c r="H52" s="67"/>
      <c r="I52" s="67"/>
      <c r="J52" s="48"/>
      <c r="K52" s="50">
        <f>SUM(K40:K51)</f>
        <v>2894141.1777777784</v>
      </c>
      <c r="L52" s="53">
        <f>'Dec 16'!$K52/$K$2</f>
        <v>1.9823649220452207E-2</v>
      </c>
      <c r="M52" s="60"/>
    </row>
    <row r="53" spans="1:13" s="4" customFormat="1" ht="12.75" x14ac:dyDescent="0.2">
      <c r="A53" s="36"/>
      <c r="B53" s="63"/>
      <c r="C53" s="63"/>
      <c r="D53" s="76"/>
      <c r="E53" s="38"/>
      <c r="F53" s="38"/>
      <c r="G53" s="39"/>
      <c r="H53" s="63"/>
      <c r="I53" s="63"/>
      <c r="J53" s="36"/>
      <c r="K53" s="36"/>
      <c r="L53" s="42"/>
      <c r="M53" s="64"/>
    </row>
    <row r="54" spans="1:13" s="44" customFormat="1" ht="25.5" x14ac:dyDescent="0.25">
      <c r="A54" s="48" t="s">
        <v>165</v>
      </c>
      <c r="B54" s="55" t="s">
        <v>166</v>
      </c>
      <c r="C54" s="55" t="s">
        <v>167</v>
      </c>
      <c r="D54" s="56">
        <v>0</v>
      </c>
      <c r="E54" s="57">
        <f>'Dec 16'!$D54*$C$6*$C$2</f>
        <v>0</v>
      </c>
      <c r="F54" s="57">
        <v>0</v>
      </c>
      <c r="G54" s="58" t="s">
        <v>168</v>
      </c>
      <c r="H54" s="55">
        <v>0</v>
      </c>
      <c r="I54" s="55">
        <v>0</v>
      </c>
      <c r="J54" s="77">
        <f>I54-H54</f>
        <v>0</v>
      </c>
      <c r="K54" s="57">
        <f>'Dec 16'!$F54*'Dec 16'!$I54</f>
        <v>0</v>
      </c>
      <c r="L54" s="78">
        <f>'Dec 16'!$K54/$K$2</f>
        <v>0</v>
      </c>
      <c r="M54" s="55"/>
    </row>
    <row r="55" spans="1:13" s="4" customFormat="1" ht="12.75" x14ac:dyDescent="0.2">
      <c r="A55" s="36"/>
      <c r="B55" s="63"/>
      <c r="C55" s="63"/>
      <c r="D55" s="76"/>
      <c r="E55" s="38"/>
      <c r="F55" s="38"/>
      <c r="G55" s="39"/>
      <c r="H55" s="63"/>
      <c r="I55" s="63"/>
      <c r="J55" s="36"/>
      <c r="K55" s="36"/>
      <c r="L55" s="42"/>
      <c r="M55" s="64"/>
    </row>
    <row r="56" spans="1:13" s="4" customFormat="1" ht="12.75" x14ac:dyDescent="0.2">
      <c r="A56" s="36"/>
      <c r="B56" s="63"/>
      <c r="C56" s="63"/>
      <c r="D56" s="79"/>
      <c r="E56" s="65"/>
      <c r="F56" s="38"/>
      <c r="G56" s="39"/>
      <c r="H56" s="63"/>
      <c r="I56" s="63"/>
      <c r="J56" s="36"/>
      <c r="K56" s="36"/>
      <c r="L56" s="42"/>
      <c r="M56" s="64"/>
    </row>
    <row r="57" spans="1:13" s="17" customFormat="1" ht="12.75" x14ac:dyDescent="0.2">
      <c r="A57" s="48" t="s">
        <v>169</v>
      </c>
      <c r="B57" s="67"/>
      <c r="C57" s="67"/>
      <c r="D57" s="67"/>
      <c r="E57" s="80"/>
      <c r="F57" s="80"/>
      <c r="G57" s="48"/>
      <c r="H57" s="67"/>
      <c r="I57" s="67"/>
      <c r="J57" s="67"/>
      <c r="K57" s="80">
        <f>SUM(K24,K26,K39,K52,K54:K54)</f>
        <v>145994369.9362815</v>
      </c>
      <c r="L57" s="53">
        <f>'Dec 16'!$K57/$K$2</f>
        <v>0.99999999999999978</v>
      </c>
      <c r="M57" s="67"/>
    </row>
    <row r="58" spans="1:13" s="4" customFormat="1" ht="12.75" x14ac:dyDescent="0.2">
      <c r="A58" s="64"/>
      <c r="B58" s="64"/>
      <c r="C58" s="64"/>
      <c r="D58" s="81"/>
      <c r="E58" s="82"/>
      <c r="F58" s="38"/>
      <c r="G58" s="83"/>
      <c r="H58" s="64"/>
      <c r="I58" s="64"/>
      <c r="J58" s="64"/>
      <c r="K58" s="64"/>
      <c r="L58" s="42"/>
      <c r="M58" s="64"/>
    </row>
    <row r="59" spans="1:13" s="4" customFormat="1" ht="12.75" x14ac:dyDescent="0.2">
      <c r="A59" s="64"/>
      <c r="B59" s="64"/>
      <c r="C59" s="64"/>
      <c r="D59" s="81"/>
      <c r="E59" s="82"/>
      <c r="F59" s="38"/>
      <c r="G59" s="83"/>
      <c r="H59" s="64"/>
      <c r="I59" s="64"/>
      <c r="J59" s="64"/>
      <c r="K59" s="64"/>
      <c r="L59" s="42"/>
      <c r="M59" s="64"/>
    </row>
    <row r="60" spans="1:13" s="4" customFormat="1" ht="12.75" x14ac:dyDescent="0.2">
      <c r="A60" s="64"/>
      <c r="B60" s="64"/>
      <c r="C60" s="64"/>
      <c r="D60" s="81"/>
      <c r="E60" s="82"/>
      <c r="F60" s="38"/>
      <c r="G60" s="83"/>
      <c r="H60" s="64"/>
      <c r="I60" s="64"/>
      <c r="J60" s="64"/>
      <c r="K60" s="64"/>
      <c r="L60" s="42"/>
      <c r="M60" s="64"/>
    </row>
    <row r="61" spans="1:13" s="4" customFormat="1" ht="12.75" x14ac:dyDescent="0.2">
      <c r="A61" s="64"/>
      <c r="B61" s="64"/>
      <c r="C61" s="64"/>
      <c r="D61" s="81"/>
      <c r="E61" s="82"/>
      <c r="F61" s="38"/>
      <c r="G61" s="83"/>
      <c r="H61" s="64"/>
      <c r="I61" s="64"/>
      <c r="J61" s="64"/>
      <c r="K61" s="64"/>
      <c r="L61" s="42"/>
      <c r="M61" s="64"/>
    </row>
    <row r="62" spans="1:13" s="4" customFormat="1" ht="12.75" x14ac:dyDescent="0.2">
      <c r="A62" s="64"/>
      <c r="B62" s="64"/>
      <c r="C62" s="64"/>
      <c r="D62" s="81"/>
      <c r="E62" s="82"/>
      <c r="F62" s="38"/>
      <c r="G62" s="83"/>
      <c r="H62" s="64"/>
      <c r="I62" s="64"/>
      <c r="J62" s="64"/>
      <c r="K62" s="64"/>
      <c r="L62" s="42"/>
      <c r="M62" s="64"/>
    </row>
    <row r="63" spans="1:13" s="4" customFormat="1" ht="12.75" x14ac:dyDescent="0.2">
      <c r="A63" s="64"/>
      <c r="B63" s="64"/>
      <c r="C63" s="64"/>
      <c r="D63" s="81"/>
      <c r="E63" s="82"/>
      <c r="F63" s="38"/>
      <c r="G63" s="83"/>
      <c r="H63" s="64"/>
      <c r="I63" s="64"/>
      <c r="J63" s="64"/>
      <c r="K63" s="64"/>
      <c r="L63" s="42"/>
      <c r="M63" s="64"/>
    </row>
    <row r="64" spans="1:13" s="4" customFormat="1" ht="12.75" x14ac:dyDescent="0.2">
      <c r="A64" s="64"/>
      <c r="B64" s="64"/>
      <c r="C64" s="64"/>
      <c r="D64" s="81"/>
      <c r="E64" s="82"/>
      <c r="F64" s="38"/>
      <c r="G64" s="83"/>
      <c r="H64" s="64"/>
      <c r="I64" s="64"/>
      <c r="J64" s="64"/>
      <c r="K64" s="64"/>
      <c r="L64" s="42"/>
      <c r="M64" s="64"/>
    </row>
    <row r="65" spans="1:13" s="4" customFormat="1" ht="12.75" x14ac:dyDescent="0.2">
      <c r="A65" s="64"/>
      <c r="B65" s="64"/>
      <c r="C65" s="64"/>
      <c r="D65" s="81"/>
      <c r="E65" s="82"/>
      <c r="F65" s="38"/>
      <c r="G65" s="83"/>
      <c r="H65" s="64"/>
      <c r="I65" s="64"/>
      <c r="J65" s="64"/>
      <c r="K65" s="64"/>
      <c r="L65" s="42"/>
      <c r="M65" s="64"/>
    </row>
    <row r="66" spans="1:13" s="4" customFormat="1" ht="12.75" x14ac:dyDescent="0.2">
      <c r="A66" s="64"/>
      <c r="B66" s="64"/>
      <c r="C66" s="64"/>
      <c r="D66" s="81"/>
      <c r="E66" s="82"/>
      <c r="F66" s="38"/>
      <c r="G66" s="83"/>
      <c r="H66" s="64"/>
      <c r="I66" s="64"/>
      <c r="J66" s="64"/>
      <c r="K66" s="64"/>
      <c r="L66" s="42"/>
      <c r="M66" s="64"/>
    </row>
    <row r="67" spans="1:13" s="4" customFormat="1" ht="12.75" x14ac:dyDescent="0.2"/>
    <row r="68" spans="1:13" s="4" customFormat="1" ht="12.75" x14ac:dyDescent="0.2"/>
    <row r="70" spans="1:13" s="4" customFormat="1" ht="12.75" x14ac:dyDescent="0.2">
      <c r="A70" s="84"/>
      <c r="B70" s="84"/>
      <c r="E70" s="84"/>
      <c r="F70" s="84"/>
      <c r="G70" s="84"/>
      <c r="H70" s="85"/>
      <c r="M70" s="84"/>
    </row>
    <row r="71" spans="1:13" s="4" customFormat="1" ht="12.75" x14ac:dyDescent="0.2">
      <c r="A71" s="84"/>
      <c r="B71" s="84"/>
      <c r="E71" s="84"/>
      <c r="F71" s="84"/>
      <c r="G71" s="84"/>
      <c r="H71" s="85"/>
      <c r="M71" s="84"/>
    </row>
    <row r="72" spans="1:13" s="4" customFormat="1" ht="12.75" x14ac:dyDescent="0.2">
      <c r="A72" s="86"/>
      <c r="B72" s="86"/>
    </row>
    <row r="73" spans="1:13" s="4" customFormat="1" ht="12.75" x14ac:dyDescent="0.2">
      <c r="A73" s="87"/>
      <c r="B73" s="87"/>
      <c r="E73" s="87"/>
      <c r="F73" s="86"/>
      <c r="G73" s="86"/>
      <c r="M73" s="88"/>
    </row>
    <row r="74" spans="1:13" s="4" customFormat="1" ht="12.75" x14ac:dyDescent="0.2"/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MH74"/>
  <sheetViews>
    <sheetView zoomScale="140" zoomScaleNormal="140" workbookViewId="0">
      <pane xSplit="2" topLeftCell="C1" activePane="topRight" state="frozen"/>
      <selection pane="topRight" activeCell="I3" sqref="I3"/>
    </sheetView>
  </sheetViews>
  <sheetFormatPr defaultColWidth="9.140625" defaultRowHeight="15" x14ac:dyDescent="0.25"/>
  <cols>
    <col min="1" max="2" width="15.140625" style="4" customWidth="1"/>
    <col min="3" max="3" width="29.28515625" style="4" customWidth="1"/>
    <col min="4" max="4" width="14.85546875" style="4" customWidth="1"/>
    <col min="5" max="5" width="27.42578125" style="4" customWidth="1"/>
    <col min="6" max="7" width="13.7109375" style="4" customWidth="1"/>
    <col min="8" max="8" width="16.42578125" style="4" customWidth="1"/>
    <col min="9" max="9" width="15.42578125" style="4" customWidth="1"/>
    <col min="10" max="10" width="13.42578125" customWidth="1"/>
    <col min="11" max="11" width="23.42578125" customWidth="1"/>
    <col min="12" max="12" width="13.42578125" customWidth="1"/>
    <col min="13" max="13" width="22.42578125" style="4" customWidth="1"/>
    <col min="14" max="16" width="10.85546875" style="4" customWidth="1"/>
    <col min="17" max="17" width="11.28515625" style="4" customWidth="1"/>
    <col min="18" max="1022" width="9.140625" style="4"/>
  </cols>
  <sheetData>
    <row r="1" spans="1:17" s="4" customFormat="1" ht="25.5" x14ac:dyDescent="0.2">
      <c r="A1" s="5"/>
      <c r="B1" s="5" t="s">
        <v>95</v>
      </c>
      <c r="C1" s="6">
        <v>44182</v>
      </c>
      <c r="D1" s="7"/>
      <c r="E1" s="8" t="s">
        <v>96</v>
      </c>
      <c r="F1" s="9"/>
      <c r="G1" s="10"/>
      <c r="K1" s="11" t="s">
        <v>97</v>
      </c>
      <c r="L1" s="11" t="s">
        <v>98</v>
      </c>
      <c r="M1" s="12" t="s">
        <v>99</v>
      </c>
    </row>
    <row r="2" spans="1:17" x14ac:dyDescent="0.25">
      <c r="A2" s="5"/>
      <c r="B2" s="5" t="s">
        <v>100</v>
      </c>
      <c r="C2" s="13">
        <v>5.12</v>
      </c>
      <c r="D2" s="14"/>
      <c r="E2" s="15">
        <f>SUM(E24,E39,E52,E26,E54)</f>
        <v>147436566.63040003</v>
      </c>
      <c r="F2" s="16"/>
      <c r="G2" s="17"/>
      <c r="H2" s="14"/>
      <c r="I2" s="14"/>
      <c r="J2" s="14"/>
      <c r="K2" s="15">
        <f>SUM(K24,K39,K52,K26,K54:K54)</f>
        <v>147411611.25101852</v>
      </c>
      <c r="L2" s="18">
        <f>SUM(L52,L39,L24,L26,L54)</f>
        <v>1.0000000000000002</v>
      </c>
      <c r="M2" s="19">
        <f>K2/$C$6</f>
        <v>5.1191333795587255</v>
      </c>
      <c r="N2" s="20"/>
    </row>
    <row r="3" spans="1:17" ht="26.25" x14ac:dyDescent="0.25">
      <c r="A3" s="5"/>
      <c r="B3" s="5" t="s">
        <v>101</v>
      </c>
      <c r="C3" s="21">
        <v>28796204.420000002</v>
      </c>
      <c r="D3" s="22"/>
      <c r="E3" s="8" t="s">
        <v>170</v>
      </c>
      <c r="F3" s="16"/>
      <c r="H3" s="14"/>
      <c r="I3" s="14"/>
      <c r="J3" s="14"/>
      <c r="K3" s="8" t="s">
        <v>102</v>
      </c>
      <c r="L3" s="14"/>
      <c r="M3" s="12" t="s">
        <v>171</v>
      </c>
      <c r="N3" s="23"/>
    </row>
    <row r="4" spans="1:17" x14ac:dyDescent="0.25">
      <c r="A4" s="5"/>
      <c r="B4" s="5" t="s">
        <v>104</v>
      </c>
      <c r="C4" s="21">
        <v>0</v>
      </c>
      <c r="D4" s="22"/>
      <c r="E4" s="15">
        <f>SUM(E24,E52,E26)</f>
        <v>61923357.984768011</v>
      </c>
      <c r="F4" s="16"/>
      <c r="G4" s="17"/>
      <c r="H4" s="14"/>
      <c r="I4" s="14"/>
      <c r="J4" s="14"/>
      <c r="K4" s="15">
        <f>SUM(K24,K26,K52)</f>
        <v>61876232.420163363</v>
      </c>
      <c r="L4" s="14"/>
      <c r="M4" s="19">
        <f>K4/$C$6</f>
        <v>2.1487634799948876</v>
      </c>
      <c r="N4" s="23"/>
    </row>
    <row r="5" spans="1:17" x14ac:dyDescent="0.25">
      <c r="A5" s="5"/>
      <c r="B5" s="5" t="s">
        <v>105</v>
      </c>
      <c r="C5" s="21">
        <v>0</v>
      </c>
      <c r="D5" s="22"/>
      <c r="E5" s="16"/>
      <c r="F5" s="16"/>
      <c r="G5" s="24">
        <f>SUM(D24,D26,D39,D52,D54:D54)</f>
        <v>1</v>
      </c>
      <c r="H5" s="14"/>
      <c r="I5" s="14"/>
      <c r="J5" s="14"/>
      <c r="K5" s="14"/>
      <c r="L5" s="14"/>
      <c r="M5" s="14"/>
      <c r="N5" s="23"/>
    </row>
    <row r="6" spans="1:17" x14ac:dyDescent="0.25">
      <c r="A6" s="5"/>
      <c r="B6" s="5" t="s">
        <v>106</v>
      </c>
      <c r="C6" s="21">
        <f>C3+C4-C5</f>
        <v>28796204.420000002</v>
      </c>
      <c r="D6" s="22"/>
      <c r="E6" s="16"/>
      <c r="F6" s="16"/>
      <c r="G6" s="17"/>
      <c r="H6" s="14"/>
      <c r="I6" s="14"/>
      <c r="J6" s="14"/>
      <c r="K6" s="14"/>
      <c r="L6" s="14"/>
      <c r="M6" s="14"/>
      <c r="N6" s="23"/>
    </row>
    <row r="7" spans="1:17" x14ac:dyDescent="0.25">
      <c r="A7" s="25"/>
      <c r="B7" s="26"/>
      <c r="C7" s="26"/>
      <c r="D7" s="27"/>
      <c r="E7" s="28"/>
      <c r="F7" s="28"/>
      <c r="G7" s="28"/>
      <c r="H7" s="29"/>
      <c r="I7" s="29"/>
      <c r="J7" s="29"/>
      <c r="K7" s="14"/>
      <c r="L7" s="14"/>
      <c r="M7" s="14"/>
      <c r="N7" s="23"/>
    </row>
    <row r="8" spans="1:17" s="34" customFormat="1" ht="38.25" x14ac:dyDescent="0.2">
      <c r="A8" s="30" t="s">
        <v>107</v>
      </c>
      <c r="B8" s="30" t="s">
        <v>108</v>
      </c>
      <c r="C8" s="31" t="s">
        <v>1</v>
      </c>
      <c r="D8" s="31" t="s">
        <v>109</v>
      </c>
      <c r="E8" s="31" t="s">
        <v>110</v>
      </c>
      <c r="F8" s="31" t="s">
        <v>111</v>
      </c>
      <c r="G8" s="31" t="s">
        <v>112</v>
      </c>
      <c r="H8" s="31" t="s">
        <v>113</v>
      </c>
      <c r="I8" s="31" t="s">
        <v>114</v>
      </c>
      <c r="J8" s="31" t="s">
        <v>115</v>
      </c>
      <c r="K8" s="32" t="s">
        <v>116</v>
      </c>
      <c r="L8" s="32" t="s">
        <v>117</v>
      </c>
      <c r="M8" s="32" t="s">
        <v>118</v>
      </c>
      <c r="N8" s="33"/>
      <c r="Q8" s="35"/>
    </row>
    <row r="9" spans="1:17" s="45" customFormat="1" ht="12.75" customHeight="1" x14ac:dyDescent="0.25">
      <c r="A9" s="36" t="s">
        <v>119</v>
      </c>
      <c r="B9" s="36" t="s">
        <v>43</v>
      </c>
      <c r="C9" s="36" t="s">
        <v>44</v>
      </c>
      <c r="D9" s="37">
        <v>8.3250000000000008E-3</v>
      </c>
      <c r="E9" s="38">
        <f>'Dec 17'!$D9*$C$6*$C$2</f>
        <v>1227409.4171980801</v>
      </c>
      <c r="F9" s="38">
        <v>404</v>
      </c>
      <c r="G9" s="39">
        <f>'Dec 17'!$E9/'Dec 17'!$F9</f>
        <v>3038.1421217774259</v>
      </c>
      <c r="H9" s="36">
        <v>2958</v>
      </c>
      <c r="I9" s="36">
        <f>ROUND(Table138958456799101112131445626789101112131415161718192021345678910111213141516171819202122233456789101112131415161718192034567891011121314[[#This Row],[Target Quantity]],0)</f>
        <v>3038</v>
      </c>
      <c r="J9" s="40">
        <f t="shared" ref="J9:J22" si="0">I9-H9</f>
        <v>80</v>
      </c>
      <c r="K9" s="41">
        <f>'Dec 17'!$F9*'Dec 17'!$I9</f>
        <v>1227352</v>
      </c>
      <c r="L9" s="42">
        <f>'Dec 17'!$K9/$K$2</f>
        <v>8.3260198405267737E-3</v>
      </c>
      <c r="M9" s="36"/>
      <c r="O9" s="44"/>
    </row>
    <row r="10" spans="1:17" s="45" customFormat="1" ht="12.75" customHeight="1" x14ac:dyDescent="0.25">
      <c r="A10" s="36" t="s">
        <v>119</v>
      </c>
      <c r="B10" s="36" t="s">
        <v>25</v>
      </c>
      <c r="C10" s="36" t="s">
        <v>26</v>
      </c>
      <c r="D10" s="37">
        <v>8.3250000000000008E-3</v>
      </c>
      <c r="E10" s="38">
        <f>'Dec 17'!$D10*$C$6*$C$2</f>
        <v>1227409.4171980801</v>
      </c>
      <c r="F10" s="38">
        <v>290.32987201159102</v>
      </c>
      <c r="G10" s="39">
        <f>'Dec 17'!$E10/'Dec 17'!$F10</f>
        <v>4227.6373722545413</v>
      </c>
      <c r="H10" s="36">
        <v>4141</v>
      </c>
      <c r="I10" s="36">
        <f>ROUND(Table138958456799101112131445626789101112131415161718192021345678910111213141516171819202122233456789101112131415161718192034567891011121314[[#This Row],[Target Quantity]],0)</f>
        <v>4228</v>
      </c>
      <c r="J10" s="40">
        <f t="shared" si="0"/>
        <v>87</v>
      </c>
      <c r="K10" s="41">
        <f>'Dec 17'!$F10*'Dec 17'!$I10</f>
        <v>1227514.6988650069</v>
      </c>
      <c r="L10" s="42">
        <f>'Dec 17'!$K10/$K$2</f>
        <v>8.3271235450696254E-3</v>
      </c>
      <c r="M10" s="36"/>
      <c r="O10" s="44"/>
    </row>
    <row r="11" spans="1:17" s="45" customFormat="1" ht="12.75" customHeight="1" x14ac:dyDescent="0.25">
      <c r="A11" s="36" t="s">
        <v>119</v>
      </c>
      <c r="B11" s="36" t="s">
        <v>33</v>
      </c>
      <c r="C11" s="36" t="s">
        <v>34</v>
      </c>
      <c r="D11" s="37">
        <v>8.3250000000000008E-3</v>
      </c>
      <c r="E11" s="38">
        <f>'Dec 17'!$D11*$C$6*$C$2</f>
        <v>1227409.4171980801</v>
      </c>
      <c r="F11" s="38">
        <v>38.700000000000003</v>
      </c>
      <c r="G11" s="39">
        <f>'Dec 17'!$E11/'Dec 17'!$F11</f>
        <v>31716.005612353489</v>
      </c>
      <c r="H11" s="36">
        <v>30090</v>
      </c>
      <c r="I11" s="36">
        <f>ROUND(Table138958456799101112131445626789101112131415161718192021345678910111213141516171819202122233456789101112131415161718192034567891011121314[[#This Row],[Target Quantity]],0)</f>
        <v>31716</v>
      </c>
      <c r="J11" s="40">
        <f t="shared" si="0"/>
        <v>1626</v>
      </c>
      <c r="K11" s="41">
        <f>'Dec 17'!$F11*'Dec 17'!$I11</f>
        <v>1227409.2000000002</v>
      </c>
      <c r="L11" s="42">
        <f>'Dec 17'!$K11/$K$2</f>
        <v>8.3264078696617567E-3</v>
      </c>
      <c r="M11" s="36"/>
      <c r="O11" s="44"/>
    </row>
    <row r="12" spans="1:17" s="45" customFormat="1" ht="12.75" customHeight="1" x14ac:dyDescent="0.25">
      <c r="A12" s="36" t="s">
        <v>119</v>
      </c>
      <c r="B12" s="36" t="s">
        <v>19</v>
      </c>
      <c r="C12" s="36" t="s">
        <v>20</v>
      </c>
      <c r="D12" s="37">
        <v>8.3250000000000008E-3</v>
      </c>
      <c r="E12" s="38">
        <f>'Dec 17'!$D12*$C$6*$C$2</f>
        <v>1227409.4171980801</v>
      </c>
      <c r="F12" s="38">
        <v>516.33987783595103</v>
      </c>
      <c r="G12" s="39">
        <f>'Dec 17'!$E12/'Dec 17'!$F12</f>
        <v>2377.1346546819432</v>
      </c>
      <c r="H12" s="36">
        <v>2292</v>
      </c>
      <c r="I12" s="36">
        <f>ROUND(Table138958456799101112131445626789101112131415161718192021345678910111213141516171819202122233456789101112131415161718192034567891011121314[[#This Row],[Target Quantity]],0)</f>
        <v>2377</v>
      </c>
      <c r="J12" s="40">
        <f t="shared" si="0"/>
        <v>85</v>
      </c>
      <c r="K12" s="41">
        <f>'Dec 17'!$F12*'Dec 17'!$I12</f>
        <v>1227339.8896160556</v>
      </c>
      <c r="L12" s="42">
        <f>'Dec 17'!$K12/$K$2</f>
        <v>8.3259376869986926E-3</v>
      </c>
      <c r="M12" s="36"/>
      <c r="O12" s="92"/>
    </row>
    <row r="13" spans="1:17" s="45" customFormat="1" ht="12.75" customHeight="1" x14ac:dyDescent="0.25">
      <c r="A13" s="36" t="s">
        <v>119</v>
      </c>
      <c r="B13" s="36" t="s">
        <v>29</v>
      </c>
      <c r="C13" s="36" t="s">
        <v>30</v>
      </c>
      <c r="D13" s="37">
        <v>8.3250000000000008E-3</v>
      </c>
      <c r="E13" s="38">
        <f>'Dec 17'!$D13*$C$6*$C$2</f>
        <v>1227409.4171980801</v>
      </c>
      <c r="F13" s="38">
        <v>20.3299991256448</v>
      </c>
      <c r="G13" s="39">
        <f>'Dec 17'!$E13/'Dec 17'!$F13</f>
        <v>60374.297589112699</v>
      </c>
      <c r="H13" s="36">
        <v>57185</v>
      </c>
      <c r="I13" s="36">
        <f>ROUND(Table138958456799101112131445626789101112131415161718192021345678910111213141516171819202122233456789101112131415161718192034567891011121314[[#This Row],[Target Quantity]],0)</f>
        <v>60374</v>
      </c>
      <c r="J13" s="40">
        <f t="shared" si="0"/>
        <v>3189</v>
      </c>
      <c r="K13" s="41">
        <f>'Dec 17'!$F13*'Dec 17'!$I13</f>
        <v>1227403.3672116792</v>
      </c>
      <c r="L13" s="42">
        <f>'Dec 17'!$K13/$K$2</f>
        <v>8.3263683016231785E-3</v>
      </c>
      <c r="M13" s="36"/>
      <c r="O13" s="44"/>
    </row>
    <row r="14" spans="1:17" s="45" customFormat="1" ht="12.75" customHeight="1" x14ac:dyDescent="0.25">
      <c r="A14" s="36" t="s">
        <v>119</v>
      </c>
      <c r="B14" s="36" t="s">
        <v>21</v>
      </c>
      <c r="C14" s="36" t="s">
        <v>22</v>
      </c>
      <c r="D14" s="37">
        <v>8.3250000000000008E-3</v>
      </c>
      <c r="E14" s="38">
        <f>'Dec 17'!$D14*$C$6*$C$2</f>
        <v>1227409.4171980801</v>
      </c>
      <c r="F14" s="38">
        <v>38.840008914926102</v>
      </c>
      <c r="G14" s="39">
        <f>'Dec 17'!$E14/'Dec 17'!$F14</f>
        <v>31601.67702037757</v>
      </c>
      <c r="H14" s="36">
        <v>31408</v>
      </c>
      <c r="I14" s="36">
        <f>ROUND(Table138958456799101112131445626789101112131415161718192021345678910111213141516171819202122233456789101112131415161718192034567891011121314[[#This Row],[Target Quantity]],0)</f>
        <v>31602</v>
      </c>
      <c r="J14" s="40">
        <f t="shared" si="0"/>
        <v>194</v>
      </c>
      <c r="K14" s="41">
        <f>'Dec 17'!$F14*'Dec 17'!$I14</f>
        <v>1227421.9617294946</v>
      </c>
      <c r="L14" s="42">
        <f>'Dec 17'!$K14/$K$2</f>
        <v>8.3264944417396694E-3</v>
      </c>
      <c r="M14" s="36"/>
      <c r="O14" s="44"/>
    </row>
    <row r="15" spans="1:17" s="45" customFormat="1" ht="12.75" customHeight="1" x14ac:dyDescent="0.25">
      <c r="A15" s="36" t="s">
        <v>119</v>
      </c>
      <c r="B15" s="36" t="s">
        <v>37</v>
      </c>
      <c r="C15" s="36" t="s">
        <v>38</v>
      </c>
      <c r="D15" s="37">
        <v>8.3250000000000008E-3</v>
      </c>
      <c r="E15" s="38">
        <f>'Dec 17'!$D15*$C$6*$C$2</f>
        <v>1227409.4171980801</v>
      </c>
      <c r="F15" s="38">
        <v>68.399988295880206</v>
      </c>
      <c r="G15" s="39">
        <f>'Dec 17'!$E15/'Dec 17'!$F15</f>
        <v>17944.585193328287</v>
      </c>
      <c r="H15" s="36">
        <v>17088</v>
      </c>
      <c r="I15" s="36">
        <f>ROUND(Table138958456799101112131445626789101112131415161718192021345678910111213141516171819202122233456789101112131415161718192034567891011121314[[#This Row],[Target Quantity]],0)</f>
        <v>17945</v>
      </c>
      <c r="J15" s="40">
        <f t="shared" si="0"/>
        <v>857</v>
      </c>
      <c r="K15" s="41">
        <f>'Dec 17'!$F15*'Dec 17'!$I15</f>
        <v>1227437.7899695702</v>
      </c>
      <c r="L15" s="42">
        <f>'Dec 17'!$K15/$K$2</f>
        <v>8.3266018161855578E-3</v>
      </c>
      <c r="M15" s="36"/>
      <c r="O15" s="44"/>
    </row>
    <row r="16" spans="1:17" s="45" customFormat="1" ht="12.75" customHeight="1" x14ac:dyDescent="0.25">
      <c r="A16" s="36" t="s">
        <v>119</v>
      </c>
      <c r="B16" s="36" t="s">
        <v>23</v>
      </c>
      <c r="C16" s="36" t="s">
        <v>24</v>
      </c>
      <c r="D16" s="37">
        <v>8.3250000000000008E-3</v>
      </c>
      <c r="E16" s="38">
        <f>'Dec 17'!$D16*$C$6*$C$2</f>
        <v>1227409.4171980801</v>
      </c>
      <c r="F16" s="38">
        <v>261.12001771479203</v>
      </c>
      <c r="G16" s="39">
        <f>'Dec 17'!$E16/'Dec 17'!$F16</f>
        <v>4700.5565790774272</v>
      </c>
      <c r="H16" s="36">
        <v>4516</v>
      </c>
      <c r="I16" s="36">
        <f>ROUND(Table138958456799101112131445626789101112131415161718192021345678910111213141516171819202122233456789101112131415161718192034567891011121314[[#This Row],[Target Quantity]],0)</f>
        <v>4701</v>
      </c>
      <c r="J16" s="40">
        <f t="shared" si="0"/>
        <v>185</v>
      </c>
      <c r="K16" s="41">
        <f>'Dec 17'!$F16*'Dec 17'!$I16</f>
        <v>1227525.2032772372</v>
      </c>
      <c r="L16" s="42">
        <f>'Dec 17'!$K16/$K$2</f>
        <v>8.3271948041254169E-3</v>
      </c>
      <c r="M16" s="36"/>
      <c r="O16" s="44"/>
    </row>
    <row r="17" spans="1:15" s="45" customFormat="1" ht="12.75" customHeight="1" x14ac:dyDescent="0.25">
      <c r="A17" s="36" t="s">
        <v>119</v>
      </c>
      <c r="B17" s="36" t="s">
        <v>15</v>
      </c>
      <c r="C17" s="36" t="s">
        <v>16</v>
      </c>
      <c r="D17" s="37">
        <v>8.3250000000000008E-3</v>
      </c>
      <c r="E17" s="38">
        <f>'Dec 17'!$D17*$C$6*$C$2</f>
        <v>1227409.4171980801</v>
      </c>
      <c r="F17" s="38">
        <v>135.77999300454701</v>
      </c>
      <c r="G17" s="39">
        <f>'Dec 17'!$E17/'Dec 17'!$F17</f>
        <v>9039.6927414554848</v>
      </c>
      <c r="H17" s="36">
        <v>8577</v>
      </c>
      <c r="I17" s="36">
        <f>ROUND(Table138958456799101112131445626789101112131415161718192021345678910111213141516171819202122233456789101112131415161718192034567891011121314[[#This Row],[Target Quantity]],0)</f>
        <v>9040</v>
      </c>
      <c r="J17" s="40">
        <f t="shared" si="0"/>
        <v>463</v>
      </c>
      <c r="K17" s="41">
        <f>'Dec 17'!$F17*'Dec 17'!$I17</f>
        <v>1227451.1367611049</v>
      </c>
      <c r="L17" s="42">
        <f>'Dec 17'!$K17/$K$2</f>
        <v>8.3266923571641231E-3</v>
      </c>
      <c r="M17" s="36"/>
      <c r="O17" s="44"/>
    </row>
    <row r="18" spans="1:15" s="45" customFormat="1" ht="12.75" customHeight="1" x14ac:dyDescent="0.25">
      <c r="A18" s="36" t="s">
        <v>119</v>
      </c>
      <c r="B18" s="36" t="s">
        <v>27</v>
      </c>
      <c r="C18" s="36" t="s">
        <v>28</v>
      </c>
      <c r="D18" s="37">
        <v>8.3250000000000008E-3</v>
      </c>
      <c r="E18" s="38">
        <f>'Dec 17'!$D18*$C$6*$C$2</f>
        <v>1227409.4171980801</v>
      </c>
      <c r="F18" s="38">
        <v>41.890005306916699</v>
      </c>
      <c r="G18" s="39">
        <f>'Dec 17'!$E18/'Dec 17'!$F18</f>
        <v>29300.770152812933</v>
      </c>
      <c r="H18" s="36">
        <v>28265</v>
      </c>
      <c r="I18" s="36">
        <f>ROUND(Table138958456799101112131445626789101112131415161718192021345678910111213141516171819202122233456789101112131415161718192034567891011121314[[#This Row],[Target Quantity]],0)</f>
        <v>29301</v>
      </c>
      <c r="J18" s="40">
        <f t="shared" si="0"/>
        <v>1036</v>
      </c>
      <c r="K18" s="41">
        <f>'Dec 17'!$F18*'Dec 17'!$I18</f>
        <v>1227419.0454979662</v>
      </c>
      <c r="L18" s="42">
        <f>'Dec 17'!$K18/$K$2</f>
        <v>8.3264746588236314E-3</v>
      </c>
      <c r="M18" s="36"/>
      <c r="O18" s="91"/>
    </row>
    <row r="19" spans="1:15" s="45" customFormat="1" ht="12.75" customHeight="1" x14ac:dyDescent="0.25">
      <c r="A19" s="36" t="s">
        <v>119</v>
      </c>
      <c r="B19" s="36" t="s">
        <v>41</v>
      </c>
      <c r="C19" s="36" t="s">
        <v>42</v>
      </c>
      <c r="D19" s="37">
        <v>8.3250000000000008E-3</v>
      </c>
      <c r="E19" s="38">
        <f>'Dec 17'!$D19*$C$6*$C$2</f>
        <v>1227409.4171980801</v>
      </c>
      <c r="F19" s="38">
        <v>35.889991089991099</v>
      </c>
      <c r="G19" s="39">
        <f>'Dec 17'!$E19/'Dec 17'!$F19</f>
        <v>34199.21209009095</v>
      </c>
      <c r="H19" s="36">
        <v>33670</v>
      </c>
      <c r="I19" s="36">
        <f>ROUND(Table138958456799101112131445626789101112131415161718192021345678910111213141516171819202122233456789101112131415161718192034567891011121314[[#This Row],[Target Quantity]],0)</f>
        <v>34199</v>
      </c>
      <c r="J19" s="40">
        <f t="shared" si="0"/>
        <v>529</v>
      </c>
      <c r="K19" s="41">
        <f>'Dec 17'!$F19*'Dec 17'!$I19</f>
        <v>1227401.8052866056</v>
      </c>
      <c r="L19" s="42">
        <f>'Dec 17'!$K19/$K$2</f>
        <v>8.3263577059512327E-3</v>
      </c>
      <c r="M19" s="36"/>
      <c r="O19" s="91"/>
    </row>
    <row r="20" spans="1:15" s="45" customFormat="1" ht="12.75" customHeight="1" x14ac:dyDescent="0.25">
      <c r="A20" s="36" t="s">
        <v>119</v>
      </c>
      <c r="B20" s="36" t="s">
        <v>35</v>
      </c>
      <c r="C20" s="36" t="s">
        <v>36</v>
      </c>
      <c r="D20" s="37">
        <v>8.3250000000000008E-3</v>
      </c>
      <c r="E20" s="38">
        <f>'Dec 17'!$D20*$C$6*$C$2</f>
        <v>1227409.4171980801</v>
      </c>
      <c r="F20" s="38">
        <v>133.86005058412599</v>
      </c>
      <c r="G20" s="39">
        <f>'Dec 17'!$E20/'Dec 17'!$F20</f>
        <v>9169.3482248215623</v>
      </c>
      <c r="H20" s="36">
        <v>8303</v>
      </c>
      <c r="I20" s="36">
        <f>ROUND(Table138958456799101112131445626789101112131415161718192021345678910111213141516171819202122233456789101112131415161718192034567891011121314[[#This Row],[Target Quantity]],0)</f>
        <v>9169</v>
      </c>
      <c r="J20" s="40">
        <f t="shared" si="0"/>
        <v>866</v>
      </c>
      <c r="K20" s="41">
        <f>'Dec 17'!$F20*'Dec 17'!$I20</f>
        <v>1227362.8038058511</v>
      </c>
      <c r="L20" s="42">
        <f>'Dec 17'!$K20/$K$2</f>
        <v>8.3260931305868952E-3</v>
      </c>
      <c r="M20" s="36"/>
      <c r="O20" s="91"/>
    </row>
    <row r="21" spans="1:15" s="45" customFormat="1" ht="12.75" customHeight="1" x14ac:dyDescent="0.25">
      <c r="A21" s="36" t="s">
        <v>119</v>
      </c>
      <c r="B21" s="36" t="s">
        <v>39</v>
      </c>
      <c r="C21" s="36" t="s">
        <v>40</v>
      </c>
      <c r="D21" s="37">
        <v>0.2331</v>
      </c>
      <c r="E21" s="38">
        <f>'Dec 17'!$D21*$C$6*$C$2</f>
        <v>34367463.681546248</v>
      </c>
      <c r="F21" s="38">
        <v>310.489994697329</v>
      </c>
      <c r="G21" s="39">
        <f>'Dec 17'!$E21/'Dec 17'!$F21</f>
        <v>110687.82978030659</v>
      </c>
      <c r="H21" s="36">
        <v>107493</v>
      </c>
      <c r="I21" s="36">
        <f>ROUND(Table138958456799101112131445626789101112131415161718192021345678910111213141516171819202122233456789101112131415161718192034567891011121314[[#This Row],[Target Quantity]],0)</f>
        <v>110688</v>
      </c>
      <c r="J21" s="40">
        <f t="shared" si="0"/>
        <v>3195</v>
      </c>
      <c r="K21" s="41">
        <f>'Dec 17'!$F21*'Dec 17'!$I21</f>
        <v>34367516.53305795</v>
      </c>
      <c r="L21" s="42">
        <f>'Dec 17'!$K21/$K$2</f>
        <v>0.23313982013625464</v>
      </c>
      <c r="M21" s="36"/>
      <c r="O21" s="93"/>
    </row>
    <row r="22" spans="1:15" s="45" customFormat="1" ht="12.75" customHeight="1" x14ac:dyDescent="0.25">
      <c r="A22" s="36" t="s">
        <v>119</v>
      </c>
      <c r="B22" s="45" t="s">
        <v>11</v>
      </c>
      <c r="C22" s="36" t="s">
        <v>12</v>
      </c>
      <c r="D22" s="37">
        <v>2.7E-2</v>
      </c>
      <c r="E22" s="38">
        <f>'Dec 17'!$D22*$C$6*$C$2</f>
        <v>3980787.2990208003</v>
      </c>
      <c r="F22" s="38">
        <v>2.5463442194643999</v>
      </c>
      <c r="G22" s="39">
        <f>'Dec 17'!$E22/'Dec 17'!$F22</f>
        <v>1563334.3161507528</v>
      </c>
      <c r="H22" s="36">
        <v>1531000</v>
      </c>
      <c r="I22" s="36">
        <f>ROUND(Table138958456799101112131445626789101112131415161718192021345678910111213141516171819202122233456789101112131415161718192034567891011121314[[#This Row],[Target Quantity]],-2)</f>
        <v>1563300</v>
      </c>
      <c r="J22" s="40">
        <f t="shared" si="0"/>
        <v>32300</v>
      </c>
      <c r="K22" s="41">
        <f>'Dec 17'!$F22*'Dec 17'!$I22</f>
        <v>3980699.9182886966</v>
      </c>
      <c r="L22" s="42">
        <f>'Dec 17'!$K22/$K$2</f>
        <v>2.7003978075446158E-2</v>
      </c>
      <c r="M22" s="36"/>
    </row>
    <row r="23" spans="1:15" s="45" customFormat="1" ht="12.75" customHeight="1" x14ac:dyDescent="0.25">
      <c r="A23" s="36"/>
      <c r="B23" s="36"/>
      <c r="C23" s="36"/>
      <c r="D23" s="37"/>
      <c r="E23" s="38"/>
      <c r="F23" s="38"/>
      <c r="G23" s="39"/>
      <c r="H23" s="36"/>
      <c r="I23" s="36"/>
      <c r="J23" s="46"/>
      <c r="K23" s="38"/>
      <c r="L23" s="47"/>
      <c r="M23" s="36"/>
      <c r="O23" s="91"/>
    </row>
    <row r="24" spans="1:15" s="54" customFormat="1" ht="12.75" customHeight="1" x14ac:dyDescent="0.25">
      <c r="A24" s="48" t="s">
        <v>136</v>
      </c>
      <c r="B24" s="48"/>
      <c r="C24" s="48"/>
      <c r="D24" s="49">
        <f>SUM(D9:D23)</f>
        <v>0.36000000000000004</v>
      </c>
      <c r="E24" s="50">
        <f>'Dec 17'!$D24*$C$6*$C$2</f>
        <v>53077163.986944012</v>
      </c>
      <c r="F24" s="51"/>
      <c r="G24" s="51"/>
      <c r="H24" s="48"/>
      <c r="I24" s="48"/>
      <c r="J24" s="52"/>
      <c r="K24" s="50">
        <f>SUM(K9:K23)</f>
        <v>53077255.353367224</v>
      </c>
      <c r="L24" s="53">
        <f>'Dec 17'!$K24/$K$2</f>
        <v>0.36006156437015741</v>
      </c>
      <c r="M24" s="48"/>
      <c r="O24" s="90"/>
    </row>
    <row r="25" spans="1:15" s="45" customFormat="1" ht="12.75" customHeight="1" x14ac:dyDescent="0.25">
      <c r="A25" s="36"/>
      <c r="B25" s="36"/>
      <c r="C25" s="36"/>
      <c r="D25" s="37"/>
      <c r="E25" s="38"/>
      <c r="F25" s="38"/>
      <c r="G25" s="39"/>
      <c r="H25" s="36"/>
      <c r="I25" s="36"/>
      <c r="J25" s="46"/>
      <c r="K25" s="38"/>
      <c r="L25" s="42"/>
      <c r="M25" s="36"/>
      <c r="O25" s="89"/>
    </row>
    <row r="26" spans="1:15" s="44" customFormat="1" ht="12.75" customHeight="1" x14ac:dyDescent="0.25">
      <c r="A26" s="55"/>
      <c r="B26" s="48" t="s">
        <v>31</v>
      </c>
      <c r="C26" s="55" t="s">
        <v>32</v>
      </c>
      <c r="D26" s="56">
        <v>0.04</v>
      </c>
      <c r="E26" s="57">
        <f>'Dec 17'!$D26*$C$6*$C$2</f>
        <v>5897462.6652159998</v>
      </c>
      <c r="F26" s="51">
        <v>17.900000303913501</v>
      </c>
      <c r="G26" s="58">
        <f>'Dec 17'!$E26/'Dec 17'!$F26</f>
        <v>329467.18240706564</v>
      </c>
      <c r="H26" s="55">
        <v>329041</v>
      </c>
      <c r="I26" s="55">
        <f>ROUND(Table138958456799101112131445626789101112131415161718192021345678910111213141516171819202122233456789101112131415161718192034567891011121314[[#This Row],[Target Quantity]],0)</f>
        <v>329467</v>
      </c>
      <c r="J26" s="59">
        <f>I26-H26</f>
        <v>426</v>
      </c>
      <c r="K26" s="60">
        <f>'Dec 17'!$F26*'Dec 17'!$I26</f>
        <v>5897459.4001294691</v>
      </c>
      <c r="L26" s="53">
        <f>'Dec 17'!$K26/$K$2</f>
        <v>4.0006749468920966E-2</v>
      </c>
      <c r="M26" s="48"/>
      <c r="O26" s="61"/>
    </row>
    <row r="27" spans="1:15" s="44" customFormat="1" ht="12.75" customHeight="1" x14ac:dyDescent="0.25">
      <c r="A27" s="36"/>
      <c r="B27" s="36"/>
      <c r="C27" s="36"/>
      <c r="D27" s="37"/>
      <c r="E27" s="38"/>
      <c r="F27" s="38"/>
      <c r="G27" s="39"/>
      <c r="H27" s="36"/>
      <c r="I27" s="36"/>
      <c r="J27" s="46"/>
      <c r="K27" s="41"/>
      <c r="L27" s="42"/>
      <c r="M27" s="36"/>
      <c r="O27" s="61"/>
    </row>
    <row r="28" spans="1:15" s="4" customFormat="1" ht="25.5" x14ac:dyDescent="0.2">
      <c r="A28" s="36" t="s">
        <v>137</v>
      </c>
      <c r="B28" s="62" t="s">
        <v>75</v>
      </c>
      <c r="C28" s="63" t="s">
        <v>76</v>
      </c>
      <c r="D28" s="37">
        <v>5.8000000000000003E-2</v>
      </c>
      <c r="E28" s="38">
        <f>'Dec 17'!$D28*$C$6*$C$2</f>
        <v>8551320.8645632006</v>
      </c>
      <c r="F28" s="38">
        <v>156099.79999999999</v>
      </c>
      <c r="G28" s="39">
        <f>'Dec 17'!$E28/'Dec 17'!$F28</f>
        <v>54.781113522010926</v>
      </c>
      <c r="H28" s="36">
        <v>55</v>
      </c>
      <c r="I28" s="36">
        <f>ROUND(Table138958456799101112131445626789101112131415161718192021345678910111213141516171819202122233456789101112131415161718192034567891011121314[[#This Row],[Target Quantity]],0)</f>
        <v>55</v>
      </c>
      <c r="J28" s="40">
        <f t="shared" ref="J28:J37" si="1">I28-H28</f>
        <v>0</v>
      </c>
      <c r="K28" s="41">
        <f>'Dec 17'!$F28*'Dec 17'!$I28</f>
        <v>8585489</v>
      </c>
      <c r="L28" s="42">
        <f>'Dec 17'!$K28/$K$2</f>
        <v>5.8241606120024547E-2</v>
      </c>
      <c r="M28" s="64"/>
    </row>
    <row r="29" spans="1:15" s="4" customFormat="1" ht="25.5" x14ac:dyDescent="0.2">
      <c r="A29" s="36" t="s">
        <v>137</v>
      </c>
      <c r="B29" s="62" t="s">
        <v>80</v>
      </c>
      <c r="C29" s="63" t="s">
        <v>81</v>
      </c>
      <c r="D29" s="37">
        <v>5.8000000000000003E-2</v>
      </c>
      <c r="E29" s="38">
        <f>'Dec 17'!$D29*$C$6*$C$2</f>
        <v>8551320.8645632006</v>
      </c>
      <c r="F29" s="38">
        <v>212731.24390243899</v>
      </c>
      <c r="G29" s="39">
        <f>'Dec 17'!$E29/'Dec 17'!$F29</f>
        <v>40.197766476112626</v>
      </c>
      <c r="H29" s="36">
        <v>41</v>
      </c>
      <c r="I29" s="36">
        <f>ROUND(Table138958456799101112131445626789101112131415161718192021345678910111213141516171819202122233456789101112131415161718192034567891011121314[[#This Row],[Target Quantity]],0)</f>
        <v>40</v>
      </c>
      <c r="J29" s="40">
        <f t="shared" si="1"/>
        <v>-1</v>
      </c>
      <c r="K29" s="41">
        <f>'Dec 17'!$F29*'Dec 17'!$I29</f>
        <v>8509249.7560975589</v>
      </c>
      <c r="L29" s="42">
        <f>'Dec 17'!$K29/$K$2</f>
        <v>5.7724419968571271E-2</v>
      </c>
      <c r="M29" s="64"/>
    </row>
    <row r="30" spans="1:15" s="4" customFormat="1" ht="25.5" x14ac:dyDescent="0.2">
      <c r="A30" s="36" t="s">
        <v>137</v>
      </c>
      <c r="B30" s="62" t="s">
        <v>82</v>
      </c>
      <c r="C30" s="63" t="s">
        <v>83</v>
      </c>
      <c r="D30" s="37">
        <v>5.8000000000000003E-2</v>
      </c>
      <c r="E30" s="38">
        <f>'Dec 17'!$D30*$C$6*$C$2</f>
        <v>8551320.8645632006</v>
      </c>
      <c r="F30" s="38">
        <v>172914.04</v>
      </c>
      <c r="G30" s="39">
        <f>'Dec 17'!$E30/'Dec 17'!$F30</f>
        <v>49.454173094117749</v>
      </c>
      <c r="H30" s="36">
        <v>50</v>
      </c>
      <c r="I30" s="36">
        <f>ROUND(Table138958456799101112131445626789101112131415161718192021345678910111213141516171819202122233456789101112131415161718192034567891011121314[[#This Row],[Target Quantity]],0)</f>
        <v>49</v>
      </c>
      <c r="J30" s="40">
        <f t="shared" si="1"/>
        <v>-1</v>
      </c>
      <c r="K30" s="41">
        <f>'Dec 17'!$F30*'Dec 17'!$I30</f>
        <v>8472787.9600000009</v>
      </c>
      <c r="L30" s="42">
        <f>'Dec 17'!$K30/$K$2</f>
        <v>5.7477073129417133E-2</v>
      </c>
      <c r="M30" s="64"/>
    </row>
    <row r="31" spans="1:15" s="4" customFormat="1" ht="25.5" x14ac:dyDescent="0.2">
      <c r="A31" s="36" t="s">
        <v>137</v>
      </c>
      <c r="B31" s="62" t="s">
        <v>84</v>
      </c>
      <c r="C31" s="63" t="s">
        <v>85</v>
      </c>
      <c r="D31" s="37">
        <v>5.8000000000000003E-2</v>
      </c>
      <c r="E31" s="38">
        <f>'Dec 17'!$D31*$C$6*$C$2</f>
        <v>8551320.8645632006</v>
      </c>
      <c r="F31" s="38">
        <v>126042.05882352901</v>
      </c>
      <c r="G31" s="39">
        <f>'Dec 17'!$E31/'Dec 17'!$F31</f>
        <v>67.844979242491362</v>
      </c>
      <c r="H31" s="36">
        <v>68</v>
      </c>
      <c r="I31" s="36">
        <f>ROUND(Table138958456799101112131445626789101112131415161718192021345678910111213141516171819202122233456789101112131415161718192034567891011121314[[#This Row],[Target Quantity]],0)</f>
        <v>68</v>
      </c>
      <c r="J31" s="40">
        <f t="shared" si="1"/>
        <v>0</v>
      </c>
      <c r="K31" s="41">
        <f>'Dec 17'!$F31*'Dec 17'!$I31</f>
        <v>8570859.9999999721</v>
      </c>
      <c r="L31" s="42">
        <f>'Dec 17'!$K31/$K$2</f>
        <v>5.8142366990380161E-2</v>
      </c>
      <c r="M31" s="64"/>
    </row>
    <row r="32" spans="1:15" s="4" customFormat="1" ht="25.5" x14ac:dyDescent="0.2">
      <c r="A32" s="36" t="s">
        <v>137</v>
      </c>
      <c r="B32" s="62" t="s">
        <v>86</v>
      </c>
      <c r="C32" s="63" t="s">
        <v>87</v>
      </c>
      <c r="D32" s="37">
        <v>5.8000000000000003E-2</v>
      </c>
      <c r="E32" s="38">
        <f>'Dec 17'!$D32*$C$6*$C$2</f>
        <v>8551320.8645632006</v>
      </c>
      <c r="F32" s="38">
        <v>137893.68253968301</v>
      </c>
      <c r="G32" s="39">
        <f>'Dec 17'!$E32/'Dec 17'!$F32</f>
        <v>62.013869722438542</v>
      </c>
      <c r="H32" s="36">
        <v>63</v>
      </c>
      <c r="I32" s="36">
        <f>ROUND(Table138958456799101112131445626789101112131415161718192021345678910111213141516171819202122233456789101112131415161718192034567891011121314[[#This Row],[Target Quantity]],0)</f>
        <v>62</v>
      </c>
      <c r="J32" s="40">
        <f t="shared" si="1"/>
        <v>-1</v>
      </c>
      <c r="K32" s="41">
        <f>'Dec 17'!$F32*'Dec 17'!$I32</f>
        <v>8549408.317460347</v>
      </c>
      <c r="L32" s="42">
        <f>'Dec 17'!$K32/$K$2</f>
        <v>5.7996844650873972E-2</v>
      </c>
      <c r="M32" s="64"/>
    </row>
    <row r="33" spans="1:16" s="4" customFormat="1" ht="25.5" x14ac:dyDescent="0.2">
      <c r="A33" s="36" t="s">
        <v>137</v>
      </c>
      <c r="B33" s="62" t="s">
        <v>92</v>
      </c>
      <c r="C33" s="63" t="s">
        <v>93</v>
      </c>
      <c r="D33" s="37">
        <v>5.8000000000000003E-2</v>
      </c>
      <c r="E33" s="38">
        <f>'Dec 17'!$D33*$C$6*$C$2</f>
        <v>8551320.8645632006</v>
      </c>
      <c r="F33" s="38">
        <v>220943.76923076899</v>
      </c>
      <c r="G33" s="39">
        <f>'Dec 17'!$E33/'Dec 17'!$F33</f>
        <v>38.70360723153776</v>
      </c>
      <c r="H33" s="36">
        <v>39</v>
      </c>
      <c r="I33" s="36">
        <f>ROUND(Table138958456799101112131445626789101112131415161718192021345678910111213141516171819202122233456789101112131415161718192034567891011121314[[#This Row],[Target Quantity]],0)</f>
        <v>39</v>
      </c>
      <c r="J33" s="40">
        <f t="shared" si="1"/>
        <v>0</v>
      </c>
      <c r="K33" s="41">
        <f>'Dec 17'!$F33*'Dec 17'!$I33</f>
        <v>8616806.9999999907</v>
      </c>
      <c r="L33" s="42">
        <f>'Dec 17'!$K33/$K$2</f>
        <v>5.8454058855153132E-2</v>
      </c>
      <c r="M33" s="64"/>
    </row>
    <row r="34" spans="1:16" s="44" customFormat="1" ht="25.5" customHeight="1" x14ac:dyDescent="0.2">
      <c r="A34" s="36" t="s">
        <v>138</v>
      </c>
      <c r="B34" s="36" t="s">
        <v>54</v>
      </c>
      <c r="C34" s="36" t="s">
        <v>55</v>
      </c>
      <c r="D34" s="37">
        <v>5.8000000000000003E-2</v>
      </c>
      <c r="E34" s="38">
        <f>'Dec 17'!$D34*$C$6*$C$2</f>
        <v>8551320.8645632006</v>
      </c>
      <c r="F34" s="38">
        <v>116719.202702703</v>
      </c>
      <c r="G34" s="39">
        <f>'Dec 17'!$E34/'Dec 17'!$F34</f>
        <v>73.264044532109949</v>
      </c>
      <c r="H34" s="36">
        <v>74</v>
      </c>
      <c r="I34" s="36">
        <f>ROUND(Table138958456799101112131445626789101112131415161718192021345678910111213141516171819202122233456789101112131415161718192034567891011121314[[#This Row],[Target Quantity]],0)</f>
        <v>73</v>
      </c>
      <c r="J34" s="40">
        <f t="shared" si="1"/>
        <v>-1</v>
      </c>
      <c r="K34" s="41">
        <f>'Dec 17'!$F34*'Dec 17'!$I34</f>
        <v>8520501.7972973194</v>
      </c>
      <c r="L34" s="42">
        <f>'Dec 17'!$K34/$K$2</f>
        <v>5.7800750734541939E-2</v>
      </c>
      <c r="M34" s="43"/>
      <c r="O34" s="4"/>
    </row>
    <row r="35" spans="1:16" s="44" customFormat="1" ht="25.5" x14ac:dyDescent="0.2">
      <c r="A35" s="36" t="s">
        <v>138</v>
      </c>
      <c r="B35" s="36" t="s">
        <v>52</v>
      </c>
      <c r="C35" s="36" t="s">
        <v>53</v>
      </c>
      <c r="D35" s="37">
        <v>5.8000000000000003E-2</v>
      </c>
      <c r="E35" s="38">
        <f>'Dec 17'!$D35*$C$6*$C$2</f>
        <v>8551320.8645632006</v>
      </c>
      <c r="F35" s="38">
        <v>138573.51612903201</v>
      </c>
      <c r="G35" s="39">
        <f>'Dec 17'!$E35/'Dec 17'!$F35</f>
        <v>61.709633293858857</v>
      </c>
      <c r="H35" s="36">
        <v>62</v>
      </c>
      <c r="I35" s="36">
        <f>ROUND(Table138958456799101112131445626789101112131415161718192021345678910111213141516171819202122233456789101112131415161718192034567891011121314[[#This Row],[Target Quantity]],0)</f>
        <v>62</v>
      </c>
      <c r="J35" s="40">
        <f t="shared" si="1"/>
        <v>0</v>
      </c>
      <c r="K35" s="41">
        <f>'Dec 17'!$F35*'Dec 17'!$I35</f>
        <v>8591557.9999999851</v>
      </c>
      <c r="L35" s="42">
        <f>'Dec 17'!$K35/$K$2</f>
        <v>5.82827765539441E-2</v>
      </c>
      <c r="M35" s="43"/>
      <c r="O35" s="4"/>
    </row>
    <row r="36" spans="1:16" s="44" customFormat="1" ht="24.95" customHeight="1" x14ac:dyDescent="0.2">
      <c r="A36" s="36" t="s">
        <v>138</v>
      </c>
      <c r="B36" s="36" t="s">
        <v>48</v>
      </c>
      <c r="C36" s="36" t="s">
        <v>49</v>
      </c>
      <c r="D36" s="37">
        <v>5.8000000000000003E-2</v>
      </c>
      <c r="E36" s="38">
        <f>'Dec 17'!$D36*$C$6*$C$2</f>
        <v>8551320.8645632006</v>
      </c>
      <c r="F36" s="38">
        <v>186201.23913043499</v>
      </c>
      <c r="G36" s="39">
        <f>'Dec 17'!$E36/'Dec 17'!$F36</f>
        <v>45.925155517214115</v>
      </c>
      <c r="H36" s="36">
        <v>46</v>
      </c>
      <c r="I36" s="36">
        <f>ROUND(Table138958456799101112131445626789101112131415161718192021345678910111213141516171819202122233456789101112131415161718192034567891011121314[[#This Row],[Target Quantity]],0)</f>
        <v>46</v>
      </c>
      <c r="J36" s="40">
        <f t="shared" si="1"/>
        <v>0</v>
      </c>
      <c r="K36" s="41">
        <f>'Dec 17'!$F36*'Dec 17'!$I36</f>
        <v>8565257.0000000093</v>
      </c>
      <c r="L36" s="42">
        <f>'Dec 17'!$K36/$K$2</f>
        <v>5.8104357772840155E-2</v>
      </c>
      <c r="M36" s="43"/>
      <c r="O36" s="4"/>
    </row>
    <row r="37" spans="1:16" s="44" customFormat="1" ht="25.5" x14ac:dyDescent="0.2">
      <c r="A37" s="36" t="s">
        <v>138</v>
      </c>
      <c r="B37" s="36" t="s">
        <v>58</v>
      </c>
      <c r="C37" s="36" t="s">
        <v>59</v>
      </c>
      <c r="D37" s="37">
        <v>5.8000000000000003E-2</v>
      </c>
      <c r="E37" s="38">
        <f>'Dec 17'!$D37*$C$6*$C$2</f>
        <v>8551320.8645632006</v>
      </c>
      <c r="F37" s="38">
        <v>275918.06451612897</v>
      </c>
      <c r="G37" s="39">
        <f>'Dec 17'!$E37/'Dec 17'!$F37</f>
        <v>30.992247207733396</v>
      </c>
      <c r="H37" s="36">
        <v>31</v>
      </c>
      <c r="I37" s="36">
        <f>ROUND(Table138958456799101112131445626789101112131415161718192021345678910111213141516171819202122233456789101112131415161718192034567891011121314[[#This Row],[Target Quantity]],0)</f>
        <v>31</v>
      </c>
      <c r="J37" s="40">
        <f t="shared" si="1"/>
        <v>0</v>
      </c>
      <c r="K37" s="41">
        <f>'Dec 17'!$F37*'Dec 17'!$I37</f>
        <v>8553459.9999999981</v>
      </c>
      <c r="L37" s="42">
        <f>'Dec 17'!$K37/$K$2</f>
        <v>5.802433015561316E-2</v>
      </c>
      <c r="M37" s="43"/>
      <c r="O37" s="4"/>
    </row>
    <row r="38" spans="1:16" s="66" customFormat="1" ht="12.75" x14ac:dyDescent="0.2">
      <c r="A38" s="36"/>
      <c r="B38" s="63"/>
      <c r="C38" s="63"/>
      <c r="D38" s="37"/>
      <c r="E38" s="65"/>
      <c r="F38" s="38"/>
      <c r="G38" s="39"/>
      <c r="H38" s="36"/>
      <c r="I38" s="36"/>
      <c r="J38" s="46"/>
      <c r="K38" s="38"/>
      <c r="L38" s="47"/>
      <c r="M38" s="64"/>
    </row>
    <row r="39" spans="1:16" s="17" customFormat="1" ht="12.75" x14ac:dyDescent="0.2">
      <c r="A39" s="48" t="s">
        <v>142</v>
      </c>
      <c r="B39" s="67"/>
      <c r="C39" s="67"/>
      <c r="D39" s="56">
        <f>SUBTOTAL(9,D28:D38)</f>
        <v>0.58000000000000007</v>
      </c>
      <c r="E39" s="68">
        <f>'Dec 17'!$D39*$C$6*$C$2</f>
        <v>85513208.645632014</v>
      </c>
      <c r="F39" s="69"/>
      <c r="G39" s="70"/>
      <c r="H39" s="55"/>
      <c r="I39" s="55"/>
      <c r="J39" s="59"/>
      <c r="K39" s="68">
        <f>SUM(K28:K38)</f>
        <v>85535378.830855191</v>
      </c>
      <c r="L39" s="71">
        <f>'Dec 17'!$K39/$K$2</f>
        <v>0.58024858493135967</v>
      </c>
      <c r="M39" s="72"/>
    </row>
    <row r="40" spans="1:16" s="44" customFormat="1" ht="12.75" x14ac:dyDescent="0.25">
      <c r="A40" s="36"/>
      <c r="B40" s="36"/>
      <c r="C40" s="36"/>
      <c r="D40" s="37"/>
      <c r="E40" s="38"/>
      <c r="F40" s="38"/>
      <c r="G40" s="74"/>
      <c r="H40" s="36"/>
      <c r="I40" s="36"/>
      <c r="J40" s="40"/>
      <c r="K40" s="41"/>
      <c r="L40" s="42"/>
      <c r="M40" s="43"/>
    </row>
    <row r="41" spans="1:16" s="44" customFormat="1" ht="25.5" x14ac:dyDescent="0.25">
      <c r="A41" s="36" t="s">
        <v>154</v>
      </c>
      <c r="B41" s="36" t="s">
        <v>45</v>
      </c>
      <c r="C41" s="36" t="s">
        <v>46</v>
      </c>
      <c r="D41" s="37">
        <v>2E-3</v>
      </c>
      <c r="E41" s="38">
        <f>'Dec 17'!$D41*$C$6*$C$2</f>
        <v>294873.13326080004</v>
      </c>
      <c r="F41" s="38">
        <v>51020.833333333299</v>
      </c>
      <c r="G41" s="74">
        <f>'Dec 17'!$E41/'Dec 17'!$F41</f>
        <v>5.7794652497012704</v>
      </c>
      <c r="H41" s="36">
        <v>6</v>
      </c>
      <c r="I41" s="36">
        <v>6</v>
      </c>
      <c r="J41" s="40">
        <f t="shared" ref="J41:J50" si="2">I41-H41</f>
        <v>0</v>
      </c>
      <c r="K41" s="41">
        <f>'Dec 17'!$F41*'Dec 17'!$I41</f>
        <v>306124.99999999977</v>
      </c>
      <c r="L41" s="42">
        <f>'Dec 17'!$K41/$K$2</f>
        <v>2.0766681633966918E-3</v>
      </c>
      <c r="M41" s="43"/>
    </row>
    <row r="42" spans="1:16" s="44" customFormat="1" ht="25.5" x14ac:dyDescent="0.25">
      <c r="A42" s="36" t="s">
        <v>154</v>
      </c>
      <c r="B42" s="36" t="s">
        <v>156</v>
      </c>
      <c r="C42" s="36" t="s">
        <v>61</v>
      </c>
      <c r="D42" s="37">
        <v>2E-3</v>
      </c>
      <c r="E42" s="38">
        <f>'Dec 17'!$D42*$C$6*$C$2</f>
        <v>294873.13326080004</v>
      </c>
      <c r="F42" s="38">
        <v>89690</v>
      </c>
      <c r="G42" s="74">
        <f>'Dec 17'!$E42/'Dec 17'!$F42</f>
        <v>3.2876924212375966</v>
      </c>
      <c r="H42" s="36">
        <v>3</v>
      </c>
      <c r="I42" s="36">
        <v>3</v>
      </c>
      <c r="J42" s="40">
        <f t="shared" si="2"/>
        <v>0</v>
      </c>
      <c r="K42" s="41">
        <f>'Dec 17'!$F42*'Dec 17'!$I42</f>
        <v>269070</v>
      </c>
      <c r="L42" s="42">
        <f>'Dec 17'!$K42/$K$2</f>
        <v>1.825297191425556E-3</v>
      </c>
      <c r="M42" s="43"/>
      <c r="P42" s="44" t="s">
        <v>157</v>
      </c>
    </row>
    <row r="43" spans="1:16" s="44" customFormat="1" ht="25.5" x14ac:dyDescent="0.25">
      <c r="A43" s="36" t="s">
        <v>154</v>
      </c>
      <c r="B43" s="36" t="s">
        <v>68</v>
      </c>
      <c r="C43" s="36" t="s">
        <v>69</v>
      </c>
      <c r="D43" s="37">
        <v>2E-3</v>
      </c>
      <c r="E43" s="38">
        <f>'Dec 17'!$D43*$C$6*$C$2</f>
        <v>294873.13326080004</v>
      </c>
      <c r="F43" s="38">
        <v>104878.66666666701</v>
      </c>
      <c r="G43" s="74">
        <f>'Dec 17'!$E43/'Dec 17'!$F43</f>
        <v>2.8115644738122696</v>
      </c>
      <c r="H43" s="36">
        <v>3</v>
      </c>
      <c r="I43" s="36">
        <v>3</v>
      </c>
      <c r="J43" s="40">
        <f t="shared" si="2"/>
        <v>0</v>
      </c>
      <c r="K43" s="41">
        <f>'Dec 17'!$F43*'Dec 17'!$I43</f>
        <v>314636.00000000105</v>
      </c>
      <c r="L43" s="42">
        <f>'Dec 17'!$K43/$K$2</f>
        <v>2.1344044565405774E-3</v>
      </c>
      <c r="M43" s="43"/>
    </row>
    <row r="44" spans="1:16" s="44" customFormat="1" ht="25.5" x14ac:dyDescent="0.25">
      <c r="A44" s="36" t="s">
        <v>154</v>
      </c>
      <c r="B44" s="36" t="s">
        <v>70</v>
      </c>
      <c r="C44" s="36" t="s">
        <v>71</v>
      </c>
      <c r="D44" s="37">
        <v>2E-3</v>
      </c>
      <c r="E44" s="38">
        <f>'Dec 17'!$D44*$C$6*$C$2</f>
        <v>294873.13326080004</v>
      </c>
      <c r="F44" s="38">
        <v>236160</v>
      </c>
      <c r="G44" s="74">
        <f>'Dec 17'!$E44/'Dec 17'!$F44</f>
        <v>1.2486159098102982</v>
      </c>
      <c r="H44" s="36">
        <v>1</v>
      </c>
      <c r="I44" s="36">
        <v>1</v>
      </c>
      <c r="J44" s="40">
        <f t="shared" si="2"/>
        <v>0</v>
      </c>
      <c r="K44" s="41">
        <f>'Dec 17'!$F44*'Dec 17'!$I44</f>
        <v>236160</v>
      </c>
      <c r="L44" s="42">
        <f>'Dec 17'!$K44/$K$2</f>
        <v>1.6020447642883238E-3</v>
      </c>
      <c r="M44" s="43"/>
    </row>
    <row r="45" spans="1:16" s="44" customFormat="1" ht="25.5" x14ac:dyDescent="0.25">
      <c r="A45" s="36" t="s">
        <v>154</v>
      </c>
      <c r="B45" s="36" t="s">
        <v>159</v>
      </c>
      <c r="C45" s="36" t="s">
        <v>73</v>
      </c>
      <c r="D45" s="37">
        <v>2E-3</v>
      </c>
      <c r="E45" s="38">
        <f>'Dec 17'!$D45*$C$6*$C$2</f>
        <v>294873.13326080004</v>
      </c>
      <c r="F45" s="38">
        <v>15341.666666666701</v>
      </c>
      <c r="G45" s="74">
        <f>'Dec 17'!$E45/'Dec 17'!$F45</f>
        <v>19.220410641659928</v>
      </c>
      <c r="H45" s="36">
        <v>19</v>
      </c>
      <c r="I45" s="36">
        <v>19</v>
      </c>
      <c r="J45" s="40">
        <f t="shared" si="2"/>
        <v>0</v>
      </c>
      <c r="K45" s="41">
        <f>'Dec 17'!$F45*'Dec 17'!$I45</f>
        <v>291491.66666666733</v>
      </c>
      <c r="L45" s="42">
        <f>'Dec 17'!$K45/$K$2</f>
        <v>1.9773996376059103E-3</v>
      </c>
      <c r="M45" s="43"/>
    </row>
    <row r="46" spans="1:16" s="4" customFormat="1" ht="25.5" x14ac:dyDescent="0.2">
      <c r="A46" s="36" t="s">
        <v>154</v>
      </c>
      <c r="B46" s="63" t="s">
        <v>90</v>
      </c>
      <c r="C46" s="63" t="s">
        <v>91</v>
      </c>
      <c r="D46" s="37">
        <v>2E-3</v>
      </c>
      <c r="E46" s="38">
        <f>'Dec 17'!$D46*$C$6*$C$2</f>
        <v>294873.13326080004</v>
      </c>
      <c r="F46" s="38">
        <v>71213.75</v>
      </c>
      <c r="G46" s="74">
        <f>'Dec 17'!$E46/'Dec 17'!$F46</f>
        <v>4.140676951583087</v>
      </c>
      <c r="H46" s="36">
        <v>4</v>
      </c>
      <c r="I46" s="36">
        <v>4</v>
      </c>
      <c r="J46" s="40">
        <f t="shared" si="2"/>
        <v>0</v>
      </c>
      <c r="K46" s="41">
        <f>'Dec 17'!$F46*'Dec 17'!$I46</f>
        <v>284855</v>
      </c>
      <c r="L46" s="42">
        <f>'Dec 17'!$K46/$K$2</f>
        <v>1.9323783084830221E-3</v>
      </c>
      <c r="M46" s="64"/>
    </row>
    <row r="47" spans="1:16" s="44" customFormat="1" ht="25.5" x14ac:dyDescent="0.25">
      <c r="A47" s="36" t="s">
        <v>154</v>
      </c>
      <c r="B47" s="36" t="s">
        <v>66</v>
      </c>
      <c r="C47" s="36" t="s">
        <v>67</v>
      </c>
      <c r="D47" s="37">
        <v>2E-3</v>
      </c>
      <c r="E47" s="38">
        <f>'Dec 17'!$D47*$C$6*$C$2</f>
        <v>294873.13326080004</v>
      </c>
      <c r="F47" s="38">
        <v>26910</v>
      </c>
      <c r="G47" s="74">
        <f>'Dec 17'!$E47/'Dec 17'!$F47</f>
        <v>10.957753001144557</v>
      </c>
      <c r="H47" s="36">
        <v>11</v>
      </c>
      <c r="I47" s="36">
        <v>11</v>
      </c>
      <c r="J47" s="40">
        <f t="shared" si="2"/>
        <v>0</v>
      </c>
      <c r="K47" s="41">
        <f>'Dec 17'!$F47*'Dec 17'!$I47</f>
        <v>296010</v>
      </c>
      <c r="L47" s="42">
        <f>'Dec 17'!$K47/$K$2</f>
        <v>2.0080507735306011E-3</v>
      </c>
      <c r="M47" s="43"/>
    </row>
    <row r="48" spans="1:16" s="44" customFormat="1" ht="25.5" x14ac:dyDescent="0.25">
      <c r="A48" s="36" t="s">
        <v>154</v>
      </c>
      <c r="B48" s="36" t="s">
        <v>77</v>
      </c>
      <c r="C48" s="36" t="s">
        <v>78</v>
      </c>
      <c r="D48" s="37">
        <v>2E-3</v>
      </c>
      <c r="E48" s="38">
        <f>'Dec 17'!$D48*$C$6*$C$2</f>
        <v>294873.13326080004</v>
      </c>
      <c r="F48" s="38">
        <v>7817.3684210526299</v>
      </c>
      <c r="G48" s="74">
        <f>'Dec 17'!$E48/'Dec 17'!$F48</f>
        <v>37.720255382449352</v>
      </c>
      <c r="H48" s="36">
        <v>38</v>
      </c>
      <c r="I48" s="36">
        <v>38</v>
      </c>
      <c r="J48" s="40">
        <f t="shared" si="2"/>
        <v>0</v>
      </c>
      <c r="K48" s="41">
        <f>'Dec 17'!$F48*'Dec 17'!$I48</f>
        <v>297059.99999999994</v>
      </c>
      <c r="L48" s="42">
        <f>'Dec 17'!$K48/$K$2</f>
        <v>2.0151736859734476E-3</v>
      </c>
      <c r="M48" s="43"/>
    </row>
    <row r="49" spans="1:13" s="44" customFormat="1" ht="25.5" x14ac:dyDescent="0.25">
      <c r="A49" s="36" t="s">
        <v>154</v>
      </c>
      <c r="B49" s="36" t="s">
        <v>63</v>
      </c>
      <c r="C49" s="36" t="s">
        <v>64</v>
      </c>
      <c r="D49" s="37">
        <v>2E-3</v>
      </c>
      <c r="E49" s="38">
        <f>'Dec 17'!$D49*$C$6*$C$2</f>
        <v>294873.13326080004</v>
      </c>
      <c r="F49" s="38">
        <v>28081.727272727301</v>
      </c>
      <c r="G49" s="74">
        <f>'Dec 17'!$E49/'Dec 17'!$F49</f>
        <v>10.500534044683851</v>
      </c>
      <c r="H49" s="36">
        <v>11</v>
      </c>
      <c r="I49" s="36">
        <v>11</v>
      </c>
      <c r="J49" s="40">
        <f t="shared" si="2"/>
        <v>0</v>
      </c>
      <c r="K49" s="41">
        <f>'Dec 17'!$F49*'Dec 17'!$I49</f>
        <v>308899.00000000029</v>
      </c>
      <c r="L49" s="42">
        <f>'Dec 17'!$K49/$K$2</f>
        <v>2.0954862196980836E-3</v>
      </c>
      <c r="M49" s="43"/>
    </row>
    <row r="50" spans="1:13" s="44" customFormat="1" ht="25.5" x14ac:dyDescent="0.25">
      <c r="A50" s="36" t="s">
        <v>154</v>
      </c>
      <c r="B50" s="36" t="s">
        <v>88</v>
      </c>
      <c r="C50" s="36" t="s">
        <v>89</v>
      </c>
      <c r="D50" s="37">
        <v>2E-3</v>
      </c>
      <c r="E50" s="38">
        <f>'Dec 17'!$D50*$C$6*$C$2</f>
        <v>294873.13326080004</v>
      </c>
      <c r="F50" s="38">
        <v>59442.2</v>
      </c>
      <c r="G50" s="74">
        <f>'Dec 17'!$E50/'Dec 17'!$F50</f>
        <v>4.9606699156626108</v>
      </c>
      <c r="H50" s="36">
        <v>5</v>
      </c>
      <c r="I50" s="36">
        <v>5</v>
      </c>
      <c r="J50" s="40">
        <f t="shared" si="2"/>
        <v>0</v>
      </c>
      <c r="K50" s="41">
        <f>'Dec 17'!$F50*'Dec 17'!$I50</f>
        <v>297211</v>
      </c>
      <c r="L50" s="42">
        <f>'Dec 17'!$K50/$K$2</f>
        <v>2.0161980286199908E-3</v>
      </c>
      <c r="M50" s="43"/>
    </row>
    <row r="51" spans="1:13" s="44" customFormat="1" ht="12.75" x14ac:dyDescent="0.25">
      <c r="A51" s="36"/>
      <c r="B51" s="36"/>
      <c r="C51" s="36"/>
      <c r="D51" s="37"/>
      <c r="E51" s="38"/>
      <c r="F51" s="38"/>
      <c r="G51" s="39"/>
      <c r="H51" s="36"/>
      <c r="I51" s="36"/>
      <c r="J51" s="43"/>
      <c r="K51" s="41"/>
      <c r="L51" s="42"/>
      <c r="M51" s="43"/>
    </row>
    <row r="52" spans="1:13" s="17" customFormat="1" ht="12.75" x14ac:dyDescent="0.2">
      <c r="A52" s="48" t="s">
        <v>164</v>
      </c>
      <c r="B52" s="67"/>
      <c r="C52" s="67"/>
      <c r="D52" s="75">
        <f>SUM(D41:D51)</f>
        <v>2.0000000000000004E-2</v>
      </c>
      <c r="E52" s="50">
        <f>SUM(E40:E51)</f>
        <v>2948731.3326080004</v>
      </c>
      <c r="F52" s="70"/>
      <c r="G52" s="70"/>
      <c r="H52" s="67"/>
      <c r="I52" s="67"/>
      <c r="J52" s="48"/>
      <c r="K52" s="50">
        <f>SUM(K40:K51)</f>
        <v>2901517.6666666688</v>
      </c>
      <c r="L52" s="53">
        <f>'Dec 17'!$K52/$K$2</f>
        <v>1.9683101229562208E-2</v>
      </c>
      <c r="M52" s="60"/>
    </row>
    <row r="53" spans="1:13" s="4" customFormat="1" ht="12.75" x14ac:dyDescent="0.2">
      <c r="A53" s="36"/>
      <c r="B53" s="63"/>
      <c r="C53" s="63"/>
      <c r="D53" s="76"/>
      <c r="E53" s="38"/>
      <c r="F53" s="38"/>
      <c r="G53" s="39"/>
      <c r="H53" s="63"/>
      <c r="I53" s="63"/>
      <c r="J53" s="36"/>
      <c r="K53" s="36"/>
      <c r="L53" s="42"/>
      <c r="M53" s="64"/>
    </row>
    <row r="54" spans="1:13" s="44" customFormat="1" ht="25.5" x14ac:dyDescent="0.25">
      <c r="A54" s="48" t="s">
        <v>165</v>
      </c>
      <c r="B54" s="55" t="s">
        <v>166</v>
      </c>
      <c r="C54" s="55" t="s">
        <v>167</v>
      </c>
      <c r="D54" s="56">
        <v>0</v>
      </c>
      <c r="E54" s="57">
        <f>'Dec 17'!$D54*$C$6*$C$2</f>
        <v>0</v>
      </c>
      <c r="F54" s="57">
        <v>0</v>
      </c>
      <c r="G54" s="58" t="s">
        <v>168</v>
      </c>
      <c r="H54" s="55">
        <v>0</v>
      </c>
      <c r="I54" s="55">
        <v>0</v>
      </c>
      <c r="J54" s="77">
        <f>I54-H54</f>
        <v>0</v>
      </c>
      <c r="K54" s="57">
        <f>'Dec 17'!$F54*'Dec 17'!$I54</f>
        <v>0</v>
      </c>
      <c r="L54" s="78">
        <f>'Dec 17'!$K54/$K$2</f>
        <v>0</v>
      </c>
      <c r="M54" s="55"/>
    </row>
    <row r="55" spans="1:13" s="4" customFormat="1" ht="12.75" x14ac:dyDescent="0.2">
      <c r="A55" s="36"/>
      <c r="B55" s="63"/>
      <c r="C55" s="63"/>
      <c r="D55" s="76"/>
      <c r="E55" s="38"/>
      <c r="F55" s="38"/>
      <c r="G55" s="39"/>
      <c r="H55" s="63"/>
      <c r="I55" s="63"/>
      <c r="J55" s="36"/>
      <c r="K55" s="36"/>
      <c r="L55" s="42"/>
      <c r="M55" s="64"/>
    </row>
    <row r="56" spans="1:13" s="4" customFormat="1" ht="12.75" x14ac:dyDescent="0.2">
      <c r="A56" s="36"/>
      <c r="B56" s="63"/>
      <c r="C56" s="63"/>
      <c r="D56" s="79"/>
      <c r="E56" s="65"/>
      <c r="F56" s="38"/>
      <c r="G56" s="39"/>
      <c r="H56" s="63"/>
      <c r="I56" s="63"/>
      <c r="J56" s="36"/>
      <c r="K56" s="36"/>
      <c r="L56" s="42"/>
      <c r="M56" s="64"/>
    </row>
    <row r="57" spans="1:13" s="17" customFormat="1" ht="12.75" x14ac:dyDescent="0.2">
      <c r="A57" s="48" t="s">
        <v>169</v>
      </c>
      <c r="B57" s="67"/>
      <c r="C57" s="67"/>
      <c r="D57" s="67"/>
      <c r="E57" s="80"/>
      <c r="F57" s="80"/>
      <c r="G57" s="48"/>
      <c r="H57" s="67"/>
      <c r="I57" s="67"/>
      <c r="J57" s="67"/>
      <c r="K57" s="80">
        <f>SUM(K24,K26,K39,K52,K54:K54)</f>
        <v>147411611.25101855</v>
      </c>
      <c r="L57" s="53">
        <f>'Dec 17'!$K57/$K$2</f>
        <v>1.0000000000000002</v>
      </c>
      <c r="M57" s="67"/>
    </row>
    <row r="58" spans="1:13" s="4" customFormat="1" ht="12.75" x14ac:dyDescent="0.2">
      <c r="A58" s="64"/>
      <c r="B58" s="64"/>
      <c r="C58" s="64"/>
      <c r="D58" s="81"/>
      <c r="E58" s="82"/>
      <c r="F58" s="38"/>
      <c r="G58" s="83"/>
      <c r="H58" s="64"/>
      <c r="I58" s="64"/>
      <c r="J58" s="64"/>
      <c r="K58" s="64"/>
      <c r="L58" s="42"/>
      <c r="M58" s="64"/>
    </row>
    <row r="59" spans="1:13" s="4" customFormat="1" ht="12.75" x14ac:dyDescent="0.2">
      <c r="A59" s="64"/>
      <c r="B59" s="64"/>
      <c r="C59" s="64"/>
      <c r="D59" s="81"/>
      <c r="E59" s="82"/>
      <c r="F59" s="38"/>
      <c r="G59" s="83"/>
      <c r="H59" s="64"/>
      <c r="I59" s="64"/>
      <c r="J59" s="64"/>
      <c r="K59" s="64"/>
      <c r="L59" s="42"/>
      <c r="M59" s="64"/>
    </row>
    <row r="60" spans="1:13" s="4" customFormat="1" ht="12.75" x14ac:dyDescent="0.2">
      <c r="A60" s="64"/>
      <c r="B60" s="64"/>
      <c r="C60" s="64"/>
      <c r="D60" s="81"/>
      <c r="E60" s="82"/>
      <c r="F60" s="38"/>
      <c r="G60" s="83"/>
      <c r="H60" s="64"/>
      <c r="I60" s="64"/>
      <c r="J60" s="64"/>
      <c r="K60" s="64"/>
      <c r="L60" s="42"/>
      <c r="M60" s="64"/>
    </row>
    <row r="61" spans="1:13" s="4" customFormat="1" ht="12.75" x14ac:dyDescent="0.2">
      <c r="A61" s="64"/>
      <c r="B61" s="64"/>
      <c r="C61" s="64"/>
      <c r="D61" s="81"/>
      <c r="E61" s="82"/>
      <c r="F61" s="38"/>
      <c r="G61" s="83"/>
      <c r="H61" s="64"/>
      <c r="I61" s="64"/>
      <c r="J61" s="64"/>
      <c r="K61" s="64"/>
      <c r="L61" s="42"/>
      <c r="M61" s="64"/>
    </row>
    <row r="62" spans="1:13" s="4" customFormat="1" ht="12.75" x14ac:dyDescent="0.2">
      <c r="A62" s="64"/>
      <c r="B62" s="64"/>
      <c r="C62" s="64"/>
      <c r="D62" s="81"/>
      <c r="E62" s="82"/>
      <c r="F62" s="38"/>
      <c r="G62" s="83"/>
      <c r="H62" s="64"/>
      <c r="I62" s="64"/>
      <c r="J62" s="64"/>
      <c r="K62" s="64"/>
      <c r="L62" s="42"/>
      <c r="M62" s="64"/>
    </row>
    <row r="63" spans="1:13" s="4" customFormat="1" ht="12.75" x14ac:dyDescent="0.2">
      <c r="A63" s="64"/>
      <c r="B63" s="64"/>
      <c r="C63" s="64"/>
      <c r="D63" s="81"/>
      <c r="E63" s="82"/>
      <c r="F63" s="38"/>
      <c r="G63" s="83"/>
      <c r="H63" s="64"/>
      <c r="I63" s="64"/>
      <c r="J63" s="64"/>
      <c r="K63" s="64"/>
      <c r="L63" s="42"/>
      <c r="M63" s="64"/>
    </row>
    <row r="64" spans="1:13" s="4" customFormat="1" ht="12.75" x14ac:dyDescent="0.2">
      <c r="A64" s="64"/>
      <c r="B64" s="64"/>
      <c r="C64" s="64"/>
      <c r="D64" s="81"/>
      <c r="E64" s="82"/>
      <c r="F64" s="38"/>
      <c r="G64" s="83"/>
      <c r="H64" s="64"/>
      <c r="I64" s="64"/>
      <c r="J64" s="64"/>
      <c r="K64" s="64"/>
      <c r="L64" s="42"/>
      <c r="M64" s="64"/>
    </row>
    <row r="65" spans="1:13" s="4" customFormat="1" ht="12.75" x14ac:dyDescent="0.2">
      <c r="A65" s="64"/>
      <c r="B65" s="64"/>
      <c r="C65" s="64"/>
      <c r="D65" s="81"/>
      <c r="E65" s="82"/>
      <c r="F65" s="38"/>
      <c r="G65" s="83"/>
      <c r="H65" s="64"/>
      <c r="I65" s="64"/>
      <c r="J65" s="64"/>
      <c r="K65" s="64"/>
      <c r="L65" s="42"/>
      <c r="M65" s="64"/>
    </row>
    <row r="66" spans="1:13" s="4" customFormat="1" ht="12.75" x14ac:dyDescent="0.2">
      <c r="A66" s="64"/>
      <c r="B66" s="64"/>
      <c r="C66" s="64"/>
      <c r="D66" s="81"/>
      <c r="E66" s="82"/>
      <c r="F66" s="38"/>
      <c r="G66" s="83"/>
      <c r="H66" s="64"/>
      <c r="I66" s="64"/>
      <c r="J66" s="64"/>
      <c r="K66" s="64"/>
      <c r="L66" s="42"/>
      <c r="M66" s="64"/>
    </row>
    <row r="67" spans="1:13" s="4" customFormat="1" ht="12.75" x14ac:dyDescent="0.2"/>
    <row r="68" spans="1:13" s="4" customFormat="1" ht="12.75" x14ac:dyDescent="0.2"/>
    <row r="70" spans="1:13" s="4" customFormat="1" ht="12.75" x14ac:dyDescent="0.2">
      <c r="A70" s="84"/>
      <c r="B70" s="84"/>
      <c r="E70" s="84"/>
      <c r="F70" s="84"/>
      <c r="G70" s="84"/>
      <c r="H70" s="85"/>
      <c r="M70" s="84"/>
    </row>
    <row r="71" spans="1:13" s="4" customFormat="1" ht="12.75" x14ac:dyDescent="0.2">
      <c r="A71" s="84"/>
      <c r="B71" s="84"/>
      <c r="E71" s="84"/>
      <c r="F71" s="84"/>
      <c r="G71" s="84"/>
      <c r="H71" s="85"/>
      <c r="M71" s="84"/>
    </row>
    <row r="72" spans="1:13" s="4" customFormat="1" ht="12.75" x14ac:dyDescent="0.2">
      <c r="A72" s="86"/>
      <c r="B72" s="86"/>
    </row>
    <row r="73" spans="1:13" s="4" customFormat="1" ht="12.75" x14ac:dyDescent="0.2">
      <c r="A73" s="87"/>
      <c r="B73" s="87"/>
      <c r="E73" s="87"/>
      <c r="F73" s="86"/>
      <c r="G73" s="86"/>
      <c r="M73" s="88"/>
    </row>
    <row r="74" spans="1:13" s="4" customFormat="1" ht="12.75" x14ac:dyDescent="0.2"/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MH74"/>
  <sheetViews>
    <sheetView zoomScale="140" zoomScaleNormal="140" workbookViewId="0">
      <pane xSplit="2" topLeftCell="F1" activePane="topRight" state="frozen"/>
      <selection pane="topRight" activeCell="G5" sqref="G5"/>
    </sheetView>
  </sheetViews>
  <sheetFormatPr defaultColWidth="9.140625" defaultRowHeight="15" x14ac:dyDescent="0.25"/>
  <cols>
    <col min="1" max="2" width="15.140625" style="4" customWidth="1"/>
    <col min="3" max="3" width="29.28515625" style="4" customWidth="1"/>
    <col min="4" max="4" width="14.85546875" style="4" customWidth="1"/>
    <col min="5" max="5" width="27.42578125" style="4" customWidth="1"/>
    <col min="6" max="7" width="13.7109375" style="4" customWidth="1"/>
    <col min="8" max="8" width="16.42578125" style="4" customWidth="1"/>
    <col min="9" max="9" width="15.42578125" style="4" customWidth="1"/>
    <col min="10" max="10" width="13.42578125" customWidth="1"/>
    <col min="11" max="11" width="23.42578125" customWidth="1"/>
    <col min="12" max="12" width="13.42578125" customWidth="1"/>
    <col min="13" max="13" width="22.42578125" style="4" customWidth="1"/>
    <col min="14" max="16" width="10.85546875" style="4" customWidth="1"/>
    <col min="17" max="17" width="11.28515625" style="4" customWidth="1"/>
    <col min="18" max="1022" width="9.140625" style="4"/>
  </cols>
  <sheetData>
    <row r="1" spans="1:17" s="4" customFormat="1" ht="25.5" x14ac:dyDescent="0.2">
      <c r="A1" s="5"/>
      <c r="B1" s="5" t="s">
        <v>95</v>
      </c>
      <c r="C1" s="6">
        <v>44183</v>
      </c>
      <c r="D1" s="7"/>
      <c r="E1" s="8" t="s">
        <v>96</v>
      </c>
      <c r="F1" s="9"/>
      <c r="G1" s="10"/>
      <c r="K1" s="11" t="s">
        <v>97</v>
      </c>
      <c r="L1" s="11" t="s">
        <v>98</v>
      </c>
      <c r="M1" s="12" t="s">
        <v>99</v>
      </c>
    </row>
    <row r="2" spans="1:17" x14ac:dyDescent="0.25">
      <c r="A2" s="5"/>
      <c r="B2" s="5" t="s">
        <v>100</v>
      </c>
      <c r="C2" s="13">
        <v>5.12</v>
      </c>
      <c r="D2" s="14"/>
      <c r="E2" s="15">
        <f>SUM(E24,E39,E52,E26,E54)</f>
        <v>147591763.96799999</v>
      </c>
      <c r="F2" s="16"/>
      <c r="G2" s="17"/>
      <c r="H2" s="14"/>
      <c r="I2" s="14"/>
      <c r="J2" s="14"/>
      <c r="K2" s="15">
        <f>SUM(K24,K39,K52,K26,K54:K54)</f>
        <v>147573261.79290819</v>
      </c>
      <c r="L2" s="18">
        <f>SUM(L52,L39,L24,L26,L54)</f>
        <v>0.99999999999999989</v>
      </c>
      <c r="M2" s="19">
        <f>K2/$C$6</f>
        <v>5.1193581543175366</v>
      </c>
      <c r="N2" s="20"/>
    </row>
    <row r="3" spans="1:17" ht="26.25" x14ac:dyDescent="0.25">
      <c r="A3" s="5"/>
      <c r="B3" s="5" t="s">
        <v>101</v>
      </c>
      <c r="C3" s="21">
        <v>28826516.399999999</v>
      </c>
      <c r="D3" s="22"/>
      <c r="E3" s="8" t="s">
        <v>170</v>
      </c>
      <c r="F3" s="16"/>
      <c r="H3" s="14"/>
      <c r="I3" s="14"/>
      <c r="J3" s="14"/>
      <c r="K3" s="8" t="s">
        <v>102</v>
      </c>
      <c r="L3" s="14"/>
      <c r="M3" s="12" t="s">
        <v>171</v>
      </c>
      <c r="N3" s="23"/>
    </row>
    <row r="4" spans="1:17" x14ac:dyDescent="0.25">
      <c r="A4" s="5"/>
      <c r="B4" s="5" t="s">
        <v>104</v>
      </c>
      <c r="C4" s="21">
        <v>0</v>
      </c>
      <c r="D4" s="22"/>
      <c r="E4" s="15">
        <f>SUM(E24,E52,E26)</f>
        <v>61988540.866560005</v>
      </c>
      <c r="F4" s="16"/>
      <c r="G4" s="17"/>
      <c r="H4" s="14"/>
      <c r="I4" s="14"/>
      <c r="J4" s="14"/>
      <c r="K4" s="15">
        <f>SUM(K24,K26,K52)</f>
        <v>61962980.757962719</v>
      </c>
      <c r="L4" s="14"/>
      <c r="M4" s="19">
        <f>K4/$C$6</f>
        <v>2.1495133126097303</v>
      </c>
      <c r="N4" s="23"/>
    </row>
    <row r="5" spans="1:17" x14ac:dyDescent="0.25">
      <c r="A5" s="5"/>
      <c r="B5" s="5" t="s">
        <v>105</v>
      </c>
      <c r="C5" s="21">
        <v>0</v>
      </c>
      <c r="D5" s="22"/>
      <c r="E5" s="16"/>
      <c r="F5" s="16"/>
      <c r="G5" s="24">
        <f>SUM(D24,D26,D39,D52,D54:D54)</f>
        <v>1</v>
      </c>
      <c r="H5" s="14"/>
      <c r="I5" s="14"/>
      <c r="J5" s="14"/>
      <c r="K5" s="14"/>
      <c r="L5" s="14"/>
      <c r="M5" s="14"/>
      <c r="N5" s="23"/>
    </row>
    <row r="6" spans="1:17" x14ac:dyDescent="0.25">
      <c r="A6" s="5"/>
      <c r="B6" s="5" t="s">
        <v>106</v>
      </c>
      <c r="C6" s="21">
        <f>C3+C4-C5</f>
        <v>28826516.399999999</v>
      </c>
      <c r="D6" s="22"/>
      <c r="E6" s="16"/>
      <c r="F6" s="16"/>
      <c r="G6" s="17"/>
      <c r="H6" s="14"/>
      <c r="I6" s="14"/>
      <c r="J6" s="14"/>
      <c r="K6" s="14"/>
      <c r="L6" s="14"/>
      <c r="M6" s="14"/>
      <c r="N6" s="23"/>
    </row>
    <row r="7" spans="1:17" x14ac:dyDescent="0.25">
      <c r="A7" s="25"/>
      <c r="B7" s="26"/>
      <c r="C7" s="26"/>
      <c r="D7" s="27"/>
      <c r="E7" s="28"/>
      <c r="F7" s="28"/>
      <c r="G7" s="28"/>
      <c r="H7" s="29"/>
      <c r="I7" s="29"/>
      <c r="J7" s="29"/>
      <c r="K7" s="14"/>
      <c r="L7" s="14"/>
      <c r="M7" s="14"/>
      <c r="N7" s="23"/>
    </row>
    <row r="8" spans="1:17" s="34" customFormat="1" ht="38.25" x14ac:dyDescent="0.2">
      <c r="A8" s="30" t="s">
        <v>107</v>
      </c>
      <c r="B8" s="30" t="s">
        <v>108</v>
      </c>
      <c r="C8" s="31" t="s">
        <v>1</v>
      </c>
      <c r="D8" s="31" t="s">
        <v>109</v>
      </c>
      <c r="E8" s="31" t="s">
        <v>110</v>
      </c>
      <c r="F8" s="31" t="s">
        <v>111</v>
      </c>
      <c r="G8" s="31" t="s">
        <v>112</v>
      </c>
      <c r="H8" s="31" t="s">
        <v>113</v>
      </c>
      <c r="I8" s="31" t="s">
        <v>114</v>
      </c>
      <c r="J8" s="31" t="s">
        <v>115</v>
      </c>
      <c r="K8" s="32" t="s">
        <v>116</v>
      </c>
      <c r="L8" s="32" t="s">
        <v>117</v>
      </c>
      <c r="M8" s="32" t="s">
        <v>118</v>
      </c>
      <c r="N8" s="33"/>
      <c r="Q8" s="35"/>
    </row>
    <row r="9" spans="1:17" s="45" customFormat="1" ht="12.75" customHeight="1" x14ac:dyDescent="0.25">
      <c r="A9" s="36" t="s">
        <v>119</v>
      </c>
      <c r="B9" s="36" t="s">
        <v>43</v>
      </c>
      <c r="C9" s="36" t="s">
        <v>44</v>
      </c>
      <c r="D9" s="37">
        <v>8.3250000000000008E-3</v>
      </c>
      <c r="E9" s="38">
        <f>'Dec 18'!$D9*$C$6*$C$2</f>
        <v>1228701.4350336001</v>
      </c>
      <c r="F9" s="38">
        <v>401.62014483212602</v>
      </c>
      <c r="G9" s="39">
        <f>'Dec 18'!$E9/'Dec 18'!$F9</f>
        <v>3059.3620634920776</v>
      </c>
      <c r="H9" s="36">
        <v>3038</v>
      </c>
      <c r="I9" s="36">
        <f>ROUND(Table13895845679910111213144562678910111213141516171819202134567891011121314151617181920212223345678910111213141516171819203456789101112131415[[#This Row],[Target Quantity]],0)</f>
        <v>3059</v>
      </c>
      <c r="J9" s="40">
        <f t="shared" ref="J9:J22" si="0">I9-H9</f>
        <v>21</v>
      </c>
      <c r="K9" s="41">
        <f>'Dec 18'!$F9*'Dec 18'!$I9</f>
        <v>1228556.0230414735</v>
      </c>
      <c r="L9" s="42">
        <f>'Dec 18'!$K9/$K$2</f>
        <v>8.3250584022837738E-3</v>
      </c>
      <c r="M9" s="36"/>
      <c r="O9" s="44"/>
    </row>
    <row r="10" spans="1:17" s="45" customFormat="1" ht="12.75" customHeight="1" x14ac:dyDescent="0.25">
      <c r="A10" s="36" t="s">
        <v>119</v>
      </c>
      <c r="B10" s="36" t="s">
        <v>25</v>
      </c>
      <c r="C10" s="36" t="s">
        <v>26</v>
      </c>
      <c r="D10" s="37">
        <v>8.3250000000000008E-3</v>
      </c>
      <c r="E10" s="38">
        <f>'Dec 18'!$D10*$C$6*$C$2</f>
        <v>1228701.4350336001</v>
      </c>
      <c r="F10" s="38">
        <v>283</v>
      </c>
      <c r="G10" s="39">
        <f>'Dec 18'!$E10/'Dec 18'!$F10</f>
        <v>4341.7011838643111</v>
      </c>
      <c r="H10" s="36">
        <v>4228</v>
      </c>
      <c r="I10" s="36">
        <f>ROUND(Table13895845679910111213144562678910111213141516171819202134567891011121314151617181920212223345678910111213141516171819203456789101112131415[[#This Row],[Target Quantity]],0)</f>
        <v>4342</v>
      </c>
      <c r="J10" s="40">
        <f t="shared" si="0"/>
        <v>114</v>
      </c>
      <c r="K10" s="41">
        <f>'Dec 18'!$F10*'Dec 18'!$I10</f>
        <v>1228786</v>
      </c>
      <c r="L10" s="42">
        <f>'Dec 18'!$K10/$K$2</f>
        <v>8.3266167940664899E-3</v>
      </c>
      <c r="M10" s="36"/>
      <c r="O10" s="44"/>
    </row>
    <row r="11" spans="1:17" s="45" customFormat="1" ht="12.75" customHeight="1" x14ac:dyDescent="0.25">
      <c r="A11" s="36" t="s">
        <v>119</v>
      </c>
      <c r="B11" s="36" t="s">
        <v>33</v>
      </c>
      <c r="C11" s="36" t="s">
        <v>34</v>
      </c>
      <c r="D11" s="37">
        <v>8.3250000000000008E-3</v>
      </c>
      <c r="E11" s="38">
        <f>'Dec 18'!$D11*$C$6*$C$2</f>
        <v>1228701.4350336001</v>
      </c>
      <c r="F11" s="38">
        <v>39.189998738806899</v>
      </c>
      <c r="G11" s="39">
        <f>'Dec 18'!$E11/'Dec 18'!$F11</f>
        <v>31352.423439016591</v>
      </c>
      <c r="H11" s="36">
        <v>31716</v>
      </c>
      <c r="I11" s="36">
        <f>ROUND(Table13895845679910111213144562678910111213141516171819202134567891011121314151617181920212223345678910111213141516171819203456789101112131415[[#This Row],[Target Quantity]],0)</f>
        <v>31352</v>
      </c>
      <c r="J11" s="40">
        <f t="shared" si="0"/>
        <v>-364</v>
      </c>
      <c r="K11" s="41">
        <f>'Dec 18'!$F11*'Dec 18'!$I11</f>
        <v>1228684.8404590739</v>
      </c>
      <c r="L11" s="42">
        <f>'Dec 18'!$K11/$K$2</f>
        <v>8.3259313071449622E-3</v>
      </c>
      <c r="M11" s="36"/>
      <c r="O11" s="44"/>
    </row>
    <row r="12" spans="1:17" s="45" customFormat="1" ht="12.75" customHeight="1" x14ac:dyDescent="0.25">
      <c r="A12" s="36" t="s">
        <v>119</v>
      </c>
      <c r="B12" s="36" t="s">
        <v>19</v>
      </c>
      <c r="C12" s="36" t="s">
        <v>20</v>
      </c>
      <c r="D12" s="37">
        <v>8.3250000000000008E-3</v>
      </c>
      <c r="E12" s="38">
        <f>'Dec 18'!$D12*$C$6*$C$2</f>
        <v>1228701.4350336001</v>
      </c>
      <c r="F12" s="38">
        <v>526.71981489272196</v>
      </c>
      <c r="G12" s="39">
        <f>'Dec 18'!$E12/'Dec 18'!$F12</f>
        <v>2332.742001141256</v>
      </c>
      <c r="H12" s="36">
        <v>2377</v>
      </c>
      <c r="I12" s="36">
        <f>ROUND(Table13895845679910111213144562678910111213141516171819202134567891011121314151617181920212223345678910111213141516171819203456789101112131415[[#This Row],[Target Quantity]],0)</f>
        <v>2333</v>
      </c>
      <c r="J12" s="40">
        <f t="shared" si="0"/>
        <v>-44</v>
      </c>
      <c r="K12" s="41">
        <f>'Dec 18'!$F12*'Dec 18'!$I12</f>
        <v>1228837.3281447203</v>
      </c>
      <c r="L12" s="42">
        <f>'Dec 18'!$K12/$K$2</f>
        <v>8.3269646087322131E-3</v>
      </c>
      <c r="M12" s="36"/>
      <c r="O12" s="92"/>
    </row>
    <row r="13" spans="1:17" s="45" customFormat="1" ht="12.75" customHeight="1" x14ac:dyDescent="0.25">
      <c r="A13" s="36" t="s">
        <v>119</v>
      </c>
      <c r="B13" s="36" t="s">
        <v>29</v>
      </c>
      <c r="C13" s="36" t="s">
        <v>30</v>
      </c>
      <c r="D13" s="37">
        <v>8.3250000000000008E-3</v>
      </c>
      <c r="E13" s="38">
        <f>'Dec 18'!$D13*$C$6*$C$2</f>
        <v>1228701.4350336001</v>
      </c>
      <c r="F13" s="38">
        <v>20.750008281710699</v>
      </c>
      <c r="G13" s="39">
        <f>'Dec 18'!$E13/'Dec 18'!$F13</f>
        <v>59214.50335596213</v>
      </c>
      <c r="H13" s="36">
        <v>60374</v>
      </c>
      <c r="I13" s="36">
        <f>ROUND(Table13895845679910111213144562678910111213141516171819202134567891011121314151617181920212223345678910111213141516171819203456789101112131415[[#This Row],[Target Quantity]],0)</f>
        <v>59215</v>
      </c>
      <c r="J13" s="40">
        <f t="shared" si="0"/>
        <v>-1159</v>
      </c>
      <c r="K13" s="41">
        <f>'Dec 18'!$F13*'Dec 18'!$I13</f>
        <v>1228711.740401499</v>
      </c>
      <c r="L13" s="42">
        <f>'Dec 18'!$K13/$K$2</f>
        <v>8.3261135890983339E-3</v>
      </c>
      <c r="M13" s="36"/>
      <c r="O13" s="44"/>
    </row>
    <row r="14" spans="1:17" s="45" customFormat="1" ht="12.75" customHeight="1" x14ac:dyDescent="0.25">
      <c r="A14" s="36" t="s">
        <v>119</v>
      </c>
      <c r="B14" s="36" t="s">
        <v>21</v>
      </c>
      <c r="C14" s="36" t="s">
        <v>22</v>
      </c>
      <c r="D14" s="37">
        <v>8.3250000000000008E-3</v>
      </c>
      <c r="E14" s="38">
        <f>'Dec 18'!$D14*$C$6*$C$2</f>
        <v>1228701.4350336001</v>
      </c>
      <c r="F14" s="38">
        <v>38.699987342573202</v>
      </c>
      <c r="G14" s="39">
        <f>'Dec 18'!$E14/'Dec 18'!$F14</f>
        <v>31749.401470266799</v>
      </c>
      <c r="H14" s="36">
        <v>31602</v>
      </c>
      <c r="I14" s="36">
        <f>ROUND(Table13895845679910111213144562678910111213141516171819202134567891011121314151617181920212223345678910111213141516171819203456789101112131415[[#This Row],[Target Quantity]],0)</f>
        <v>31749</v>
      </c>
      <c r="J14" s="40">
        <f t="shared" si="0"/>
        <v>147</v>
      </c>
      <c r="K14" s="41">
        <f>'Dec 18'!$F14*'Dec 18'!$I14</f>
        <v>1228685.8981393566</v>
      </c>
      <c r="L14" s="42">
        <f>'Dec 18'!$K14/$K$2</f>
        <v>8.3259384742988898E-3</v>
      </c>
      <c r="M14" s="36"/>
      <c r="O14" s="44"/>
    </row>
    <row r="15" spans="1:17" s="45" customFormat="1" ht="12.75" customHeight="1" x14ac:dyDescent="0.25">
      <c r="A15" s="36" t="s">
        <v>119</v>
      </c>
      <c r="B15" s="36" t="s">
        <v>37</v>
      </c>
      <c r="C15" s="36" t="s">
        <v>38</v>
      </c>
      <c r="D15" s="37">
        <v>8.3250000000000008E-3</v>
      </c>
      <c r="E15" s="38">
        <f>'Dec 18'!$D15*$C$6*$C$2</f>
        <v>1228701.4350336001</v>
      </c>
      <c r="F15" s="38">
        <v>68.8200055725829</v>
      </c>
      <c r="G15" s="39">
        <f>'Dec 18'!$E15/'Dec 18'!$F15</f>
        <v>17853.840969799348</v>
      </c>
      <c r="H15" s="36">
        <v>17945</v>
      </c>
      <c r="I15" s="36">
        <f>ROUND(Table13895845679910111213144562678910111213141516171819202134567891011121314151617181920212223345678910111213141516171819203456789101112131415[[#This Row],[Target Quantity]],0)</f>
        <v>17854</v>
      </c>
      <c r="J15" s="40">
        <f t="shared" si="0"/>
        <v>-91</v>
      </c>
      <c r="K15" s="41">
        <f>'Dec 18'!$F15*'Dec 18'!$I15</f>
        <v>1228712.3794928952</v>
      </c>
      <c r="L15" s="42">
        <f>'Dec 18'!$K15/$K$2</f>
        <v>8.326117919770358E-3</v>
      </c>
      <c r="M15" s="36"/>
      <c r="O15" s="44"/>
    </row>
    <row r="16" spans="1:17" s="45" customFormat="1" ht="12.75" customHeight="1" x14ac:dyDescent="0.25">
      <c r="A16" s="36" t="s">
        <v>119</v>
      </c>
      <c r="B16" s="36" t="s">
        <v>23</v>
      </c>
      <c r="C16" s="36" t="s">
        <v>24</v>
      </c>
      <c r="D16" s="37">
        <v>8.3250000000000008E-3</v>
      </c>
      <c r="E16" s="38">
        <f>'Dec 18'!$D16*$C$6*$C$2</f>
        <v>1228701.4350336001</v>
      </c>
      <c r="F16" s="38">
        <v>264.530099978728</v>
      </c>
      <c r="G16" s="39">
        <f>'Dec 18'!$E16/'Dec 18'!$F16</f>
        <v>4644.8454642114648</v>
      </c>
      <c r="H16" s="36">
        <v>4701</v>
      </c>
      <c r="I16" s="36">
        <f>ROUND(Table13895845679910111213144562678910111213141516171819202134567891011121314151617181920212223345678910111213141516171819203456789101112131415[[#This Row],[Target Quantity]],0)</f>
        <v>4645</v>
      </c>
      <c r="J16" s="40">
        <f t="shared" si="0"/>
        <v>-56</v>
      </c>
      <c r="K16" s="41">
        <f>'Dec 18'!$F16*'Dec 18'!$I16</f>
        <v>1228742.3144011917</v>
      </c>
      <c r="L16" s="42">
        <f>'Dec 18'!$K16/$K$2</f>
        <v>8.3263207675486929E-3</v>
      </c>
      <c r="M16" s="36"/>
      <c r="O16" s="44"/>
    </row>
    <row r="17" spans="1:15" s="45" customFormat="1" ht="12.75" customHeight="1" x14ac:dyDescent="0.25">
      <c r="A17" s="36" t="s">
        <v>119</v>
      </c>
      <c r="B17" s="36" t="s">
        <v>15</v>
      </c>
      <c r="C17" s="36" t="s">
        <v>16</v>
      </c>
      <c r="D17" s="37">
        <v>8.3250000000000008E-3</v>
      </c>
      <c r="E17" s="38">
        <f>'Dec 18'!$D17*$C$6*$C$2</f>
        <v>1228701.4350336001</v>
      </c>
      <c r="F17" s="38">
        <v>137.47997787610601</v>
      </c>
      <c r="G17" s="39">
        <f>'Dec 18'!$E17/'Dec 18'!$F17</f>
        <v>8937.311847263165</v>
      </c>
      <c r="H17" s="36">
        <v>9040</v>
      </c>
      <c r="I17" s="36">
        <f>ROUND(Table13895845679910111213144562678910111213141516171819202134567891011121314151617181920212223345678910111213141516171819203456789101112131415[[#This Row],[Target Quantity]],0)</f>
        <v>8937</v>
      </c>
      <c r="J17" s="40">
        <f t="shared" si="0"/>
        <v>-103</v>
      </c>
      <c r="K17" s="41">
        <f>'Dec 18'!$F17*'Dec 18'!$I17</f>
        <v>1228658.5622787594</v>
      </c>
      <c r="L17" s="42">
        <f>'Dec 18'!$K17/$K$2</f>
        <v>8.3257532384352576E-3</v>
      </c>
      <c r="M17" s="36"/>
      <c r="O17" s="44"/>
    </row>
    <row r="18" spans="1:15" s="45" customFormat="1" ht="12.75" customHeight="1" x14ac:dyDescent="0.25">
      <c r="A18" s="36" t="s">
        <v>119</v>
      </c>
      <c r="B18" s="36" t="s">
        <v>27</v>
      </c>
      <c r="C18" s="36" t="s">
        <v>28</v>
      </c>
      <c r="D18" s="37">
        <v>8.3250000000000008E-3</v>
      </c>
      <c r="E18" s="38">
        <f>'Dec 18'!$D18*$C$6*$C$2</f>
        <v>1228701.4350336001</v>
      </c>
      <c r="F18" s="38">
        <v>41.900003412852797</v>
      </c>
      <c r="G18" s="39">
        <f>'Dec 18'!$E18/'Dec 18'!$F18</f>
        <v>29324.614199355812</v>
      </c>
      <c r="H18" s="36">
        <v>29301</v>
      </c>
      <c r="I18" s="36">
        <f>ROUND(Table13895845679910111213144562678910111213141516171819202134567891011121314151617181920212223345678910111213141516171819203456789101112131415[[#This Row],[Target Quantity]],0)</f>
        <v>29325</v>
      </c>
      <c r="J18" s="40">
        <f t="shared" si="0"/>
        <v>24</v>
      </c>
      <c r="K18" s="41">
        <f>'Dec 18'!$F18*'Dec 18'!$I18</f>
        <v>1228717.6000819083</v>
      </c>
      <c r="L18" s="42">
        <f>'Dec 18'!$K18/$K$2</f>
        <v>8.3261532960231394E-3</v>
      </c>
      <c r="M18" s="36"/>
      <c r="O18" s="91"/>
    </row>
    <row r="19" spans="1:15" s="45" customFormat="1" ht="12.75" customHeight="1" x14ac:dyDescent="0.25">
      <c r="A19" s="36" t="s">
        <v>119</v>
      </c>
      <c r="B19" s="36" t="s">
        <v>41</v>
      </c>
      <c r="C19" s="36" t="s">
        <v>42</v>
      </c>
      <c r="D19" s="37">
        <v>8.3250000000000008E-3</v>
      </c>
      <c r="E19" s="38">
        <f>'Dec 18'!$D19*$C$6*$C$2</f>
        <v>1228701.4350336001</v>
      </c>
      <c r="F19" s="38">
        <v>36.200005848124199</v>
      </c>
      <c r="G19" s="39">
        <f>'Dec 18'!$E19/'Dec 18'!$F19</f>
        <v>33942.023108741254</v>
      </c>
      <c r="H19" s="36">
        <v>34199</v>
      </c>
      <c r="I19" s="36">
        <f>ROUND(Table13895845679910111213144562678910111213141516171819202134567891011121314151617181920212223345678910111213141516171819203456789101112131415[[#This Row],[Target Quantity]],0)</f>
        <v>33942</v>
      </c>
      <c r="J19" s="40">
        <f t="shared" si="0"/>
        <v>-257</v>
      </c>
      <c r="K19" s="41">
        <f>'Dec 18'!$F19*'Dec 18'!$I19</f>
        <v>1228700.5984970315</v>
      </c>
      <c r="L19" s="42">
        <f>'Dec 18'!$K19/$K$2</f>
        <v>8.3260380882634807E-3</v>
      </c>
      <c r="M19" s="36"/>
      <c r="O19" s="91"/>
    </row>
    <row r="20" spans="1:15" s="45" customFormat="1" ht="12.75" customHeight="1" x14ac:dyDescent="0.25">
      <c r="A20" s="36" t="s">
        <v>119</v>
      </c>
      <c r="B20" s="36" t="s">
        <v>35</v>
      </c>
      <c r="C20" s="36" t="s">
        <v>36</v>
      </c>
      <c r="D20" s="37">
        <v>8.3250000000000008E-3</v>
      </c>
      <c r="E20" s="38">
        <f>'Dec 18'!$D20*$C$6*$C$2</f>
        <v>1228701.4350336001</v>
      </c>
      <c r="F20" s="38">
        <v>144.55000545315701</v>
      </c>
      <c r="G20" s="39">
        <f>'Dec 18'!$E20/'Dec 18'!$F20</f>
        <v>8500.182557459495</v>
      </c>
      <c r="H20" s="36">
        <v>9169</v>
      </c>
      <c r="I20" s="36">
        <f>ROUND(Table13895845679910111213144562678910111213141516171819202134567891011121314151617181920212223345678910111213141516171819203456789101112131415[[#This Row],[Target Quantity]],0)</f>
        <v>8500</v>
      </c>
      <c r="J20" s="40">
        <f t="shared" si="0"/>
        <v>-669</v>
      </c>
      <c r="K20" s="41">
        <f>'Dec 18'!$F20*'Dec 18'!$I20</f>
        <v>1228675.0463518347</v>
      </c>
      <c r="L20" s="42">
        <f>'Dec 18'!$K20/$K$2</f>
        <v>8.3258649393821299E-3</v>
      </c>
      <c r="M20" s="36"/>
      <c r="O20" s="91"/>
    </row>
    <row r="21" spans="1:15" s="45" customFormat="1" ht="12.75" customHeight="1" x14ac:dyDescent="0.25">
      <c r="A21" s="36" t="s">
        <v>119</v>
      </c>
      <c r="B21" s="36" t="s">
        <v>39</v>
      </c>
      <c r="C21" s="36" t="s">
        <v>40</v>
      </c>
      <c r="D21" s="37">
        <v>0.2331</v>
      </c>
      <c r="E21" s="38">
        <f>'Dec 18'!$D21*$C$6*$C$2</f>
        <v>34403640.180940799</v>
      </c>
      <c r="F21" s="38">
        <v>311.09000072275199</v>
      </c>
      <c r="G21" s="39">
        <f>'Dec 18'!$E21/'Dec 18'!$F21</f>
        <v>110590.63326050724</v>
      </c>
      <c r="H21" s="36">
        <v>110688</v>
      </c>
      <c r="I21" s="36">
        <f>ROUND(Table13895845679910111213144562678910111213141516171819202134567891011121314151617181920212223345678910111213141516171819203456789101112131415[[#This Row],[Target Quantity]],0)</f>
        <v>110591</v>
      </c>
      <c r="J21" s="40">
        <f t="shared" si="0"/>
        <v>-97</v>
      </c>
      <c r="K21" s="41">
        <f>'Dec 18'!$F21*'Dec 18'!$I21</f>
        <v>34403754.269929864</v>
      </c>
      <c r="L21" s="42">
        <f>'Dec 18'!$K21/$K$2</f>
        <v>0.23312999829338446</v>
      </c>
      <c r="M21" s="36"/>
      <c r="O21" s="93"/>
    </row>
    <row r="22" spans="1:15" s="45" customFormat="1" ht="12.75" customHeight="1" x14ac:dyDescent="0.25">
      <c r="A22" s="36" t="s">
        <v>119</v>
      </c>
      <c r="B22" s="45" t="s">
        <v>11</v>
      </c>
      <c r="C22" s="36" t="s">
        <v>12</v>
      </c>
      <c r="D22" s="37">
        <v>2.7E-2</v>
      </c>
      <c r="E22" s="38">
        <f>'Dec 18'!$D22*$C$6*$C$2</f>
        <v>3984977.627136</v>
      </c>
      <c r="F22" s="38">
        <v>2.4674636985863199</v>
      </c>
      <c r="G22" s="39">
        <f>'Dec 18'!$E22/'Dec 18'!$F22</f>
        <v>1615009.6268565601</v>
      </c>
      <c r="H22" s="36">
        <v>1563300</v>
      </c>
      <c r="I22" s="36">
        <f>ROUND(Table13895845679910111213144562678910111213141516171819202134567891011121314151617181920212223345678910111213141516171819203456789101112131415[[#This Row],[Target Quantity]],-2)</f>
        <v>1615000</v>
      </c>
      <c r="J22" s="40">
        <f t="shared" si="0"/>
        <v>51700</v>
      </c>
      <c r="K22" s="41">
        <f>'Dec 18'!$F22*'Dec 18'!$I22</f>
        <v>3984953.8732169066</v>
      </c>
      <c r="L22" s="42">
        <f>'Dec 18'!$K22/$K$2</f>
        <v>2.7003224193885834E-2</v>
      </c>
      <c r="M22" s="36"/>
    </row>
    <row r="23" spans="1:15" s="45" customFormat="1" ht="12.75" customHeight="1" x14ac:dyDescent="0.25">
      <c r="A23" s="36"/>
      <c r="B23" s="36"/>
      <c r="C23" s="36"/>
      <c r="D23" s="37"/>
      <c r="E23" s="38"/>
      <c r="F23" s="38"/>
      <c r="G23" s="39"/>
      <c r="H23" s="36"/>
      <c r="I23" s="36"/>
      <c r="J23" s="46"/>
      <c r="K23" s="38"/>
      <c r="L23" s="47"/>
      <c r="M23" s="36"/>
      <c r="O23" s="91"/>
    </row>
    <row r="24" spans="1:15" s="54" customFormat="1" ht="12.75" customHeight="1" x14ac:dyDescent="0.25">
      <c r="A24" s="48" t="s">
        <v>136</v>
      </c>
      <c r="B24" s="48"/>
      <c r="C24" s="48"/>
      <c r="D24" s="49">
        <f>SUM(D9:D23)</f>
        <v>0.36000000000000004</v>
      </c>
      <c r="E24" s="50">
        <f>'Dec 18'!$D24*$C$6*$C$2</f>
        <v>53133035.028480008</v>
      </c>
      <c r="F24" s="51"/>
      <c r="G24" s="51"/>
      <c r="H24" s="48"/>
      <c r="I24" s="48"/>
      <c r="J24" s="52"/>
      <c r="K24" s="50">
        <f>SUM(K9:K23)</f>
        <v>53133176.474436514</v>
      </c>
      <c r="L24" s="53">
        <f>'Dec 18'!$K24/$K$2</f>
        <v>0.36004609391231801</v>
      </c>
      <c r="M24" s="48"/>
      <c r="O24" s="90"/>
    </row>
    <row r="25" spans="1:15" s="45" customFormat="1" ht="12.75" customHeight="1" x14ac:dyDescent="0.25">
      <c r="A25" s="36"/>
      <c r="B25" s="36"/>
      <c r="C25" s="36"/>
      <c r="D25" s="37"/>
      <c r="E25" s="38"/>
      <c r="F25" s="38"/>
      <c r="G25" s="39"/>
      <c r="H25" s="36"/>
      <c r="I25" s="36"/>
      <c r="J25" s="46"/>
      <c r="K25" s="38"/>
      <c r="L25" s="42"/>
      <c r="M25" s="36"/>
      <c r="O25" s="89"/>
    </row>
    <row r="26" spans="1:15" s="44" customFormat="1" ht="12.75" customHeight="1" x14ac:dyDescent="0.25">
      <c r="A26" s="55"/>
      <c r="B26" s="48" t="s">
        <v>31</v>
      </c>
      <c r="C26" s="55" t="s">
        <v>32</v>
      </c>
      <c r="D26" s="56">
        <v>0.04</v>
      </c>
      <c r="E26" s="57">
        <f>'Dec 18'!$D26*$C$6*$C$2</f>
        <v>5903670.5587200001</v>
      </c>
      <c r="F26" s="51">
        <v>17.929999059086299</v>
      </c>
      <c r="G26" s="58">
        <f>'Dec 18'!$E26/'Dec 18'!$F26</f>
        <v>329262.17894742306</v>
      </c>
      <c r="H26" s="55">
        <v>329467</v>
      </c>
      <c r="I26" s="55">
        <f>ROUND(Table13895845679910111213144562678910111213141516171819202134567891011121314151617181920212223345678910111213141516171819203456789101112131415[[#This Row],[Target Quantity]],0)</f>
        <v>329262</v>
      </c>
      <c r="J26" s="59">
        <f>I26-H26</f>
        <v>-205</v>
      </c>
      <c r="K26" s="60">
        <f>'Dec 18'!$F26*'Dec 18'!$I26</f>
        <v>5903667.3501928728</v>
      </c>
      <c r="L26" s="53">
        <f>'Dec 18'!$K26/$K$2</f>
        <v>4.0004993306155819E-2</v>
      </c>
      <c r="M26" s="48"/>
      <c r="O26" s="61"/>
    </row>
    <row r="27" spans="1:15" s="44" customFormat="1" ht="12.75" customHeight="1" x14ac:dyDescent="0.25">
      <c r="A27" s="36"/>
      <c r="B27" s="36"/>
      <c r="C27" s="36"/>
      <c r="D27" s="37"/>
      <c r="E27" s="38"/>
      <c r="F27" s="38"/>
      <c r="G27" s="39"/>
      <c r="H27" s="36"/>
      <c r="I27" s="36"/>
      <c r="J27" s="46"/>
      <c r="K27" s="41"/>
      <c r="L27" s="42"/>
      <c r="M27" s="36"/>
      <c r="O27" s="61"/>
    </row>
    <row r="28" spans="1:15" s="4" customFormat="1" ht="25.5" x14ac:dyDescent="0.2">
      <c r="A28" s="36" t="s">
        <v>137</v>
      </c>
      <c r="B28" s="62" t="s">
        <v>75</v>
      </c>
      <c r="C28" s="63" t="s">
        <v>76</v>
      </c>
      <c r="D28" s="37">
        <v>5.8000000000000003E-2</v>
      </c>
      <c r="E28" s="38">
        <f>'Dec 18'!$D28*$C$6*$C$2</f>
        <v>8560322.3101439998</v>
      </c>
      <c r="F28" s="38">
        <v>155834</v>
      </c>
      <c r="G28" s="39">
        <f>'Dec 18'!$E28/'Dec 18'!$F28</f>
        <v>54.932314579257415</v>
      </c>
      <c r="H28" s="36">
        <v>55</v>
      </c>
      <c r="I28" s="36">
        <f>ROUND(Table13895845679910111213144562678910111213141516171819202134567891011121314151617181920212223345678910111213141516171819203456789101112131415[[#This Row],[Target Quantity]],0)</f>
        <v>55</v>
      </c>
      <c r="J28" s="40">
        <f t="shared" ref="J28:J37" si="1">I28-H28</f>
        <v>0</v>
      </c>
      <c r="K28" s="41">
        <f>'Dec 18'!$F28*'Dec 18'!$I28</f>
        <v>8570870</v>
      </c>
      <c r="L28" s="42">
        <f>'Dec 18'!$K28/$K$2</f>
        <v>5.8078746080896637E-2</v>
      </c>
      <c r="M28" s="64"/>
    </row>
    <row r="29" spans="1:15" s="4" customFormat="1" ht="25.5" x14ac:dyDescent="0.2">
      <c r="A29" s="36" t="s">
        <v>137</v>
      </c>
      <c r="B29" s="62" t="s">
        <v>80</v>
      </c>
      <c r="C29" s="63" t="s">
        <v>81</v>
      </c>
      <c r="D29" s="37">
        <v>5.8000000000000003E-2</v>
      </c>
      <c r="E29" s="38">
        <f>'Dec 18'!$D29*$C$6*$C$2</f>
        <v>8560322.3101439998</v>
      </c>
      <c r="F29" s="38">
        <v>211437.5</v>
      </c>
      <c r="G29" s="39">
        <f>'Dec 18'!$E29/'Dec 18'!$F29</f>
        <v>40.486301200799289</v>
      </c>
      <c r="H29" s="36">
        <v>40</v>
      </c>
      <c r="I29" s="36">
        <f>ROUND(Table13895845679910111213144562678910111213141516171819202134567891011121314151617181920212223345678910111213141516171819203456789101112131415[[#This Row],[Target Quantity]],0)</f>
        <v>40</v>
      </c>
      <c r="J29" s="40">
        <f t="shared" si="1"/>
        <v>0</v>
      </c>
      <c r="K29" s="41">
        <f>'Dec 18'!$F29*'Dec 18'!$I29</f>
        <v>8457500</v>
      </c>
      <c r="L29" s="42">
        <f>'Dec 18'!$K29/$K$2</f>
        <v>5.7310517482960691E-2</v>
      </c>
      <c r="M29" s="64"/>
    </row>
    <row r="30" spans="1:15" s="4" customFormat="1" ht="25.5" x14ac:dyDescent="0.2">
      <c r="A30" s="36" t="s">
        <v>137</v>
      </c>
      <c r="B30" s="62" t="s">
        <v>82</v>
      </c>
      <c r="C30" s="63" t="s">
        <v>83</v>
      </c>
      <c r="D30" s="37">
        <v>5.8000000000000003E-2</v>
      </c>
      <c r="E30" s="38">
        <f>'Dec 18'!$D30*$C$6*$C$2</f>
        <v>8560322.3101439998</v>
      </c>
      <c r="F30" s="38">
        <v>172354.89795918399</v>
      </c>
      <c r="G30" s="39">
        <f>'Dec 18'!$E30/'Dec 18'!$F30</f>
        <v>49.666835184290505</v>
      </c>
      <c r="H30" s="36">
        <v>49</v>
      </c>
      <c r="I30" s="36">
        <f>ROUND(Table13895845679910111213144562678910111213141516171819202134567891011121314151617181920212223345678910111213141516171819203456789101112131415[[#This Row],[Target Quantity]],0)</f>
        <v>50</v>
      </c>
      <c r="J30" s="40">
        <f t="shared" si="1"/>
        <v>1</v>
      </c>
      <c r="K30" s="41">
        <f>'Dec 18'!$F30*'Dec 18'!$I30</f>
        <v>8617744.8979591988</v>
      </c>
      <c r="L30" s="42">
        <f>'Dec 18'!$K30/$K$2</f>
        <v>5.8396384231532483E-2</v>
      </c>
      <c r="M30" s="64"/>
    </row>
    <row r="31" spans="1:15" s="4" customFormat="1" ht="25.5" x14ac:dyDescent="0.2">
      <c r="A31" s="36" t="s">
        <v>137</v>
      </c>
      <c r="B31" s="62" t="s">
        <v>84</v>
      </c>
      <c r="C31" s="63" t="s">
        <v>85</v>
      </c>
      <c r="D31" s="37">
        <v>5.8000000000000003E-2</v>
      </c>
      <c r="E31" s="38">
        <f>'Dec 18'!$D31*$C$6*$C$2</f>
        <v>8560322.3101439998</v>
      </c>
      <c r="F31" s="38">
        <v>125987.367647059</v>
      </c>
      <c r="G31" s="39">
        <f>'Dec 18'!$E31/'Dec 18'!$F31</f>
        <v>67.945877987743074</v>
      </c>
      <c r="H31" s="36">
        <v>68</v>
      </c>
      <c r="I31" s="36">
        <f>ROUND(Table13895845679910111213144562678910111213141516171819202134567891011121314151617181920212223345678910111213141516171819203456789101112131415[[#This Row],[Target Quantity]],0)</f>
        <v>68</v>
      </c>
      <c r="J31" s="40">
        <f t="shared" si="1"/>
        <v>0</v>
      </c>
      <c r="K31" s="41">
        <f>'Dec 18'!$F31*'Dec 18'!$I31</f>
        <v>8567141.0000000112</v>
      </c>
      <c r="L31" s="42">
        <f>'Dec 18'!$K31/$K$2</f>
        <v>5.8053477275730417E-2</v>
      </c>
      <c r="M31" s="64"/>
    </row>
    <row r="32" spans="1:15" s="4" customFormat="1" ht="25.5" x14ac:dyDescent="0.2">
      <c r="A32" s="36" t="s">
        <v>137</v>
      </c>
      <c r="B32" s="62" t="s">
        <v>86</v>
      </c>
      <c r="C32" s="63" t="s">
        <v>87</v>
      </c>
      <c r="D32" s="37">
        <v>5.8000000000000003E-2</v>
      </c>
      <c r="E32" s="38">
        <f>'Dec 18'!$D32*$C$6*$C$2</f>
        <v>8560322.3101439998</v>
      </c>
      <c r="F32" s="38">
        <v>137775</v>
      </c>
      <c r="G32" s="39">
        <f>'Dec 18'!$E32/'Dec 18'!$F32</f>
        <v>62.132624279760478</v>
      </c>
      <c r="H32" s="36">
        <v>62</v>
      </c>
      <c r="I32" s="36">
        <f>ROUND(Table13895845679910111213144562678910111213141516171819202134567891011121314151617181920212223345678910111213141516171819203456789101112131415[[#This Row],[Target Quantity]],0)</f>
        <v>62</v>
      </c>
      <c r="J32" s="40">
        <f t="shared" si="1"/>
        <v>0</v>
      </c>
      <c r="K32" s="41">
        <f>'Dec 18'!$F32*'Dec 18'!$I32</f>
        <v>8542050</v>
      </c>
      <c r="L32" s="42">
        <f>'Dec 18'!$K32/$K$2</f>
        <v>5.7883453250407849E-2</v>
      </c>
      <c r="M32" s="64"/>
    </row>
    <row r="33" spans="1:16" s="4" customFormat="1" ht="25.5" x14ac:dyDescent="0.2">
      <c r="A33" s="36" t="s">
        <v>137</v>
      </c>
      <c r="B33" s="62" t="s">
        <v>92</v>
      </c>
      <c r="C33" s="63" t="s">
        <v>93</v>
      </c>
      <c r="D33" s="37">
        <v>5.8000000000000003E-2</v>
      </c>
      <c r="E33" s="38">
        <f>'Dec 18'!$D33*$C$6*$C$2</f>
        <v>8560322.3101439998</v>
      </c>
      <c r="F33" s="38">
        <v>220926.94871794901</v>
      </c>
      <c r="G33" s="39">
        <f>'Dec 18'!$E33/'Dec 18'!$F33</f>
        <v>38.747297963512423</v>
      </c>
      <c r="H33" s="36">
        <v>39</v>
      </c>
      <c r="I33" s="36">
        <f>ROUND(Table13895845679910111213144562678910111213141516171819202134567891011121314151617181920212223345678910111213141516171819203456789101112131415[[#This Row],[Target Quantity]],0)</f>
        <v>39</v>
      </c>
      <c r="J33" s="40">
        <f t="shared" si="1"/>
        <v>0</v>
      </c>
      <c r="K33" s="41">
        <f>'Dec 18'!$F33*'Dec 18'!$I33</f>
        <v>8616151.0000000112</v>
      </c>
      <c r="L33" s="42">
        <f>'Dec 18'!$K33/$K$2</f>
        <v>5.8385583508286126E-2</v>
      </c>
      <c r="M33" s="64"/>
    </row>
    <row r="34" spans="1:16" s="44" customFormat="1" ht="25.5" customHeight="1" x14ac:dyDescent="0.2">
      <c r="A34" s="36" t="s">
        <v>138</v>
      </c>
      <c r="B34" s="36" t="s">
        <v>54</v>
      </c>
      <c r="C34" s="36" t="s">
        <v>55</v>
      </c>
      <c r="D34" s="37">
        <v>5.8000000000000003E-2</v>
      </c>
      <c r="E34" s="38">
        <f>'Dec 18'!$D34*$C$6*$C$2</f>
        <v>8560322.3101439998</v>
      </c>
      <c r="F34" s="38">
        <v>116194.136986301</v>
      </c>
      <c r="G34" s="39">
        <f>'Dec 18'!$E34/'Dec 18'!$F34</f>
        <v>73.672583937287996</v>
      </c>
      <c r="H34" s="36">
        <v>73</v>
      </c>
      <c r="I34" s="36">
        <f>ROUND(Table13895845679910111213144562678910111213141516171819202134567891011121314151617181920212223345678910111213141516171819203456789101112131415[[#This Row],[Target Quantity]],0)</f>
        <v>74</v>
      </c>
      <c r="J34" s="40">
        <f t="shared" si="1"/>
        <v>1</v>
      </c>
      <c r="K34" s="41">
        <f>'Dec 18'!$F34*'Dec 18'!$I34</f>
        <v>8598366.1369862743</v>
      </c>
      <c r="L34" s="42">
        <f>'Dec 18'!$K34/$K$2</f>
        <v>5.8265068024670297E-2</v>
      </c>
      <c r="M34" s="43"/>
      <c r="O34" s="4"/>
    </row>
    <row r="35" spans="1:16" s="44" customFormat="1" ht="25.5" x14ac:dyDescent="0.2">
      <c r="A35" s="36" t="s">
        <v>138</v>
      </c>
      <c r="B35" s="36" t="s">
        <v>52</v>
      </c>
      <c r="C35" s="36" t="s">
        <v>53</v>
      </c>
      <c r="D35" s="37">
        <v>5.8000000000000003E-2</v>
      </c>
      <c r="E35" s="38">
        <f>'Dec 18'!$D35*$C$6*$C$2</f>
        <v>8560322.3101439998</v>
      </c>
      <c r="F35" s="38">
        <v>138701.64516129001</v>
      </c>
      <c r="G35" s="39">
        <f>'Dec 18'!$E35/'Dec 18'!$F35</f>
        <v>61.717525413556409</v>
      </c>
      <c r="H35" s="36">
        <v>62</v>
      </c>
      <c r="I35" s="36">
        <f>ROUND(Table13895845679910111213144562678910111213141516171819202134567891011121314151617181920212223345678910111213141516171819203456789101112131415[[#This Row],[Target Quantity]],0)</f>
        <v>62</v>
      </c>
      <c r="J35" s="40">
        <f t="shared" si="1"/>
        <v>0</v>
      </c>
      <c r="K35" s="41">
        <f>'Dec 18'!$F35*'Dec 18'!$I35</f>
        <v>8599501.9999999814</v>
      </c>
      <c r="L35" s="42">
        <f>'Dec 18'!$K35/$K$2</f>
        <v>5.8272764967869269E-2</v>
      </c>
      <c r="M35" s="43"/>
      <c r="O35" s="4"/>
    </row>
    <row r="36" spans="1:16" s="44" customFormat="1" ht="24.95" customHeight="1" x14ac:dyDescent="0.2">
      <c r="A36" s="36" t="s">
        <v>138</v>
      </c>
      <c r="B36" s="36" t="s">
        <v>48</v>
      </c>
      <c r="C36" s="36" t="s">
        <v>49</v>
      </c>
      <c r="D36" s="37">
        <v>5.8000000000000003E-2</v>
      </c>
      <c r="E36" s="38">
        <f>'Dec 18'!$D36*$C$6*$C$2</f>
        <v>8560322.3101439998</v>
      </c>
      <c r="F36" s="38">
        <v>185583.56521739101</v>
      </c>
      <c r="G36" s="39">
        <f>'Dec 18'!$E36/'Dec 18'!$F36</f>
        <v>46.126510718319864</v>
      </c>
      <c r="H36" s="36">
        <v>46</v>
      </c>
      <c r="I36" s="36">
        <f>ROUND(Table13895845679910111213144562678910111213141516171819202134567891011121314151617181920212223345678910111213141516171819203456789101112131415[[#This Row],[Target Quantity]],0)</f>
        <v>46</v>
      </c>
      <c r="J36" s="40">
        <f t="shared" si="1"/>
        <v>0</v>
      </c>
      <c r="K36" s="41">
        <f>'Dec 18'!$F36*'Dec 18'!$I36</f>
        <v>8536843.999999987</v>
      </c>
      <c r="L36" s="42">
        <f>'Dec 18'!$K36/$K$2</f>
        <v>5.7848175857086293E-2</v>
      </c>
      <c r="M36" s="43"/>
      <c r="O36" s="4"/>
    </row>
    <row r="37" spans="1:16" s="44" customFormat="1" ht="25.5" x14ac:dyDescent="0.2">
      <c r="A37" s="36" t="s">
        <v>138</v>
      </c>
      <c r="B37" s="36" t="s">
        <v>58</v>
      </c>
      <c r="C37" s="36" t="s">
        <v>59</v>
      </c>
      <c r="D37" s="37">
        <v>5.8000000000000003E-2</v>
      </c>
      <c r="E37" s="38">
        <f>'Dec 18'!$D37*$C$6*$C$2</f>
        <v>8560322.3101439998</v>
      </c>
      <c r="F37" s="38">
        <v>274326.19354838697</v>
      </c>
      <c r="G37" s="39">
        <f>'Dec 18'!$E37/'Dec 18'!$F37</f>
        <v>31.204903182656121</v>
      </c>
      <c r="H37" s="36">
        <v>31</v>
      </c>
      <c r="I37" s="36">
        <f>ROUND(Table13895845679910111213144562678910111213141516171819202134567891011121314151617181920212223345678910111213141516171819203456789101112131415[[#This Row],[Target Quantity]],0)</f>
        <v>31</v>
      </c>
      <c r="J37" s="40">
        <f t="shared" si="1"/>
        <v>0</v>
      </c>
      <c r="K37" s="41">
        <f>'Dec 18'!$F37*'Dec 18'!$I37</f>
        <v>8504111.9999999963</v>
      </c>
      <c r="L37" s="42">
        <f>'Dec 18'!$K37/$K$2</f>
        <v>5.7626374159391737E-2</v>
      </c>
      <c r="M37" s="43"/>
      <c r="O37" s="4"/>
    </row>
    <row r="38" spans="1:16" s="66" customFormat="1" ht="12.75" x14ac:dyDescent="0.2">
      <c r="A38" s="36"/>
      <c r="B38" s="63"/>
      <c r="C38" s="63"/>
      <c r="D38" s="37"/>
      <c r="E38" s="65"/>
      <c r="F38" s="38"/>
      <c r="G38" s="39"/>
      <c r="H38" s="36"/>
      <c r="I38" s="36"/>
      <c r="J38" s="46"/>
      <c r="K38" s="38"/>
      <c r="L38" s="47"/>
      <c r="M38" s="64"/>
    </row>
    <row r="39" spans="1:16" s="17" customFormat="1" ht="12.75" x14ac:dyDescent="0.2">
      <c r="A39" s="48" t="s">
        <v>142</v>
      </c>
      <c r="B39" s="67"/>
      <c r="C39" s="67"/>
      <c r="D39" s="56">
        <f>SUBTOTAL(9,D28:D38)</f>
        <v>0.58000000000000007</v>
      </c>
      <c r="E39" s="68">
        <f>'Dec 18'!$D39*$C$6*$C$2</f>
        <v>85603223.101440012</v>
      </c>
      <c r="F39" s="69"/>
      <c r="G39" s="70"/>
      <c r="H39" s="55"/>
      <c r="I39" s="55"/>
      <c r="J39" s="59"/>
      <c r="K39" s="68">
        <f>SUM(K28:K38)</f>
        <v>85610281.034945458</v>
      </c>
      <c r="L39" s="71">
        <f>'Dec 18'!$K39/$K$2</f>
        <v>0.5801205448388318</v>
      </c>
      <c r="M39" s="72"/>
    </row>
    <row r="40" spans="1:16" s="44" customFormat="1" ht="12.75" x14ac:dyDescent="0.25">
      <c r="A40" s="36"/>
      <c r="B40" s="36"/>
      <c r="C40" s="36"/>
      <c r="D40" s="37"/>
      <c r="E40" s="38"/>
      <c r="F40" s="38"/>
      <c r="G40" s="74"/>
      <c r="H40" s="36"/>
      <c r="I40" s="36"/>
      <c r="J40" s="40"/>
      <c r="K40" s="41"/>
      <c r="L40" s="42"/>
      <c r="M40" s="43"/>
    </row>
    <row r="41" spans="1:16" s="44" customFormat="1" ht="25.5" x14ac:dyDescent="0.25">
      <c r="A41" s="36" t="s">
        <v>154</v>
      </c>
      <c r="B41" s="36" t="s">
        <v>45</v>
      </c>
      <c r="C41" s="36" t="s">
        <v>46</v>
      </c>
      <c r="D41" s="37">
        <v>2E-3</v>
      </c>
      <c r="E41" s="38">
        <f>'Dec 18'!$D41*$C$6*$C$2</f>
        <v>295183.52793600003</v>
      </c>
      <c r="F41" s="38">
        <v>51564.833333333299</v>
      </c>
      <c r="G41" s="74">
        <f>'Dec 18'!$E41/'Dec 18'!$F41</f>
        <v>5.7245124022379636</v>
      </c>
      <c r="H41" s="36">
        <v>6</v>
      </c>
      <c r="I41" s="36">
        <v>6</v>
      </c>
      <c r="J41" s="40">
        <f t="shared" ref="J41:J50" si="2">I41-H41</f>
        <v>0</v>
      </c>
      <c r="K41" s="41">
        <f>'Dec 18'!$F41*'Dec 18'!$I41</f>
        <v>309388.99999999977</v>
      </c>
      <c r="L41" s="42">
        <f>'Dec 18'!$K41/$K$2</f>
        <v>2.0965112259575184E-3</v>
      </c>
      <c r="M41" s="43"/>
    </row>
    <row r="42" spans="1:16" s="44" customFormat="1" ht="25.5" x14ac:dyDescent="0.25">
      <c r="A42" s="36" t="s">
        <v>154</v>
      </c>
      <c r="B42" s="36" t="s">
        <v>156</v>
      </c>
      <c r="C42" s="36" t="s">
        <v>61</v>
      </c>
      <c r="D42" s="37">
        <v>2E-3</v>
      </c>
      <c r="E42" s="38">
        <f>'Dec 18'!$D42*$C$6*$C$2</f>
        <v>295183.52793600003</v>
      </c>
      <c r="F42" s="38">
        <v>90537.666666666701</v>
      </c>
      <c r="G42" s="74">
        <f>'Dec 18'!$E42/'Dec 18'!$F42</f>
        <v>3.2603394675807111</v>
      </c>
      <c r="H42" s="36">
        <v>3</v>
      </c>
      <c r="I42" s="36">
        <v>3</v>
      </c>
      <c r="J42" s="40">
        <f t="shared" si="2"/>
        <v>0</v>
      </c>
      <c r="K42" s="41">
        <f>'Dec 18'!$F42*'Dec 18'!$I42</f>
        <v>271613.00000000012</v>
      </c>
      <c r="L42" s="42">
        <f>'Dec 18'!$K42/$K$2</f>
        <v>1.8405298947797113E-3</v>
      </c>
      <c r="M42" s="43"/>
      <c r="P42" s="44" t="s">
        <v>157</v>
      </c>
    </row>
    <row r="43" spans="1:16" s="44" customFormat="1" ht="25.5" x14ac:dyDescent="0.25">
      <c r="A43" s="36" t="s">
        <v>154</v>
      </c>
      <c r="B43" s="36" t="s">
        <v>68</v>
      </c>
      <c r="C43" s="36" t="s">
        <v>69</v>
      </c>
      <c r="D43" s="37">
        <v>2E-3</v>
      </c>
      <c r="E43" s="38">
        <f>'Dec 18'!$D43*$C$6*$C$2</f>
        <v>295183.52793600003</v>
      </c>
      <c r="F43" s="38">
        <v>105240</v>
      </c>
      <c r="G43" s="74">
        <f>'Dec 18'!$E43/'Dec 18'!$F43</f>
        <v>2.8048605847206387</v>
      </c>
      <c r="H43" s="36">
        <v>3</v>
      </c>
      <c r="I43" s="36">
        <v>3</v>
      </c>
      <c r="J43" s="40">
        <f t="shared" si="2"/>
        <v>0</v>
      </c>
      <c r="K43" s="41">
        <f>'Dec 18'!$F43*'Dec 18'!$I43</f>
        <v>315720</v>
      </c>
      <c r="L43" s="42">
        <f>'Dec 18'!$K43/$K$2</f>
        <v>2.1394119514892519E-3</v>
      </c>
      <c r="M43" s="43"/>
    </row>
    <row r="44" spans="1:16" s="44" customFormat="1" ht="25.5" x14ac:dyDescent="0.25">
      <c r="A44" s="36" t="s">
        <v>154</v>
      </c>
      <c r="B44" s="36" t="s">
        <v>70</v>
      </c>
      <c r="C44" s="36" t="s">
        <v>71</v>
      </c>
      <c r="D44" s="37">
        <v>2E-3</v>
      </c>
      <c r="E44" s="38">
        <f>'Dec 18'!$D44*$C$6*$C$2</f>
        <v>295183.52793600003</v>
      </c>
      <c r="F44" s="38">
        <v>234256</v>
      </c>
      <c r="G44" s="74">
        <f>'Dec 18'!$E44/'Dec 18'!$F44</f>
        <v>1.2600895086401203</v>
      </c>
      <c r="H44" s="36">
        <v>1</v>
      </c>
      <c r="I44" s="36">
        <v>1</v>
      </c>
      <c r="J44" s="40">
        <f t="shared" si="2"/>
        <v>0</v>
      </c>
      <c r="K44" s="41">
        <f>'Dec 18'!$F44*'Dec 18'!$I44</f>
        <v>234256</v>
      </c>
      <c r="L44" s="42">
        <f>'Dec 18'!$K44/$K$2</f>
        <v>1.5873878313317695E-3</v>
      </c>
      <c r="M44" s="43"/>
    </row>
    <row r="45" spans="1:16" s="44" customFormat="1" ht="25.5" x14ac:dyDescent="0.25">
      <c r="A45" s="36" t="s">
        <v>154</v>
      </c>
      <c r="B45" s="36" t="s">
        <v>159</v>
      </c>
      <c r="C45" s="36" t="s">
        <v>73</v>
      </c>
      <c r="D45" s="37">
        <v>2E-3</v>
      </c>
      <c r="E45" s="38">
        <f>'Dec 18'!$D45*$C$6*$C$2</f>
        <v>295183.52793600003</v>
      </c>
      <c r="F45" s="38">
        <v>15516.733333333301</v>
      </c>
      <c r="G45" s="74">
        <f>'Dec 18'!$E45/'Dec 18'!$F45</f>
        <v>19.023561312475607</v>
      </c>
      <c r="H45" s="36">
        <v>19</v>
      </c>
      <c r="I45" s="36">
        <v>19</v>
      </c>
      <c r="J45" s="40">
        <f t="shared" si="2"/>
        <v>0</v>
      </c>
      <c r="K45" s="41">
        <f>'Dec 18'!$F45*'Dec 18'!$I45</f>
        <v>294817.93333333271</v>
      </c>
      <c r="L45" s="42">
        <f>'Dec 18'!$K45/$K$2</f>
        <v>1.9977733754171214E-3</v>
      </c>
      <c r="M45" s="43"/>
    </row>
    <row r="46" spans="1:16" s="4" customFormat="1" ht="25.5" x14ac:dyDescent="0.2">
      <c r="A46" s="36" t="s">
        <v>154</v>
      </c>
      <c r="B46" s="63" t="s">
        <v>90</v>
      </c>
      <c r="C46" s="63" t="s">
        <v>91</v>
      </c>
      <c r="D46" s="37">
        <v>2E-3</v>
      </c>
      <c r="E46" s="38">
        <f>'Dec 18'!$D46*$C$6*$C$2</f>
        <v>295183.52793600003</v>
      </c>
      <c r="F46" s="38">
        <v>71063.25</v>
      </c>
      <c r="G46" s="74">
        <f>'Dec 18'!$E46/'Dec 18'!$F46</f>
        <v>4.1538140731812865</v>
      </c>
      <c r="H46" s="36">
        <v>4</v>
      </c>
      <c r="I46" s="36">
        <v>4</v>
      </c>
      <c r="J46" s="40">
        <f t="shared" si="2"/>
        <v>0</v>
      </c>
      <c r="K46" s="41">
        <f>'Dec 18'!$F46*'Dec 18'!$I46</f>
        <v>284253</v>
      </c>
      <c r="L46" s="42">
        <f>'Dec 18'!$K46/$K$2</f>
        <v>1.9261822673466184E-3</v>
      </c>
      <c r="M46" s="64"/>
    </row>
    <row r="47" spans="1:16" s="44" customFormat="1" ht="25.5" x14ac:dyDescent="0.25">
      <c r="A47" s="36" t="s">
        <v>154</v>
      </c>
      <c r="B47" s="36" t="s">
        <v>66</v>
      </c>
      <c r="C47" s="36" t="s">
        <v>67</v>
      </c>
      <c r="D47" s="37">
        <v>2E-3</v>
      </c>
      <c r="E47" s="38">
        <f>'Dec 18'!$D47*$C$6*$C$2</f>
        <v>295183.52793600003</v>
      </c>
      <c r="F47" s="38">
        <v>26780</v>
      </c>
      <c r="G47" s="74">
        <f>'Dec 18'!$E47/'Dec 18'!$F47</f>
        <v>11.022536517401047</v>
      </c>
      <c r="H47" s="36">
        <v>11</v>
      </c>
      <c r="I47" s="36">
        <v>11</v>
      </c>
      <c r="J47" s="40">
        <f t="shared" si="2"/>
        <v>0</v>
      </c>
      <c r="K47" s="41">
        <f>'Dec 18'!$F47*'Dec 18'!$I47</f>
        <v>294580</v>
      </c>
      <c r="L47" s="42">
        <f>'Dec 18'!$K47/$K$2</f>
        <v>1.9961610688892179E-3</v>
      </c>
      <c r="M47" s="43"/>
    </row>
    <row r="48" spans="1:16" s="44" customFormat="1" ht="25.5" x14ac:dyDescent="0.25">
      <c r="A48" s="36" t="s">
        <v>154</v>
      </c>
      <c r="B48" s="36" t="s">
        <v>77</v>
      </c>
      <c r="C48" s="36" t="s">
        <v>78</v>
      </c>
      <c r="D48" s="37">
        <v>2E-3</v>
      </c>
      <c r="E48" s="38">
        <f>'Dec 18'!$D48*$C$6*$C$2</f>
        <v>295183.52793600003</v>
      </c>
      <c r="F48" s="38">
        <v>7940</v>
      </c>
      <c r="G48" s="74">
        <f>'Dec 18'!$E48/'Dec 18'!$F48</f>
        <v>37.176766742569271</v>
      </c>
      <c r="H48" s="36">
        <v>38</v>
      </c>
      <c r="I48" s="36">
        <v>38</v>
      </c>
      <c r="J48" s="40">
        <f t="shared" si="2"/>
        <v>0</v>
      </c>
      <c r="K48" s="41">
        <f>'Dec 18'!$F48*'Dec 18'!$I48</f>
        <v>301720</v>
      </c>
      <c r="L48" s="42">
        <f>'Dec 18'!$K48/$K$2</f>
        <v>2.0445438173170441E-3</v>
      </c>
      <c r="M48" s="43"/>
    </row>
    <row r="49" spans="1:13" s="44" customFormat="1" ht="25.5" x14ac:dyDescent="0.25">
      <c r="A49" s="36" t="s">
        <v>154</v>
      </c>
      <c r="B49" s="36" t="s">
        <v>63</v>
      </c>
      <c r="C49" s="36" t="s">
        <v>64</v>
      </c>
      <c r="D49" s="37">
        <v>2E-3</v>
      </c>
      <c r="E49" s="38">
        <f>'Dec 18'!$D49*$C$6*$C$2</f>
        <v>295183.52793600003</v>
      </c>
      <c r="F49" s="38">
        <v>28662.5454545455</v>
      </c>
      <c r="G49" s="74">
        <f>'Dec 18'!$E49/'Dec 18'!$F49</f>
        <v>10.298580368729528</v>
      </c>
      <c r="H49" s="36">
        <v>11</v>
      </c>
      <c r="I49" s="36">
        <v>11</v>
      </c>
      <c r="J49" s="40">
        <f t="shared" si="2"/>
        <v>0</v>
      </c>
      <c r="K49" s="41">
        <f>'Dec 18'!$F49*'Dec 18'!$I49</f>
        <v>315288.00000000047</v>
      </c>
      <c r="L49" s="42">
        <f>'Dec 18'!$K49/$K$2</f>
        <v>2.1364845919205127E-3</v>
      </c>
      <c r="M49" s="43"/>
    </row>
    <row r="50" spans="1:13" s="44" customFormat="1" ht="25.5" x14ac:dyDescent="0.25">
      <c r="A50" s="36" t="s">
        <v>154</v>
      </c>
      <c r="B50" s="36" t="s">
        <v>88</v>
      </c>
      <c r="C50" s="36" t="s">
        <v>89</v>
      </c>
      <c r="D50" s="37">
        <v>2E-3</v>
      </c>
      <c r="E50" s="38">
        <f>'Dec 18'!$D50*$C$6*$C$2</f>
        <v>295183.52793600003</v>
      </c>
      <c r="F50" s="38">
        <v>60900</v>
      </c>
      <c r="G50" s="74">
        <f>'Dec 18'!$E50/'Dec 18'!$F50</f>
        <v>4.8470201631527097</v>
      </c>
      <c r="H50" s="36">
        <v>5</v>
      </c>
      <c r="I50" s="36">
        <v>5</v>
      </c>
      <c r="J50" s="40">
        <f t="shared" si="2"/>
        <v>0</v>
      </c>
      <c r="K50" s="41">
        <f>'Dec 18'!$F50*'Dec 18'!$I50</f>
        <v>304500</v>
      </c>
      <c r="L50" s="42">
        <f>'Dec 18'!$K50/$K$2</f>
        <v>2.0633819182455252E-3</v>
      </c>
      <c r="M50" s="43"/>
    </row>
    <row r="51" spans="1:13" s="44" customFormat="1" ht="12.75" x14ac:dyDescent="0.25">
      <c r="A51" s="36"/>
      <c r="B51" s="36"/>
      <c r="C51" s="36"/>
      <c r="D51" s="37"/>
      <c r="E51" s="38"/>
      <c r="F51" s="38"/>
      <c r="G51" s="39"/>
      <c r="H51" s="36"/>
      <c r="I51" s="36"/>
      <c r="J51" s="43"/>
      <c r="K51" s="41"/>
      <c r="L51" s="42"/>
      <c r="M51" s="43"/>
    </row>
    <row r="52" spans="1:13" s="17" customFormat="1" ht="12.75" x14ac:dyDescent="0.2">
      <c r="A52" s="48" t="s">
        <v>164</v>
      </c>
      <c r="B52" s="67"/>
      <c r="C52" s="67"/>
      <c r="D52" s="75">
        <f>SUM(D41:D51)</f>
        <v>2.0000000000000004E-2</v>
      </c>
      <c r="E52" s="50">
        <f>SUM(E40:E51)</f>
        <v>2951835.2793599996</v>
      </c>
      <c r="F52" s="70"/>
      <c r="G52" s="70"/>
      <c r="H52" s="67"/>
      <c r="I52" s="67"/>
      <c r="J52" s="48"/>
      <c r="K52" s="50">
        <f>SUM(K40:K51)</f>
        <v>2926136.9333333331</v>
      </c>
      <c r="L52" s="53">
        <f>'Dec 18'!$K52/$K$2</f>
        <v>1.982836794269429E-2</v>
      </c>
      <c r="M52" s="60"/>
    </row>
    <row r="53" spans="1:13" s="4" customFormat="1" ht="12.75" x14ac:dyDescent="0.2">
      <c r="A53" s="36"/>
      <c r="B53" s="63"/>
      <c r="C53" s="63"/>
      <c r="D53" s="76"/>
      <c r="E53" s="38"/>
      <c r="F53" s="38"/>
      <c r="G53" s="39"/>
      <c r="H53" s="63"/>
      <c r="I53" s="63"/>
      <c r="J53" s="36"/>
      <c r="K53" s="36"/>
      <c r="L53" s="42"/>
      <c r="M53" s="64"/>
    </row>
    <row r="54" spans="1:13" s="44" customFormat="1" ht="25.5" x14ac:dyDescent="0.25">
      <c r="A54" s="48" t="s">
        <v>165</v>
      </c>
      <c r="B54" s="55" t="s">
        <v>166</v>
      </c>
      <c r="C54" s="55" t="s">
        <v>167</v>
      </c>
      <c r="D54" s="56">
        <v>0</v>
      </c>
      <c r="E54" s="57">
        <f>'Dec 18'!$D54*$C$6*$C$2</f>
        <v>0</v>
      </c>
      <c r="F54" s="57">
        <v>0</v>
      </c>
      <c r="G54" s="58" t="s">
        <v>168</v>
      </c>
      <c r="H54" s="55">
        <v>0</v>
      </c>
      <c r="I54" s="55">
        <v>0</v>
      </c>
      <c r="J54" s="77">
        <f>I54-H54</f>
        <v>0</v>
      </c>
      <c r="K54" s="57">
        <f>'Dec 18'!$F54*'Dec 18'!$I54</f>
        <v>0</v>
      </c>
      <c r="L54" s="78">
        <f>'Dec 18'!$K54/$K$2</f>
        <v>0</v>
      </c>
      <c r="M54" s="55"/>
    </row>
    <row r="55" spans="1:13" s="4" customFormat="1" ht="12.75" x14ac:dyDescent="0.2">
      <c r="A55" s="36"/>
      <c r="B55" s="63"/>
      <c r="C55" s="63"/>
      <c r="D55" s="76"/>
      <c r="E55" s="38"/>
      <c r="F55" s="38"/>
      <c r="G55" s="39"/>
      <c r="H55" s="63"/>
      <c r="I55" s="63"/>
      <c r="J55" s="36"/>
      <c r="K55" s="36"/>
      <c r="L55" s="42"/>
      <c r="M55" s="64"/>
    </row>
    <row r="56" spans="1:13" s="4" customFormat="1" ht="12.75" x14ac:dyDescent="0.2">
      <c r="A56" s="36"/>
      <c r="B56" s="63"/>
      <c r="C56" s="63"/>
      <c r="D56" s="79"/>
      <c r="E56" s="65"/>
      <c r="F56" s="38"/>
      <c r="G56" s="39"/>
      <c r="H56" s="63"/>
      <c r="I56" s="63"/>
      <c r="J56" s="36"/>
      <c r="K56" s="36"/>
      <c r="L56" s="42"/>
      <c r="M56" s="64"/>
    </row>
    <row r="57" spans="1:13" s="17" customFormat="1" ht="12.75" x14ac:dyDescent="0.2">
      <c r="A57" s="48" t="s">
        <v>169</v>
      </c>
      <c r="B57" s="67"/>
      <c r="C57" s="67"/>
      <c r="D57" s="67"/>
      <c r="E57" s="80"/>
      <c r="F57" s="80"/>
      <c r="G57" s="48"/>
      <c r="H57" s="67"/>
      <c r="I57" s="67"/>
      <c r="J57" s="67"/>
      <c r="K57" s="80">
        <f>SUM(K24,K26,K39,K52,K54:K54)</f>
        <v>147573261.79290819</v>
      </c>
      <c r="L57" s="53">
        <f>'Dec 18'!$K57/$K$2</f>
        <v>1</v>
      </c>
      <c r="M57" s="67"/>
    </row>
    <row r="58" spans="1:13" s="4" customFormat="1" ht="12.75" x14ac:dyDescent="0.2">
      <c r="A58" s="64"/>
      <c r="B58" s="64"/>
      <c r="C58" s="64"/>
      <c r="D58" s="81"/>
      <c r="E58" s="82"/>
      <c r="F58" s="38"/>
      <c r="G58" s="83"/>
      <c r="H58" s="64"/>
      <c r="I58" s="64"/>
      <c r="J58" s="64"/>
      <c r="K58" s="64"/>
      <c r="L58" s="42"/>
      <c r="M58" s="64"/>
    </row>
    <row r="59" spans="1:13" s="4" customFormat="1" ht="12.75" x14ac:dyDescent="0.2">
      <c r="A59" s="64"/>
      <c r="B59" s="64"/>
      <c r="C59" s="64"/>
      <c r="D59" s="81"/>
      <c r="E59" s="82"/>
      <c r="F59" s="38"/>
      <c r="G59" s="83"/>
      <c r="H59" s="64"/>
      <c r="I59" s="64"/>
      <c r="J59" s="64"/>
      <c r="K59" s="64"/>
      <c r="L59" s="42"/>
      <c r="M59" s="64"/>
    </row>
    <row r="60" spans="1:13" s="4" customFormat="1" ht="12.75" x14ac:dyDescent="0.2">
      <c r="A60" s="64"/>
      <c r="B60" s="64"/>
      <c r="C60" s="64"/>
      <c r="D60" s="81"/>
      <c r="E60" s="82"/>
      <c r="F60" s="38"/>
      <c r="G60" s="83"/>
      <c r="H60" s="64"/>
      <c r="I60" s="64"/>
      <c r="J60" s="64"/>
      <c r="K60" s="64"/>
      <c r="L60" s="42"/>
      <c r="M60" s="64"/>
    </row>
    <row r="61" spans="1:13" s="4" customFormat="1" ht="12.75" x14ac:dyDescent="0.2">
      <c r="A61" s="64"/>
      <c r="B61" s="64"/>
      <c r="C61" s="64"/>
      <c r="D61" s="81"/>
      <c r="E61" s="82"/>
      <c r="F61" s="38"/>
      <c r="G61" s="83"/>
      <c r="H61" s="64"/>
      <c r="I61" s="64"/>
      <c r="J61" s="64"/>
      <c r="K61" s="64"/>
      <c r="L61" s="42"/>
      <c r="M61" s="64"/>
    </row>
    <row r="62" spans="1:13" s="4" customFormat="1" ht="12.75" x14ac:dyDescent="0.2">
      <c r="A62" s="64"/>
      <c r="B62" s="64"/>
      <c r="C62" s="64"/>
      <c r="D62" s="81"/>
      <c r="E62" s="82"/>
      <c r="F62" s="38"/>
      <c r="G62" s="83"/>
      <c r="H62" s="64"/>
      <c r="I62" s="64"/>
      <c r="J62" s="64"/>
      <c r="K62" s="64"/>
      <c r="L62" s="42"/>
      <c r="M62" s="64"/>
    </row>
    <row r="63" spans="1:13" s="4" customFormat="1" ht="12.75" x14ac:dyDescent="0.2">
      <c r="A63" s="64"/>
      <c r="B63" s="64"/>
      <c r="C63" s="64"/>
      <c r="D63" s="81"/>
      <c r="E63" s="82"/>
      <c r="F63" s="38"/>
      <c r="G63" s="83"/>
      <c r="H63" s="64"/>
      <c r="I63" s="64"/>
      <c r="J63" s="64"/>
      <c r="K63" s="64"/>
      <c r="L63" s="42"/>
      <c r="M63" s="64"/>
    </row>
    <row r="64" spans="1:13" s="4" customFormat="1" ht="12.75" x14ac:dyDescent="0.2">
      <c r="A64" s="64"/>
      <c r="B64" s="64"/>
      <c r="C64" s="64"/>
      <c r="D64" s="81"/>
      <c r="E64" s="82"/>
      <c r="F64" s="38"/>
      <c r="G64" s="83"/>
      <c r="H64" s="64"/>
      <c r="I64" s="64"/>
      <c r="J64" s="64"/>
      <c r="K64" s="64"/>
      <c r="L64" s="42"/>
      <c r="M64" s="64"/>
    </row>
    <row r="65" spans="1:13" s="4" customFormat="1" ht="12.75" x14ac:dyDescent="0.2">
      <c r="A65" s="64"/>
      <c r="B65" s="64"/>
      <c r="C65" s="64"/>
      <c r="D65" s="81"/>
      <c r="E65" s="82"/>
      <c r="F65" s="38"/>
      <c r="G65" s="83"/>
      <c r="H65" s="64"/>
      <c r="I65" s="64"/>
      <c r="J65" s="64"/>
      <c r="K65" s="64"/>
      <c r="L65" s="42"/>
      <c r="M65" s="64"/>
    </row>
    <row r="66" spans="1:13" s="4" customFormat="1" ht="12.75" x14ac:dyDescent="0.2">
      <c r="A66" s="64"/>
      <c r="B66" s="64"/>
      <c r="C66" s="64"/>
      <c r="D66" s="81"/>
      <c r="E66" s="82"/>
      <c r="F66" s="38"/>
      <c r="G66" s="83"/>
      <c r="H66" s="64"/>
      <c r="I66" s="64"/>
      <c r="J66" s="64"/>
      <c r="K66" s="64"/>
      <c r="L66" s="42"/>
      <c r="M66" s="64"/>
    </row>
    <row r="67" spans="1:13" s="4" customFormat="1" ht="12.75" x14ac:dyDescent="0.2"/>
    <row r="68" spans="1:13" s="4" customFormat="1" ht="12.75" x14ac:dyDescent="0.2"/>
    <row r="70" spans="1:13" s="4" customFormat="1" ht="12.75" x14ac:dyDescent="0.2">
      <c r="A70" s="84"/>
      <c r="B70" s="84"/>
      <c r="E70" s="84"/>
      <c r="F70" s="84"/>
      <c r="G70" s="84"/>
      <c r="H70" s="85"/>
      <c r="M70" s="84"/>
    </row>
    <row r="71" spans="1:13" s="4" customFormat="1" ht="12.75" x14ac:dyDescent="0.2">
      <c r="A71" s="84"/>
      <c r="B71" s="84"/>
      <c r="E71" s="84"/>
      <c r="F71" s="84"/>
      <c r="G71" s="84"/>
      <c r="H71" s="85"/>
      <c r="M71" s="84"/>
    </row>
    <row r="72" spans="1:13" s="4" customFormat="1" ht="12.75" x14ac:dyDescent="0.2">
      <c r="A72" s="86"/>
      <c r="B72" s="86"/>
    </row>
    <row r="73" spans="1:13" s="4" customFormat="1" ht="12.75" x14ac:dyDescent="0.2">
      <c r="A73" s="87"/>
      <c r="B73" s="87"/>
      <c r="E73" s="87"/>
      <c r="F73" s="86"/>
      <c r="G73" s="86"/>
      <c r="M73" s="88"/>
    </row>
    <row r="74" spans="1:13" s="4" customFormat="1" ht="12.75" x14ac:dyDescent="0.2"/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MH74"/>
  <sheetViews>
    <sheetView zoomScale="140" zoomScaleNormal="140" workbookViewId="0">
      <pane xSplit="2" topLeftCell="C1" activePane="topRight" state="frozen"/>
      <selection pane="topRight" activeCell="O28" sqref="O28"/>
    </sheetView>
  </sheetViews>
  <sheetFormatPr defaultColWidth="9.140625" defaultRowHeight="15" x14ac:dyDescent="0.25"/>
  <cols>
    <col min="1" max="2" width="15.140625" style="4" customWidth="1"/>
    <col min="3" max="3" width="29.28515625" style="4" customWidth="1"/>
    <col min="4" max="4" width="14.85546875" style="4" customWidth="1"/>
    <col min="5" max="5" width="27.42578125" style="4" customWidth="1"/>
    <col min="6" max="7" width="13.7109375" style="4" customWidth="1"/>
    <col min="8" max="8" width="16.42578125" style="4" customWidth="1"/>
    <col min="9" max="9" width="15.42578125" style="4" customWidth="1"/>
    <col min="10" max="10" width="13.42578125" customWidth="1"/>
    <col min="11" max="11" width="23.42578125" customWidth="1"/>
    <col min="12" max="12" width="13.42578125" customWidth="1"/>
    <col min="13" max="13" width="22.42578125" style="4" customWidth="1"/>
    <col min="14" max="16" width="10.85546875" style="4" customWidth="1"/>
    <col min="17" max="17" width="11.28515625" style="4" customWidth="1"/>
    <col min="18" max="1022" width="9.140625" style="4"/>
  </cols>
  <sheetData>
    <row r="1" spans="1:17" s="4" customFormat="1" ht="25.5" x14ac:dyDescent="0.2">
      <c r="A1" s="5"/>
      <c r="B1" s="5" t="s">
        <v>95</v>
      </c>
      <c r="C1" s="6">
        <v>44187</v>
      </c>
      <c r="D1" s="7"/>
      <c r="E1" s="8" t="s">
        <v>96</v>
      </c>
      <c r="F1" s="9"/>
      <c r="G1" s="10"/>
      <c r="K1" s="11" t="s">
        <v>97</v>
      </c>
      <c r="L1" s="11" t="s">
        <v>98</v>
      </c>
      <c r="M1" s="12" t="s">
        <v>99</v>
      </c>
    </row>
    <row r="2" spans="1:17" x14ac:dyDescent="0.25">
      <c r="A2" s="5"/>
      <c r="B2" s="5" t="s">
        <v>100</v>
      </c>
      <c r="C2" s="13">
        <v>4.95</v>
      </c>
      <c r="D2" s="14"/>
      <c r="E2" s="15">
        <f>SUM(E24,E39,E52,E26,E54)</f>
        <v>142206106.79989976</v>
      </c>
      <c r="F2" s="16"/>
      <c r="G2" s="17"/>
      <c r="H2" s="14"/>
      <c r="I2" s="14"/>
      <c r="J2" s="14"/>
      <c r="K2" s="15">
        <f>SUM(K24,K39,K52,K26,K54:K54)</f>
        <v>142223220.551422</v>
      </c>
      <c r="L2" s="18">
        <f>SUM(L52,L39,L24,L26,L54)</f>
        <v>0.99999999999999989</v>
      </c>
      <c r="M2" s="19">
        <f>K2/$C$6</f>
        <v>4.9505808544869749</v>
      </c>
      <c r="N2" s="20"/>
    </row>
    <row r="3" spans="1:17" ht="26.25" x14ac:dyDescent="0.25">
      <c r="A3" s="5"/>
      <c r="B3" s="5" t="s">
        <v>101</v>
      </c>
      <c r="C3" s="21">
        <v>28728592.609999999</v>
      </c>
      <c r="D3" s="22"/>
      <c r="E3" s="8" t="s">
        <v>170</v>
      </c>
      <c r="F3" s="16"/>
      <c r="H3" s="14"/>
      <c r="I3" s="14"/>
      <c r="J3" s="14"/>
      <c r="K3" s="8" t="s">
        <v>102</v>
      </c>
      <c r="L3" s="14"/>
      <c r="M3" s="12" t="s">
        <v>171</v>
      </c>
      <c r="N3" s="23"/>
    </row>
    <row r="4" spans="1:17" x14ac:dyDescent="0.25">
      <c r="A4" s="5"/>
      <c r="B4" s="5" t="s">
        <v>104</v>
      </c>
      <c r="C4" s="21">
        <v>0</v>
      </c>
      <c r="D4" s="22"/>
      <c r="E4" s="15">
        <f>SUM(E24,E52,E26)</f>
        <v>61148382.750784732</v>
      </c>
      <c r="F4" s="16"/>
      <c r="G4" s="17"/>
      <c r="H4" s="14"/>
      <c r="I4" s="14"/>
      <c r="J4" s="14"/>
      <c r="K4" s="15">
        <f>SUM(K24,K26,K52)</f>
        <v>61139755.120637774</v>
      </c>
      <c r="L4" s="14"/>
      <c r="M4" s="19">
        <f>K4/$C$6</f>
        <v>2.1281848349005417</v>
      </c>
      <c r="N4" s="23"/>
    </row>
    <row r="5" spans="1:17" x14ac:dyDescent="0.25">
      <c r="A5" s="5"/>
      <c r="B5" s="5" t="s">
        <v>105</v>
      </c>
      <c r="C5" s="21">
        <v>0</v>
      </c>
      <c r="D5" s="22"/>
      <c r="E5" s="16"/>
      <c r="F5" s="16"/>
      <c r="G5" s="24">
        <f>SUM(D24,D26,D39,D52,D54:D54)</f>
        <v>0.99999700000000002</v>
      </c>
      <c r="H5" s="14"/>
      <c r="I5" s="14"/>
      <c r="J5" s="14"/>
      <c r="K5" s="14"/>
      <c r="L5" s="14"/>
      <c r="M5" s="14"/>
      <c r="N5" s="23"/>
    </row>
    <row r="6" spans="1:17" x14ac:dyDescent="0.25">
      <c r="A6" s="5"/>
      <c r="B6" s="5" t="s">
        <v>106</v>
      </c>
      <c r="C6" s="21">
        <f>C3+C4-C5</f>
        <v>28728592.609999999</v>
      </c>
      <c r="D6" s="22"/>
      <c r="E6" s="16"/>
      <c r="F6" s="16"/>
      <c r="G6" s="17"/>
      <c r="H6" s="14"/>
      <c r="I6" s="14"/>
      <c r="J6" s="14"/>
      <c r="K6" s="14"/>
      <c r="L6" s="14"/>
      <c r="M6" s="14"/>
      <c r="N6" s="23"/>
    </row>
    <row r="7" spans="1:17" x14ac:dyDescent="0.25">
      <c r="A7" s="25"/>
      <c r="B7" s="26"/>
      <c r="C7" s="26"/>
      <c r="D7" s="27"/>
      <c r="E7" s="28"/>
      <c r="F7" s="28"/>
      <c r="G7" s="28"/>
      <c r="H7" s="29"/>
      <c r="I7" s="29"/>
      <c r="J7" s="29"/>
      <c r="K7" s="14"/>
      <c r="L7" s="14"/>
      <c r="M7" s="14"/>
      <c r="N7" s="23"/>
    </row>
    <row r="8" spans="1:17" s="34" customFormat="1" ht="38.25" x14ac:dyDescent="0.2">
      <c r="A8" s="30" t="s">
        <v>107</v>
      </c>
      <c r="B8" s="30" t="s">
        <v>108</v>
      </c>
      <c r="C8" s="31" t="s">
        <v>1</v>
      </c>
      <c r="D8" s="31" t="s">
        <v>109</v>
      </c>
      <c r="E8" s="31" t="s">
        <v>110</v>
      </c>
      <c r="F8" s="31" t="s">
        <v>111</v>
      </c>
      <c r="G8" s="31" t="s">
        <v>112</v>
      </c>
      <c r="H8" s="31" t="s">
        <v>113</v>
      </c>
      <c r="I8" s="31" t="s">
        <v>114</v>
      </c>
      <c r="J8" s="31" t="s">
        <v>115</v>
      </c>
      <c r="K8" s="32" t="s">
        <v>116</v>
      </c>
      <c r="L8" s="32" t="s">
        <v>117</v>
      </c>
      <c r="M8" s="32" t="s">
        <v>118</v>
      </c>
      <c r="N8" s="33"/>
      <c r="Q8" s="35"/>
    </row>
    <row r="9" spans="1:17" s="45" customFormat="1" ht="12.75" customHeight="1" x14ac:dyDescent="0.25">
      <c r="A9" s="36" t="s">
        <v>119</v>
      </c>
      <c r="B9" s="36" t="s">
        <v>43</v>
      </c>
      <c r="C9" s="36" t="s">
        <v>44</v>
      </c>
      <c r="D9" s="37">
        <v>8.5559999999999994E-3</v>
      </c>
      <c r="E9" s="38">
        <f>'Dec 22'!$D9*$C$6*$C$2</f>
        <v>1216719.099937242</v>
      </c>
      <c r="F9" s="38">
        <v>411.50016345210901</v>
      </c>
      <c r="G9" s="39">
        <f>'Dec 22'!$E9/'Dec 22'!$F9</f>
        <v>2956.7888618319967</v>
      </c>
      <c r="H9" s="36">
        <v>3059</v>
      </c>
      <c r="I9" s="36">
        <f>ROUND(Table1389584567991011121314456267891011121314151617181920213456789101112131415161718192021222334567891011121314151617181920345678910111213141516[[#This Row],[Target Quantity]],0)</f>
        <v>2957</v>
      </c>
      <c r="J9" s="40">
        <f t="shared" ref="J9:J22" si="0">I9-H9</f>
        <v>-102</v>
      </c>
      <c r="K9" s="41">
        <f>'Dec 22'!$F9*'Dec 22'!$I9</f>
        <v>1216805.9833278863</v>
      </c>
      <c r="L9" s="42">
        <f>'Dec 22'!$K9/$K$2</f>
        <v>8.5556070141720626E-3</v>
      </c>
      <c r="M9" s="36"/>
      <c r="O9" s="44"/>
    </row>
    <row r="10" spans="1:17" s="45" customFormat="1" ht="12.75" customHeight="1" x14ac:dyDescent="0.25">
      <c r="A10" s="36" t="s">
        <v>119</v>
      </c>
      <c r="B10" s="36" t="s">
        <v>25</v>
      </c>
      <c r="C10" s="36" t="s">
        <v>26</v>
      </c>
      <c r="D10" s="37">
        <v>8.5559999999999994E-3</v>
      </c>
      <c r="E10" s="38">
        <f>'Dec 22'!$D10*$C$6*$C$2</f>
        <v>1216719.099937242</v>
      </c>
      <c r="F10" s="38">
        <v>271.93988945186601</v>
      </c>
      <c r="G10" s="39">
        <f>'Dec 22'!$E10/'Dec 22'!$F10</f>
        <v>4474.2207639699882</v>
      </c>
      <c r="H10" s="36">
        <v>4342</v>
      </c>
      <c r="I10" s="36">
        <f>ROUND(Table1389584567991011121314456267891011121314151617181920213456789101112131415161718192021222334567891011121314151617181920345678910111213141516[[#This Row],[Target Quantity]],0)</f>
        <v>4474</v>
      </c>
      <c r="J10" s="40">
        <f t="shared" si="0"/>
        <v>132</v>
      </c>
      <c r="K10" s="41">
        <f>'Dec 22'!$F10*'Dec 22'!$I10</f>
        <v>1216659.0654076484</v>
      </c>
      <c r="L10" s="42">
        <f>'Dec 22'!$K10/$K$2</f>
        <v>8.5545740047966012E-3</v>
      </c>
      <c r="M10" s="36"/>
      <c r="O10" s="44"/>
    </row>
    <row r="11" spans="1:17" s="45" customFormat="1" ht="12.75" customHeight="1" x14ac:dyDescent="0.25">
      <c r="A11" s="36" t="s">
        <v>119</v>
      </c>
      <c r="B11" s="36" t="s">
        <v>33</v>
      </c>
      <c r="C11" s="36" t="s">
        <v>34</v>
      </c>
      <c r="D11" s="37">
        <v>8.5559999999999994E-3</v>
      </c>
      <c r="E11" s="38">
        <f>'Dec 22'!$D11*$C$6*$C$2</f>
        <v>1216719.099937242</v>
      </c>
      <c r="F11" s="38">
        <v>38.659989793314601</v>
      </c>
      <c r="G11" s="39">
        <f>'Dec 22'!$E11/'Dec 22'!$F11</f>
        <v>31472.307841831011</v>
      </c>
      <c r="H11" s="36">
        <v>31352</v>
      </c>
      <c r="I11" s="36">
        <f>ROUND(Table1389584567991011121314456267891011121314151617181920213456789101112131415161718192021222334567891011121314151617181920345678910111213141516[[#This Row],[Target Quantity]],0)</f>
        <v>31472</v>
      </c>
      <c r="J11" s="40">
        <f t="shared" si="0"/>
        <v>120</v>
      </c>
      <c r="K11" s="41">
        <f>'Dec 22'!$F11*'Dec 22'!$I11</f>
        <v>1216707.1987751971</v>
      </c>
      <c r="L11" s="42">
        <f>'Dec 22'!$K11/$K$2</f>
        <v>8.5549124401615301E-3</v>
      </c>
      <c r="M11" s="36"/>
      <c r="O11" s="44"/>
    </row>
    <row r="12" spans="1:17" s="45" customFormat="1" ht="12.75" customHeight="1" x14ac:dyDescent="0.25">
      <c r="A12" s="36" t="s">
        <v>119</v>
      </c>
      <c r="B12" s="36" t="s">
        <v>19</v>
      </c>
      <c r="C12" s="36" t="s">
        <v>20</v>
      </c>
      <c r="D12" s="37">
        <v>8.5559999999999994E-3</v>
      </c>
      <c r="E12" s="38">
        <f>'Dec 22'!$D12*$C$6*$C$2</f>
        <v>1216719.099937242</v>
      </c>
      <c r="F12" s="38">
        <v>530.70981568795503</v>
      </c>
      <c r="G12" s="39">
        <f>'Dec 22'!$E12/'Dec 22'!$F12</f>
        <v>2292.6259586135948</v>
      </c>
      <c r="H12" s="36">
        <v>2333</v>
      </c>
      <c r="I12" s="36">
        <f>ROUND(Table1389584567991011121314456267891011121314151617181920213456789101112131415161718192021222334567891011121314151617181920345678910111213141516[[#This Row],[Target Quantity]],0)</f>
        <v>2293</v>
      </c>
      <c r="J12" s="40">
        <f t="shared" si="0"/>
        <v>-40</v>
      </c>
      <c r="K12" s="41">
        <f>'Dec 22'!$F12*'Dec 22'!$I12</f>
        <v>1216917.6073724809</v>
      </c>
      <c r="L12" s="42">
        <f>'Dec 22'!$K12/$K$2</f>
        <v>8.5563918652263541E-3</v>
      </c>
      <c r="M12" s="36"/>
      <c r="O12" s="92"/>
    </row>
    <row r="13" spans="1:17" s="45" customFormat="1" ht="12.75" customHeight="1" x14ac:dyDescent="0.25">
      <c r="A13" s="36" t="s">
        <v>119</v>
      </c>
      <c r="B13" s="36" t="s">
        <v>29</v>
      </c>
      <c r="C13" s="36" t="s">
        <v>30</v>
      </c>
      <c r="D13" s="37">
        <v>8.5559999999999994E-3</v>
      </c>
      <c r="E13" s="38">
        <f>'Dec 22'!$D13*$C$6*$C$2</f>
        <v>1216719.099937242</v>
      </c>
      <c r="F13" s="38">
        <v>20.4500042219032</v>
      </c>
      <c r="G13" s="39">
        <f>'Dec 22'!$E13/'Dec 22'!$F13</f>
        <v>59497.254217388465</v>
      </c>
      <c r="H13" s="36">
        <v>59215</v>
      </c>
      <c r="I13" s="36">
        <f>ROUND(Table1389584567991011121314456267891011121314151617181920213456789101112131415161718192021222334567891011121314151617181920345678910111213141516[[#This Row],[Target Quantity]],0)</f>
        <v>59497</v>
      </c>
      <c r="J13" s="40">
        <f t="shared" si="0"/>
        <v>282</v>
      </c>
      <c r="K13" s="41">
        <f>'Dec 22'!$F13*'Dec 22'!$I13</f>
        <v>1216713.9011905747</v>
      </c>
      <c r="L13" s="42">
        <f>'Dec 22'!$K13/$K$2</f>
        <v>8.5549595661888536E-3</v>
      </c>
      <c r="M13" s="36"/>
      <c r="O13" s="44"/>
    </row>
    <row r="14" spans="1:17" s="45" customFormat="1" ht="12.75" customHeight="1" x14ac:dyDescent="0.25">
      <c r="A14" s="36" t="s">
        <v>119</v>
      </c>
      <c r="B14" s="36" t="s">
        <v>21</v>
      </c>
      <c r="C14" s="36" t="s">
        <v>22</v>
      </c>
      <c r="D14" s="37">
        <v>8.5559999999999994E-3</v>
      </c>
      <c r="E14" s="38">
        <f>'Dec 22'!$D14*$C$6*$C$2</f>
        <v>1216719.099937242</v>
      </c>
      <c r="F14" s="38">
        <v>38.400012598822002</v>
      </c>
      <c r="G14" s="39">
        <f>'Dec 22'!$E14/'Dec 22'!$F14</f>
        <v>31685.382831738116</v>
      </c>
      <c r="H14" s="36">
        <v>31749</v>
      </c>
      <c r="I14" s="36">
        <f>ROUND(Table1389584567991011121314456267891011121314151617181920213456789101112131415161718192021222334567891011121314151617181920345678910111213141516[[#This Row],[Target Quantity]],0)</f>
        <v>31685</v>
      </c>
      <c r="J14" s="40">
        <f t="shared" si="0"/>
        <v>-64</v>
      </c>
      <c r="K14" s="41">
        <f>'Dec 22'!$F14*'Dec 22'!$I14</f>
        <v>1216704.399193675</v>
      </c>
      <c r="L14" s="42">
        <f>'Dec 22'!$K14/$K$2</f>
        <v>8.5548927557421283E-3</v>
      </c>
      <c r="M14" s="36"/>
      <c r="O14" s="44"/>
    </row>
    <row r="15" spans="1:17" s="45" customFormat="1" ht="12.75" customHeight="1" x14ac:dyDescent="0.25">
      <c r="A15" s="36" t="s">
        <v>119</v>
      </c>
      <c r="B15" s="36" t="s">
        <v>37</v>
      </c>
      <c r="C15" s="36" t="s">
        <v>38</v>
      </c>
      <c r="D15" s="37">
        <v>8.5559999999999994E-3</v>
      </c>
      <c r="E15" s="38">
        <f>'Dec 22'!$D15*$C$6*$C$2</f>
        <v>1216719.099937242</v>
      </c>
      <c r="F15" s="38">
        <v>68.579982076845496</v>
      </c>
      <c r="G15" s="39">
        <f>'Dec 22'!$E15/'Dec 22'!$F15</f>
        <v>17741.607143814639</v>
      </c>
      <c r="H15" s="36">
        <v>17854</v>
      </c>
      <c r="I15" s="36">
        <f>ROUND(Table1389584567991011121314456267891011121314151617181920213456789101112131415161718192021222334567891011121314151617181920345678910111213141516[[#This Row],[Target Quantity]],0)</f>
        <v>17742</v>
      </c>
      <c r="J15" s="40">
        <f t="shared" si="0"/>
        <v>-112</v>
      </c>
      <c r="K15" s="41">
        <f>'Dec 22'!$F15*'Dec 22'!$I15</f>
        <v>1216746.0420073927</v>
      </c>
      <c r="L15" s="42">
        <f>'Dec 22'!$K15/$K$2</f>
        <v>8.5551855547207779E-3</v>
      </c>
      <c r="M15" s="36"/>
      <c r="O15" s="44"/>
    </row>
    <row r="16" spans="1:17" s="45" customFormat="1" ht="12.75" customHeight="1" x14ac:dyDescent="0.25">
      <c r="A16" s="36" t="s">
        <v>119</v>
      </c>
      <c r="B16" s="36" t="s">
        <v>23</v>
      </c>
      <c r="C16" s="36" t="s">
        <v>24</v>
      </c>
      <c r="D16" s="37">
        <v>8.5559999999999994E-3</v>
      </c>
      <c r="E16" s="38">
        <f>'Dec 22'!$D16*$C$6*$C$2</f>
        <v>1216719.099937242</v>
      </c>
      <c r="F16" s="38">
        <v>267.75005382131297</v>
      </c>
      <c r="G16" s="39">
        <f>'Dec 22'!$E16/'Dec 22'!$F16</f>
        <v>4544.2347539143275</v>
      </c>
      <c r="H16" s="36">
        <v>4645</v>
      </c>
      <c r="I16" s="36">
        <f>ROUND(Table1389584567991011121314456267891011121314151617181920213456789101112131415161718192021222334567891011121314151617181920345678910111213141516[[#This Row],[Target Quantity]],0)</f>
        <v>4544</v>
      </c>
      <c r="J16" s="40">
        <f t="shared" si="0"/>
        <v>-101</v>
      </c>
      <c r="K16" s="41">
        <f>'Dec 22'!$F16*'Dec 22'!$I16</f>
        <v>1216656.2445640462</v>
      </c>
      <c r="L16" s="42">
        <f>'Dec 22'!$K16/$K$2</f>
        <v>8.5545541708792472E-3</v>
      </c>
      <c r="M16" s="36"/>
      <c r="O16" s="44"/>
    </row>
    <row r="17" spans="1:15" s="45" customFormat="1" ht="12.75" customHeight="1" x14ac:dyDescent="0.25">
      <c r="A17" s="36" t="s">
        <v>119</v>
      </c>
      <c r="B17" s="36" t="s">
        <v>15</v>
      </c>
      <c r="C17" s="36" t="s">
        <v>16</v>
      </c>
      <c r="D17" s="37">
        <v>8.5559999999999994E-3</v>
      </c>
      <c r="E17" s="38">
        <f>'Dec 22'!$D17*$C$6*$C$2</f>
        <v>1216719.099937242</v>
      </c>
      <c r="F17" s="38">
        <v>142.02002909253699</v>
      </c>
      <c r="G17" s="39">
        <f>'Dec 22'!$E17/'Dec 22'!$F17</f>
        <v>8567.2359575736737</v>
      </c>
      <c r="H17" s="36">
        <v>8937</v>
      </c>
      <c r="I17" s="36">
        <f>ROUND(Table1389584567991011121314456267891011121314151617181920213456789101112131415161718192021222334567891011121314151617181920345678910111213141516[[#This Row],[Target Quantity]],0)</f>
        <v>8567</v>
      </c>
      <c r="J17" s="40">
        <f t="shared" si="0"/>
        <v>-370</v>
      </c>
      <c r="K17" s="41">
        <f>'Dec 22'!$F17*'Dec 22'!$I17</f>
        <v>1216685.5892357645</v>
      </c>
      <c r="L17" s="42">
        <f>'Dec 22'!$K17/$K$2</f>
        <v>8.5547604991539454E-3</v>
      </c>
      <c r="M17" s="36"/>
      <c r="O17" s="44"/>
    </row>
    <row r="18" spans="1:15" s="45" customFormat="1" ht="12.75" customHeight="1" x14ac:dyDescent="0.25">
      <c r="A18" s="36" t="s">
        <v>119</v>
      </c>
      <c r="B18" s="36" t="s">
        <v>27</v>
      </c>
      <c r="C18" s="36" t="s">
        <v>28</v>
      </c>
      <c r="D18" s="37">
        <v>8.5559999999999994E-3</v>
      </c>
      <c r="E18" s="38">
        <f>'Dec 22'!$D18*$C$6*$C$2</f>
        <v>1216719.099937242</v>
      </c>
      <c r="F18" s="38">
        <v>41.369991474850799</v>
      </c>
      <c r="G18" s="39">
        <f>'Dec 22'!$E18/'Dec 22'!$F18</f>
        <v>29410.668374850808</v>
      </c>
      <c r="H18" s="36">
        <v>29325</v>
      </c>
      <c r="I18" s="36">
        <f>ROUND(Table1389584567991011121314456267891011121314151617181920213456789101112131415161718192021222334567891011121314151617181920345678910111213141516[[#This Row],[Target Quantity]],0)</f>
        <v>29411</v>
      </c>
      <c r="J18" s="40">
        <f t="shared" si="0"/>
        <v>86</v>
      </c>
      <c r="K18" s="41">
        <f>'Dec 22'!$F18*'Dec 22'!$I18</f>
        <v>1216732.8192668369</v>
      </c>
      <c r="L18" s="42">
        <f>'Dec 22'!$K18/$K$2</f>
        <v>8.5550925829788599E-3</v>
      </c>
      <c r="M18" s="36"/>
      <c r="O18" s="91"/>
    </row>
    <row r="19" spans="1:15" s="45" customFormat="1" ht="12.75" customHeight="1" x14ac:dyDescent="0.25">
      <c r="A19" s="36" t="s">
        <v>119</v>
      </c>
      <c r="B19" s="36" t="s">
        <v>41</v>
      </c>
      <c r="C19" s="36" t="s">
        <v>42</v>
      </c>
      <c r="D19" s="37">
        <v>8.5559999999999994E-3</v>
      </c>
      <c r="E19" s="38">
        <f>'Dec 22'!$D19*$C$6*$C$2</f>
        <v>1216719.099937242</v>
      </c>
      <c r="F19" s="38">
        <v>34.850008838607003</v>
      </c>
      <c r="G19" s="39">
        <f>'Dec 22'!$E19/'Dec 22'!$F19</f>
        <v>34913.021272733647</v>
      </c>
      <c r="H19" s="36">
        <v>33942</v>
      </c>
      <c r="I19" s="36">
        <f>ROUND(Table1389584567991011121314456267891011121314151617181920213456789101112131415161718192021222334567891011121314151617181920345678910111213141516[[#This Row],[Target Quantity]],0)</f>
        <v>34913</v>
      </c>
      <c r="J19" s="40">
        <f t="shared" si="0"/>
        <v>971</v>
      </c>
      <c r="K19" s="41">
        <f>'Dec 22'!$F19*'Dec 22'!$I19</f>
        <v>1216718.3585822864</v>
      </c>
      <c r="L19" s="42">
        <f>'Dec 22'!$K19/$K$2</f>
        <v>8.5549909070043294E-3</v>
      </c>
      <c r="M19" s="36"/>
      <c r="O19" s="91"/>
    </row>
    <row r="20" spans="1:15" s="45" customFormat="1" ht="12.75" customHeight="1" x14ac:dyDescent="0.25">
      <c r="A20" s="36" t="s">
        <v>119</v>
      </c>
      <c r="B20" s="36" t="s">
        <v>35</v>
      </c>
      <c r="C20" s="36" t="s">
        <v>36</v>
      </c>
      <c r="D20" s="37">
        <v>8.5559999999999994E-3</v>
      </c>
      <c r="E20" s="38">
        <f>'Dec 22'!$D20*$C$6*$C$2</f>
        <v>1216719.099937242</v>
      </c>
      <c r="F20" s="38">
        <v>138.5</v>
      </c>
      <c r="G20" s="39">
        <f>'Dec 22'!$E20/'Dec 22'!$F20</f>
        <v>8784.9754508104106</v>
      </c>
      <c r="H20" s="36">
        <v>8500</v>
      </c>
      <c r="I20" s="36">
        <f>ROUND(Table1389584567991011121314456267891011121314151617181920213456789101112131415161718192021222334567891011121314151617181920345678910111213141516[[#This Row],[Target Quantity]],0)</f>
        <v>8785</v>
      </c>
      <c r="J20" s="40">
        <f t="shared" si="0"/>
        <v>285</v>
      </c>
      <c r="K20" s="41">
        <f>'Dec 22'!$F20*'Dec 22'!$I20</f>
        <v>1216722.5</v>
      </c>
      <c r="L20" s="42">
        <f>'Dec 22'!$K20/$K$2</f>
        <v>8.5550200261432265E-3</v>
      </c>
      <c r="M20" s="36"/>
      <c r="O20" s="91"/>
    </row>
    <row r="21" spans="1:15" s="45" customFormat="1" ht="12.75" customHeight="1" x14ac:dyDescent="0.25">
      <c r="A21" s="36" t="s">
        <v>119</v>
      </c>
      <c r="B21" s="36" t="s">
        <v>39</v>
      </c>
      <c r="C21" s="36" t="s">
        <v>40</v>
      </c>
      <c r="D21" s="37">
        <v>0.23957500000000001</v>
      </c>
      <c r="E21" s="38">
        <f>'Dec 22'!$D21*$C$6*$C$2</f>
        <v>34069130.243976712</v>
      </c>
      <c r="F21" s="38">
        <v>309.910001718042</v>
      </c>
      <c r="G21" s="39">
        <f>'Dec 22'!$E21/'Dec 22'!$F21</f>
        <v>109932.33537190908</v>
      </c>
      <c r="H21" s="36">
        <v>110591</v>
      </c>
      <c r="I21" s="36">
        <f>ROUND(Table1389584567991011121314456267891011121314151617181920213456789101112131415161718192021222334567891011121314151617181920345678910111213141516[[#This Row],[Target Quantity]],0)</f>
        <v>109932</v>
      </c>
      <c r="J21" s="40">
        <f t="shared" si="0"/>
        <v>-659</v>
      </c>
      <c r="K21" s="41">
        <f>'Dec 22'!$F21*'Dec 22'!$I21</f>
        <v>34069026.30886779</v>
      </c>
      <c r="L21" s="42">
        <f>'Dec 22'!$K21/$K$2</f>
        <v>0.23954615973943472</v>
      </c>
      <c r="M21" s="36"/>
      <c r="O21" s="93"/>
    </row>
    <row r="22" spans="1:15" s="45" customFormat="1" ht="12.75" customHeight="1" x14ac:dyDescent="0.25">
      <c r="A22" s="36" t="s">
        <v>119</v>
      </c>
      <c r="B22" s="45" t="s">
        <v>11</v>
      </c>
      <c r="C22" s="36" t="s">
        <v>12</v>
      </c>
      <c r="D22" s="37">
        <v>2.775E-2</v>
      </c>
      <c r="E22" s="38">
        <f>'Dec 22'!$D22*$C$6*$C$2</f>
        <v>3946231.3023911249</v>
      </c>
      <c r="F22" s="38">
        <v>2.4635907120742999</v>
      </c>
      <c r="G22" s="39">
        <f>'Dec 22'!$E22/'Dec 22'!$F22</f>
        <v>1601820.9855436855</v>
      </c>
      <c r="H22" s="36">
        <v>1615000</v>
      </c>
      <c r="I22" s="36">
        <f>ROUND(Table1389584567991011121314456267891011121314151617181920213456789101112131415161718192021222334567891011121314151617181920345678910111213141516[[#This Row],[Target Quantity]],-2)</f>
        <v>1601800</v>
      </c>
      <c r="J22" s="40">
        <f t="shared" si="0"/>
        <v>-13200</v>
      </c>
      <c r="K22" s="41">
        <f>'Dec 22'!$F22*'Dec 22'!$I22</f>
        <v>3946179.6026006136</v>
      </c>
      <c r="L22" s="42">
        <f>'Dec 22'!$K22/$K$2</f>
        <v>2.7746380565006536E-2</v>
      </c>
      <c r="M22" s="36"/>
    </row>
    <row r="23" spans="1:15" s="45" customFormat="1" ht="12.75" customHeight="1" x14ac:dyDescent="0.25">
      <c r="A23" s="36"/>
      <c r="B23" s="36"/>
      <c r="C23" s="36"/>
      <c r="D23" s="37"/>
      <c r="E23" s="38"/>
      <c r="F23" s="38"/>
      <c r="G23" s="39"/>
      <c r="H23" s="36"/>
      <c r="I23" s="36"/>
      <c r="J23" s="46"/>
      <c r="K23" s="38"/>
      <c r="L23" s="47"/>
      <c r="M23" s="36"/>
      <c r="O23" s="91"/>
    </row>
    <row r="24" spans="1:15" s="54" customFormat="1" ht="12.75" customHeight="1" x14ac:dyDescent="0.25">
      <c r="A24" s="48" t="s">
        <v>136</v>
      </c>
      <c r="B24" s="48"/>
      <c r="C24" s="48"/>
      <c r="D24" s="49">
        <f>SUM(D9:D23)</f>
        <v>0.36999699999999996</v>
      </c>
      <c r="E24" s="50">
        <f>'Dec 22'!$D24*$C$6*$C$2</f>
        <v>52615990.745614737</v>
      </c>
      <c r="F24" s="51"/>
      <c r="G24" s="51"/>
      <c r="H24" s="48"/>
      <c r="I24" s="48"/>
      <c r="J24" s="52"/>
      <c r="K24" s="50">
        <f>SUM(K9:K23)</f>
        <v>52615975.620392188</v>
      </c>
      <c r="L24" s="53">
        <f>'Dec 22'!$K24/$K$2</f>
        <v>0.36995348169160913</v>
      </c>
      <c r="M24" s="48"/>
      <c r="O24" s="90"/>
    </row>
    <row r="25" spans="1:15" s="45" customFormat="1" ht="12.75" customHeight="1" x14ac:dyDescent="0.25">
      <c r="A25" s="36"/>
      <c r="B25" s="36"/>
      <c r="C25" s="36"/>
      <c r="D25" s="37"/>
      <c r="E25" s="38"/>
      <c r="F25" s="38"/>
      <c r="G25" s="39"/>
      <c r="H25" s="36"/>
      <c r="I25" s="36"/>
      <c r="J25" s="46"/>
      <c r="K25" s="38"/>
      <c r="L25" s="42"/>
      <c r="M25" s="36"/>
      <c r="O25" s="89"/>
    </row>
    <row r="26" spans="1:15" s="44" customFormat="1" ht="12.75" customHeight="1" x14ac:dyDescent="0.25">
      <c r="A26" s="55"/>
      <c r="B26" s="48" t="s">
        <v>31</v>
      </c>
      <c r="C26" s="55" t="s">
        <v>32</v>
      </c>
      <c r="D26" s="56">
        <v>0.04</v>
      </c>
      <c r="E26" s="57">
        <f>'Dec 22'!$D26*$C$6*$C$2</f>
        <v>5688261.3367799995</v>
      </c>
      <c r="F26" s="51">
        <v>17.860002065224698</v>
      </c>
      <c r="G26" s="58">
        <f>'Dec 22'!$E26/'Dec 22'!$F26</f>
        <v>318491.6393630011</v>
      </c>
      <c r="H26" s="55">
        <v>329262</v>
      </c>
      <c r="I26" s="55">
        <f>ROUND(Table1389584567991011121314456267891011121314151617181920213456789101112131415161718192021222334567891011121314151617181920345678910111213141516[[#This Row],[Target Quantity]],0)</f>
        <v>318492</v>
      </c>
      <c r="J26" s="59">
        <f>I26-H26</f>
        <v>-10770</v>
      </c>
      <c r="K26" s="60">
        <f>'Dec 22'!$F26*'Dec 22'!$I26</f>
        <v>5688267.777757545</v>
      </c>
      <c r="L26" s="53">
        <f>'Dec 22'!$K26/$K$2</f>
        <v>3.9995352064896489E-2</v>
      </c>
      <c r="M26" s="48"/>
      <c r="O26" s="61"/>
    </row>
    <row r="27" spans="1:15" s="44" customFormat="1" ht="12.75" customHeight="1" x14ac:dyDescent="0.25">
      <c r="A27" s="36"/>
      <c r="B27" s="36"/>
      <c r="C27" s="36"/>
      <c r="D27" s="37"/>
      <c r="E27" s="38"/>
      <c r="F27" s="38"/>
      <c r="G27" s="39"/>
      <c r="H27" s="36"/>
      <c r="I27" s="36"/>
      <c r="J27" s="46"/>
      <c r="K27" s="41"/>
      <c r="L27" s="42"/>
      <c r="M27" s="36"/>
      <c r="O27" s="61"/>
    </row>
    <row r="28" spans="1:15" s="4" customFormat="1" ht="25.5" x14ac:dyDescent="0.2">
      <c r="A28" s="36" t="s">
        <v>137</v>
      </c>
      <c r="B28" s="62" t="s">
        <v>75</v>
      </c>
      <c r="C28" s="63" t="s">
        <v>76</v>
      </c>
      <c r="D28" s="37">
        <v>5.7000000000000002E-2</v>
      </c>
      <c r="E28" s="38">
        <f>'Dec 22'!$D28*$C$6*$C$2</f>
        <v>8105772.4049115004</v>
      </c>
      <c r="F28" s="38">
        <v>156088.090909091</v>
      </c>
      <c r="G28" s="39">
        <f>'Dec 22'!$E28/'Dec 22'!$F28</f>
        <v>51.93075498394348</v>
      </c>
      <c r="H28" s="36">
        <v>55</v>
      </c>
      <c r="I28" s="36">
        <f>ROUND(Table1389584567991011121314456267891011121314151617181920213456789101112131415161718192021222334567891011121314151617181920345678910111213141516[[#This Row],[Target Quantity]],0)</f>
        <v>52</v>
      </c>
      <c r="J28" s="40">
        <f t="shared" ref="J28:J37" si="1">I28-H28</f>
        <v>-3</v>
      </c>
      <c r="K28" s="41">
        <f>'Dec 22'!$F28*'Dec 22'!$I28</f>
        <v>8116580.7272727322</v>
      </c>
      <c r="L28" s="42">
        <f>'Dec 22'!$K28/$K$2</f>
        <v>5.7069307640506668E-2</v>
      </c>
      <c r="M28" s="64"/>
    </row>
    <row r="29" spans="1:15" s="4" customFormat="1" ht="25.5" x14ac:dyDescent="0.2">
      <c r="A29" s="36" t="s">
        <v>137</v>
      </c>
      <c r="B29" s="62" t="s">
        <v>80</v>
      </c>
      <c r="C29" s="63" t="s">
        <v>81</v>
      </c>
      <c r="D29" s="37">
        <v>5.7000000000000002E-2</v>
      </c>
      <c r="E29" s="38">
        <f>'Dec 22'!$D29*$C$6*$C$2</f>
        <v>8105772.4049115004</v>
      </c>
      <c r="F29" s="38">
        <v>212738.625</v>
      </c>
      <c r="G29" s="39">
        <f>'Dec 22'!$E29/'Dec 22'!$F29</f>
        <v>38.102024984468621</v>
      </c>
      <c r="H29" s="36">
        <v>40</v>
      </c>
      <c r="I29" s="36">
        <f>ROUND(Table1389584567991011121314456267891011121314151617181920213456789101112131415161718192021222334567891011121314151617181920345678910111213141516[[#This Row],[Target Quantity]],0)</f>
        <v>38</v>
      </c>
      <c r="J29" s="40">
        <f t="shared" si="1"/>
        <v>-2</v>
      </c>
      <c r="K29" s="41">
        <f>'Dec 22'!$F29*'Dec 22'!$I29</f>
        <v>8084067.75</v>
      </c>
      <c r="L29" s="42">
        <f>'Dec 22'!$K29/$K$2</f>
        <v>5.6840702373752938E-2</v>
      </c>
      <c r="M29" s="64"/>
    </row>
    <row r="30" spans="1:15" s="4" customFormat="1" ht="25.5" x14ac:dyDescent="0.2">
      <c r="A30" s="36" t="s">
        <v>137</v>
      </c>
      <c r="B30" s="62" t="s">
        <v>82</v>
      </c>
      <c r="C30" s="63" t="s">
        <v>83</v>
      </c>
      <c r="D30" s="37">
        <v>5.7000000000000002E-2</v>
      </c>
      <c r="E30" s="38">
        <f>'Dec 22'!$D30*$C$6*$C$2</f>
        <v>8105772.4049115004</v>
      </c>
      <c r="F30" s="38">
        <v>172800.68</v>
      </c>
      <c r="G30" s="39">
        <f>'Dec 22'!$E30/'Dec 22'!$F30</f>
        <v>46.908220528481145</v>
      </c>
      <c r="H30" s="36">
        <v>50</v>
      </c>
      <c r="I30" s="36">
        <f>ROUND(Table1389584567991011121314456267891011121314151617181920213456789101112131415161718192021222334567891011121314151617181920345678910111213141516[[#This Row],[Target Quantity]],0)</f>
        <v>47</v>
      </c>
      <c r="J30" s="40">
        <f t="shared" si="1"/>
        <v>-3</v>
      </c>
      <c r="K30" s="41">
        <f>'Dec 22'!$F30*'Dec 22'!$I30</f>
        <v>8121631.96</v>
      </c>
      <c r="L30" s="42">
        <f>'Dec 22'!$K30/$K$2</f>
        <v>5.7104823871314006E-2</v>
      </c>
      <c r="M30" s="64"/>
    </row>
    <row r="31" spans="1:15" s="4" customFormat="1" ht="25.5" x14ac:dyDescent="0.2">
      <c r="A31" s="36" t="s">
        <v>137</v>
      </c>
      <c r="B31" s="62" t="s">
        <v>84</v>
      </c>
      <c r="C31" s="63" t="s">
        <v>85</v>
      </c>
      <c r="D31" s="37">
        <v>5.7000000000000002E-2</v>
      </c>
      <c r="E31" s="38">
        <f>'Dec 22'!$D31*$C$6*$C$2</f>
        <v>8105772.4049115004</v>
      </c>
      <c r="F31" s="38">
        <v>126018.220588235</v>
      </c>
      <c r="G31" s="39">
        <f>'Dec 22'!$E31/'Dec 22'!$F31</f>
        <v>64.322225524808374</v>
      </c>
      <c r="H31" s="36">
        <v>68</v>
      </c>
      <c r="I31" s="36">
        <f>ROUND(Table1389584567991011121314456267891011121314151617181920213456789101112131415161718192021222334567891011121314151617181920345678910111213141516[[#This Row],[Target Quantity]],0)</f>
        <v>64</v>
      </c>
      <c r="J31" s="40">
        <f t="shared" si="1"/>
        <v>-4</v>
      </c>
      <c r="K31" s="41">
        <f>'Dec 22'!$F31*'Dec 22'!$I31</f>
        <v>8065166.1176470397</v>
      </c>
      <c r="L31" s="42">
        <f>'Dec 22'!$K31/$K$2</f>
        <v>5.6707801204171238E-2</v>
      </c>
      <c r="M31" s="64"/>
    </row>
    <row r="32" spans="1:15" s="4" customFormat="1" ht="25.5" x14ac:dyDescent="0.2">
      <c r="A32" s="36" t="s">
        <v>137</v>
      </c>
      <c r="B32" s="62" t="s">
        <v>86</v>
      </c>
      <c r="C32" s="63" t="s">
        <v>87</v>
      </c>
      <c r="D32" s="37">
        <v>5.7000000000000002E-2</v>
      </c>
      <c r="E32" s="38">
        <f>'Dec 22'!$D32*$C$6*$C$2</f>
        <v>8105772.4049115004</v>
      </c>
      <c r="F32" s="38">
        <v>137880.45161290301</v>
      </c>
      <c r="G32" s="39">
        <f>'Dec 22'!$E32/'Dec 22'!$F32</f>
        <v>58.788409162368545</v>
      </c>
      <c r="H32" s="36">
        <v>62</v>
      </c>
      <c r="I32" s="36">
        <f>ROUND(Table1389584567991011121314456267891011121314151617181920213456789101112131415161718192021222334567891011121314151617181920345678910111213141516[[#This Row],[Target Quantity]],0)</f>
        <v>59</v>
      </c>
      <c r="J32" s="40">
        <f t="shared" si="1"/>
        <v>-3</v>
      </c>
      <c r="K32" s="41">
        <f>'Dec 22'!$F32*'Dec 22'!$I32</f>
        <v>8134946.6451612776</v>
      </c>
      <c r="L32" s="42">
        <f>'Dec 22'!$K32/$K$2</f>
        <v>5.719844209420092E-2</v>
      </c>
      <c r="M32" s="64"/>
    </row>
    <row r="33" spans="1:16" s="4" customFormat="1" ht="25.5" x14ac:dyDescent="0.2">
      <c r="A33" s="36" t="s">
        <v>137</v>
      </c>
      <c r="B33" s="62" t="s">
        <v>92</v>
      </c>
      <c r="C33" s="63" t="s">
        <v>93</v>
      </c>
      <c r="D33" s="37">
        <v>5.7000000000000002E-2</v>
      </c>
      <c r="E33" s="38">
        <f>'Dec 22'!$D33*$C$6*$C$2</f>
        <v>8105772.4049115004</v>
      </c>
      <c r="F33" s="38">
        <v>220948.43589743599</v>
      </c>
      <c r="G33" s="39">
        <f>'Dec 22'!$E33/'Dec 22'!$F33</f>
        <v>36.686262892008841</v>
      </c>
      <c r="H33" s="36">
        <v>39</v>
      </c>
      <c r="I33" s="36">
        <f>ROUND(Table1389584567991011121314456267891011121314151617181920213456789101112131415161718192021222334567891011121314151617181920345678910111213141516[[#This Row],[Target Quantity]],0)</f>
        <v>37</v>
      </c>
      <c r="J33" s="40">
        <f t="shared" si="1"/>
        <v>-2</v>
      </c>
      <c r="K33" s="41">
        <f>'Dec 22'!$F33*'Dec 22'!$I33</f>
        <v>8175092.1282051317</v>
      </c>
      <c r="L33" s="42">
        <f>'Dec 22'!$K33/$K$2</f>
        <v>5.7480713040451499E-2</v>
      </c>
      <c r="M33" s="64"/>
    </row>
    <row r="34" spans="1:16" s="44" customFormat="1" ht="25.5" customHeight="1" x14ac:dyDescent="0.2">
      <c r="A34" s="36" t="s">
        <v>138</v>
      </c>
      <c r="B34" s="36" t="s">
        <v>54</v>
      </c>
      <c r="C34" s="36" t="s">
        <v>55</v>
      </c>
      <c r="D34" s="37">
        <v>5.7000000000000002E-2</v>
      </c>
      <c r="E34" s="38">
        <f>'Dec 22'!$D34*$C$6*$C$2</f>
        <v>8105772.4049115004</v>
      </c>
      <c r="F34" s="38">
        <v>115324.972972973</v>
      </c>
      <c r="G34" s="39">
        <f>'Dec 22'!$E34/'Dec 22'!$F34</f>
        <v>70.286358591309877</v>
      </c>
      <c r="H34" s="36">
        <v>74</v>
      </c>
      <c r="I34" s="36">
        <f>ROUND(Table1389584567991011121314456267891011121314151617181920213456789101112131415161718192021222334567891011121314151617181920345678910111213141516[[#This Row],[Target Quantity]],0)</f>
        <v>70</v>
      </c>
      <c r="J34" s="40">
        <f t="shared" si="1"/>
        <v>-4</v>
      </c>
      <c r="K34" s="41">
        <f>'Dec 22'!$F34*'Dec 22'!$I34</f>
        <v>8072748.1081081098</v>
      </c>
      <c r="L34" s="42">
        <f>'Dec 22'!$K34/$K$2</f>
        <v>5.6761111700387487E-2</v>
      </c>
      <c r="M34" s="43"/>
      <c r="O34" s="4"/>
    </row>
    <row r="35" spans="1:16" s="44" customFormat="1" ht="25.5" x14ac:dyDescent="0.2">
      <c r="A35" s="36" t="s">
        <v>138</v>
      </c>
      <c r="B35" s="36" t="s">
        <v>52</v>
      </c>
      <c r="C35" s="36" t="s">
        <v>53</v>
      </c>
      <c r="D35" s="37">
        <v>5.7000000000000002E-2</v>
      </c>
      <c r="E35" s="38">
        <f>'Dec 22'!$D35*$C$6*$C$2</f>
        <v>8105772.4049115004</v>
      </c>
      <c r="F35" s="38">
        <v>138231.09677419401</v>
      </c>
      <c r="G35" s="39">
        <f>'Dec 22'!$E35/'Dec 22'!$F35</f>
        <v>58.639283012798501</v>
      </c>
      <c r="H35" s="36">
        <v>62</v>
      </c>
      <c r="I35" s="36">
        <f>ROUND(Table1389584567991011121314456267891011121314151617181920213456789101112131415161718192021222334567891011121314151617181920345678910111213141516[[#This Row],[Target Quantity]],0)</f>
        <v>59</v>
      </c>
      <c r="J35" s="40">
        <f t="shared" si="1"/>
        <v>-3</v>
      </c>
      <c r="K35" s="41">
        <f>'Dec 22'!$F35*'Dec 22'!$I35</f>
        <v>8155634.7096774466</v>
      </c>
      <c r="L35" s="42">
        <f>'Dec 22'!$K35/$K$2</f>
        <v>5.734390402675988E-2</v>
      </c>
      <c r="M35" s="43"/>
      <c r="O35" s="4"/>
    </row>
    <row r="36" spans="1:16" s="44" customFormat="1" ht="24.95" customHeight="1" x14ac:dyDescent="0.2">
      <c r="A36" s="36" t="s">
        <v>138</v>
      </c>
      <c r="B36" s="36" t="s">
        <v>48</v>
      </c>
      <c r="C36" s="36" t="s">
        <v>49</v>
      </c>
      <c r="D36" s="37">
        <v>5.7000000000000002E-2</v>
      </c>
      <c r="E36" s="38">
        <f>'Dec 22'!$D36*$C$6*$C$2</f>
        <v>8105772.4049115004</v>
      </c>
      <c r="F36" s="38">
        <v>185181.76086956501</v>
      </c>
      <c r="G36" s="39">
        <f>'Dec 22'!$E36/'Dec 22'!$F36</f>
        <v>43.771980387533404</v>
      </c>
      <c r="H36" s="36">
        <v>46</v>
      </c>
      <c r="I36" s="36">
        <f>ROUND(Table1389584567991011121314456267891011121314151617181920213456789101112131415161718192021222334567891011121314151617181920345678910111213141516[[#This Row],[Target Quantity]],0)</f>
        <v>44</v>
      </c>
      <c r="J36" s="40">
        <f t="shared" si="1"/>
        <v>-2</v>
      </c>
      <c r="K36" s="41">
        <f>'Dec 22'!$F36*'Dec 22'!$I36</f>
        <v>8147997.4782608608</v>
      </c>
      <c r="L36" s="42">
        <f>'Dec 22'!$K36/$K$2</f>
        <v>5.7290205120301606E-2</v>
      </c>
      <c r="M36" s="43"/>
      <c r="O36" s="4"/>
    </row>
    <row r="37" spans="1:16" s="44" customFormat="1" ht="25.5" x14ac:dyDescent="0.2">
      <c r="A37" s="36" t="s">
        <v>138</v>
      </c>
      <c r="B37" s="36" t="s">
        <v>58</v>
      </c>
      <c r="C37" s="36" t="s">
        <v>59</v>
      </c>
      <c r="D37" s="37">
        <v>5.7000000000000002E-2</v>
      </c>
      <c r="E37" s="38">
        <f>'Dec 22'!$D37*$C$6*$C$2</f>
        <v>8105772.4049115004</v>
      </c>
      <c r="F37" s="38">
        <v>276193.09677419398</v>
      </c>
      <c r="G37" s="39">
        <f>'Dec 22'!$E37/'Dec 22'!$F37</f>
        <v>29.348207828447293</v>
      </c>
      <c r="H37" s="36">
        <v>31</v>
      </c>
      <c r="I37" s="36">
        <f>ROUND(Table1389584567991011121314456267891011121314151617181920213456789101112131415161718192021222334567891011121314151617181920345678910111213141516[[#This Row],[Target Quantity]],0)</f>
        <v>29</v>
      </c>
      <c r="J37" s="40">
        <f t="shared" si="1"/>
        <v>-2</v>
      </c>
      <c r="K37" s="41">
        <f>'Dec 22'!$F37*'Dec 22'!$I37</f>
        <v>8009599.8064516252</v>
      </c>
      <c r="L37" s="42">
        <f>'Dec 22'!$K37/$K$2</f>
        <v>5.6317103321083119E-2</v>
      </c>
      <c r="M37" s="43"/>
      <c r="O37" s="4"/>
    </row>
    <row r="38" spans="1:16" s="66" customFormat="1" ht="12.75" x14ac:dyDescent="0.2">
      <c r="A38" s="36"/>
      <c r="B38" s="63"/>
      <c r="C38" s="63"/>
      <c r="D38" s="37"/>
      <c r="E38" s="65"/>
      <c r="F38" s="38"/>
      <c r="G38" s="39"/>
      <c r="H38" s="36"/>
      <c r="I38" s="36"/>
      <c r="J38" s="46"/>
      <c r="K38" s="38"/>
      <c r="L38" s="47"/>
      <c r="M38" s="64"/>
    </row>
    <row r="39" spans="1:16" s="17" customFormat="1" ht="12.75" x14ac:dyDescent="0.2">
      <c r="A39" s="48" t="s">
        <v>142</v>
      </c>
      <c r="B39" s="67"/>
      <c r="C39" s="67"/>
      <c r="D39" s="56">
        <f>SUBTOTAL(9,D28:D38)</f>
        <v>0.57000000000000006</v>
      </c>
      <c r="E39" s="68">
        <f>'Dec 22'!$D39*$C$6*$C$2</f>
        <v>81057724.049115002</v>
      </c>
      <c r="F39" s="69"/>
      <c r="G39" s="70"/>
      <c r="H39" s="55"/>
      <c r="I39" s="55"/>
      <c r="J39" s="59"/>
      <c r="K39" s="68">
        <f>SUM(K28:K38)</f>
        <v>81083465.430784225</v>
      </c>
      <c r="L39" s="71">
        <f>'Dec 22'!$K39/$K$2</f>
        <v>0.57011411439292936</v>
      </c>
      <c r="M39" s="72"/>
    </row>
    <row r="40" spans="1:16" s="44" customFormat="1" ht="12.75" x14ac:dyDescent="0.25">
      <c r="A40" s="36"/>
      <c r="B40" s="36"/>
      <c r="C40" s="36"/>
      <c r="D40" s="37"/>
      <c r="E40" s="38"/>
      <c r="F40" s="38"/>
      <c r="G40" s="74"/>
      <c r="H40" s="36"/>
      <c r="I40" s="36"/>
      <c r="J40" s="40"/>
      <c r="K40" s="41"/>
      <c r="L40" s="42"/>
      <c r="M40" s="43"/>
    </row>
    <row r="41" spans="1:16" s="44" customFormat="1" ht="25.5" x14ac:dyDescent="0.25">
      <c r="A41" s="36" t="s">
        <v>154</v>
      </c>
      <c r="B41" s="36" t="s">
        <v>45</v>
      </c>
      <c r="C41" s="36" t="s">
        <v>46</v>
      </c>
      <c r="D41" s="37">
        <v>2E-3</v>
      </c>
      <c r="E41" s="38">
        <f>'Dec 22'!$D41*$C$6*$C$2</f>
        <v>284413.06683900004</v>
      </c>
      <c r="F41" s="38">
        <v>49937</v>
      </c>
      <c r="G41" s="74">
        <f>'Dec 22'!$E41/'Dec 22'!$F41</f>
        <v>5.6954375881410586</v>
      </c>
      <c r="H41" s="36">
        <v>6</v>
      </c>
      <c r="I41" s="36">
        <v>6</v>
      </c>
      <c r="J41" s="40">
        <f t="shared" ref="J41:J50" si="2">I41-H41</f>
        <v>0</v>
      </c>
      <c r="K41" s="41">
        <f>'Dec 22'!$F41*'Dec 22'!$I41</f>
        <v>299622</v>
      </c>
      <c r="L41" s="42">
        <f>'Dec 22'!$K41/$K$2</f>
        <v>2.1067023994979016E-3</v>
      </c>
      <c r="M41" s="43"/>
    </row>
    <row r="42" spans="1:16" s="44" customFormat="1" ht="25.5" x14ac:dyDescent="0.25">
      <c r="A42" s="36" t="s">
        <v>154</v>
      </c>
      <c r="B42" s="36" t="s">
        <v>156</v>
      </c>
      <c r="C42" s="36" t="s">
        <v>61</v>
      </c>
      <c r="D42" s="37">
        <v>2E-3</v>
      </c>
      <c r="E42" s="38">
        <f>'Dec 22'!$D42*$C$6*$C$2</f>
        <v>284413.06683900004</v>
      </c>
      <c r="F42" s="38">
        <v>87862.333333333299</v>
      </c>
      <c r="G42" s="74">
        <f>'Dec 22'!$E42/'Dec 22'!$F42</f>
        <v>3.2370306597707796</v>
      </c>
      <c r="H42" s="36">
        <v>3</v>
      </c>
      <c r="I42" s="36">
        <v>3</v>
      </c>
      <c r="J42" s="40">
        <f t="shared" si="2"/>
        <v>0</v>
      </c>
      <c r="K42" s="41">
        <f>'Dec 22'!$F42*'Dec 22'!$I42</f>
        <v>263586.99999999988</v>
      </c>
      <c r="L42" s="42">
        <f>'Dec 22'!$K42/$K$2</f>
        <v>1.8533330842743629E-3</v>
      </c>
      <c r="M42" s="43"/>
      <c r="P42" s="44" t="s">
        <v>157</v>
      </c>
    </row>
    <row r="43" spans="1:16" s="44" customFormat="1" ht="25.5" x14ac:dyDescent="0.25">
      <c r="A43" s="36" t="s">
        <v>154</v>
      </c>
      <c r="B43" s="36" t="s">
        <v>68</v>
      </c>
      <c r="C43" s="36" t="s">
        <v>69</v>
      </c>
      <c r="D43" s="37">
        <v>2E-3</v>
      </c>
      <c r="E43" s="38">
        <f>'Dec 22'!$D43*$C$6*$C$2</f>
        <v>284413.06683900004</v>
      </c>
      <c r="F43" s="38">
        <v>101303.66666666701</v>
      </c>
      <c r="G43" s="74">
        <f>'Dec 22'!$E43/'Dec 22'!$F43</f>
        <v>2.807529837738671</v>
      </c>
      <c r="H43" s="36">
        <v>3</v>
      </c>
      <c r="I43" s="36">
        <v>3</v>
      </c>
      <c r="J43" s="40">
        <f t="shared" si="2"/>
        <v>0</v>
      </c>
      <c r="K43" s="41">
        <f>'Dec 22'!$F43*'Dec 22'!$I43</f>
        <v>303911.00000000105</v>
      </c>
      <c r="L43" s="42">
        <f>'Dec 22'!$K43/$K$2</f>
        <v>2.1368592190620481E-3</v>
      </c>
      <c r="M43" s="43"/>
    </row>
    <row r="44" spans="1:16" s="44" customFormat="1" ht="25.5" x14ac:dyDescent="0.25">
      <c r="A44" s="36" t="s">
        <v>154</v>
      </c>
      <c r="B44" s="36" t="s">
        <v>70</v>
      </c>
      <c r="C44" s="36" t="s">
        <v>71</v>
      </c>
      <c r="D44" s="37">
        <v>2E-3</v>
      </c>
      <c r="E44" s="38">
        <f>'Dec 22'!$D44*$C$6*$C$2</f>
        <v>284413.06683900004</v>
      </c>
      <c r="F44" s="38">
        <v>231743</v>
      </c>
      <c r="G44" s="74">
        <f>'Dec 22'!$E44/'Dec 22'!$F44</f>
        <v>1.2272779192424368</v>
      </c>
      <c r="H44" s="36">
        <v>1</v>
      </c>
      <c r="I44" s="36">
        <v>1</v>
      </c>
      <c r="J44" s="40">
        <f t="shared" si="2"/>
        <v>0</v>
      </c>
      <c r="K44" s="41">
        <f>'Dec 22'!$F44*'Dec 22'!$I44</f>
        <v>231743</v>
      </c>
      <c r="L44" s="42">
        <f>'Dec 22'!$K44/$K$2</f>
        <v>1.6294315309518066E-3</v>
      </c>
      <c r="M44" s="43"/>
    </row>
    <row r="45" spans="1:16" s="44" customFormat="1" ht="25.5" x14ac:dyDescent="0.25">
      <c r="A45" s="36" t="s">
        <v>154</v>
      </c>
      <c r="B45" s="36" t="s">
        <v>72</v>
      </c>
      <c r="C45" s="36" t="s">
        <v>73</v>
      </c>
      <c r="D45" s="37">
        <v>2E-3</v>
      </c>
      <c r="E45" s="38">
        <f>'Dec 22'!$D45*$C$6*$C$2</f>
        <v>284413.06683900004</v>
      </c>
      <c r="F45" s="38">
        <v>16428.684210526299</v>
      </c>
      <c r="G45" s="74">
        <f>'Dec 22'!$E45/'Dec 22'!$F45</f>
        <v>17.311980874084181</v>
      </c>
      <c r="H45" s="36">
        <v>19</v>
      </c>
      <c r="I45" s="36">
        <v>17</v>
      </c>
      <c r="J45" s="40">
        <f t="shared" si="2"/>
        <v>-2</v>
      </c>
      <c r="K45" s="41">
        <f>'Dec 22'!$F45*'Dec 22'!$I45</f>
        <v>279287.63157894707</v>
      </c>
      <c r="L45" s="42">
        <f>'Dec 22'!$K45/$K$2</f>
        <v>1.9637273751508693E-3</v>
      </c>
      <c r="M45" s="43"/>
    </row>
    <row r="46" spans="1:16" s="4" customFormat="1" ht="25.5" x14ac:dyDescent="0.2">
      <c r="A46" s="36" t="s">
        <v>154</v>
      </c>
      <c r="B46" s="63" t="s">
        <v>90</v>
      </c>
      <c r="C46" s="63" t="s">
        <v>91</v>
      </c>
      <c r="D46" s="37">
        <v>2E-3</v>
      </c>
      <c r="E46" s="38">
        <f>'Dec 22'!$D46*$C$6*$C$2</f>
        <v>284413.06683900004</v>
      </c>
      <c r="F46" s="38">
        <v>69699.5</v>
      </c>
      <c r="G46" s="74">
        <f>'Dec 22'!$E46/'Dec 22'!$F46</f>
        <v>4.0805610777552213</v>
      </c>
      <c r="H46" s="36">
        <v>4</v>
      </c>
      <c r="I46" s="36">
        <v>4</v>
      </c>
      <c r="J46" s="40">
        <f t="shared" si="2"/>
        <v>0</v>
      </c>
      <c r="K46" s="41">
        <f>'Dec 22'!$F46*'Dec 22'!$I46</f>
        <v>278798</v>
      </c>
      <c r="L46" s="42">
        <f>'Dec 22'!$K46/$K$2</f>
        <v>1.9602846772774226E-3</v>
      </c>
      <c r="M46" s="64"/>
    </row>
    <row r="47" spans="1:16" s="44" customFormat="1" ht="25.5" x14ac:dyDescent="0.25">
      <c r="A47" s="36" t="s">
        <v>154</v>
      </c>
      <c r="B47" s="36" t="s">
        <v>66</v>
      </c>
      <c r="C47" s="36" t="s">
        <v>67</v>
      </c>
      <c r="D47" s="37">
        <v>2E-3</v>
      </c>
      <c r="E47" s="38">
        <f>'Dec 22'!$D47*$C$6*$C$2</f>
        <v>284413.06683900004</v>
      </c>
      <c r="F47" s="38">
        <v>27070</v>
      </c>
      <c r="G47" s="74">
        <f>'Dec 22'!$E47/'Dec 22'!$F47</f>
        <v>10.506578014000739</v>
      </c>
      <c r="H47" s="36">
        <v>11</v>
      </c>
      <c r="I47" s="36">
        <v>11</v>
      </c>
      <c r="J47" s="40">
        <f t="shared" si="2"/>
        <v>0</v>
      </c>
      <c r="K47" s="41">
        <f>'Dec 22'!$F47*'Dec 22'!$I47</f>
        <v>297770</v>
      </c>
      <c r="L47" s="42">
        <f>'Dec 22'!$K47/$K$2</f>
        <v>2.0936806159043398E-3</v>
      </c>
      <c r="M47" s="43"/>
    </row>
    <row r="48" spans="1:16" s="44" customFormat="1" ht="25.5" x14ac:dyDescent="0.25">
      <c r="A48" s="36" t="s">
        <v>154</v>
      </c>
      <c r="B48" s="36" t="s">
        <v>77</v>
      </c>
      <c r="C48" s="36" t="s">
        <v>78</v>
      </c>
      <c r="D48" s="37">
        <v>2E-3</v>
      </c>
      <c r="E48" s="38">
        <f>'Dec 22'!$D48*$C$6*$C$2</f>
        <v>284413.06683900004</v>
      </c>
      <c r="F48" s="38">
        <v>7541.5526315789502</v>
      </c>
      <c r="G48" s="74">
        <f>'Dec 22'!$E48/'Dec 22'!$F48</f>
        <v>37.712800100084088</v>
      </c>
      <c r="H48" s="36">
        <v>38</v>
      </c>
      <c r="I48" s="36">
        <v>38</v>
      </c>
      <c r="J48" s="40">
        <f t="shared" si="2"/>
        <v>0</v>
      </c>
      <c r="K48" s="41">
        <f>'Dec 22'!$F48*'Dec 22'!$I48</f>
        <v>286579.00000000012</v>
      </c>
      <c r="L48" s="42">
        <f>'Dec 22'!$K48/$K$2</f>
        <v>2.0149944494920581E-3</v>
      </c>
      <c r="M48" s="43"/>
    </row>
    <row r="49" spans="1:13" s="44" customFormat="1" ht="25.5" x14ac:dyDescent="0.25">
      <c r="A49" s="36" t="s">
        <v>154</v>
      </c>
      <c r="B49" s="36" t="s">
        <v>63</v>
      </c>
      <c r="C49" s="36" t="s">
        <v>64</v>
      </c>
      <c r="D49" s="37">
        <v>2E-3</v>
      </c>
      <c r="E49" s="38">
        <f>'Dec 22'!$D49*$C$6*$C$2</f>
        <v>284413.06683900004</v>
      </c>
      <c r="F49" s="38">
        <v>28233.909090909099</v>
      </c>
      <c r="G49" s="74">
        <f>'Dec 22'!$E49/'Dec 22'!$F49</f>
        <v>10.073456917468677</v>
      </c>
      <c r="H49" s="36">
        <v>11</v>
      </c>
      <c r="I49" s="36">
        <v>10</v>
      </c>
      <c r="J49" s="40">
        <f t="shared" si="2"/>
        <v>-1</v>
      </c>
      <c r="K49" s="41">
        <f>'Dec 22'!$F49*'Dec 22'!$I49</f>
        <v>282339.090909091</v>
      </c>
      <c r="L49" s="42">
        <f>'Dec 22'!$K49/$K$2</f>
        <v>1.9851827979595563E-3</v>
      </c>
      <c r="M49" s="43"/>
    </row>
    <row r="50" spans="1:13" s="44" customFormat="1" ht="25.5" x14ac:dyDescent="0.25">
      <c r="A50" s="36" t="s">
        <v>154</v>
      </c>
      <c r="B50" s="36" t="s">
        <v>88</v>
      </c>
      <c r="C50" s="36" t="s">
        <v>89</v>
      </c>
      <c r="D50" s="37">
        <v>2E-3</v>
      </c>
      <c r="E50" s="38">
        <f>'Dec 22'!$D50*$C$6*$C$2</f>
        <v>284413.06683900004</v>
      </c>
      <c r="F50" s="38">
        <v>62375</v>
      </c>
      <c r="G50" s="74">
        <f>'Dec 22'!$E50/'Dec 22'!$F50</f>
        <v>4.5597285264769543</v>
      </c>
      <c r="H50" s="36">
        <v>5</v>
      </c>
      <c r="I50" s="36">
        <v>5</v>
      </c>
      <c r="J50" s="40">
        <f t="shared" si="2"/>
        <v>0</v>
      </c>
      <c r="K50" s="41">
        <f>'Dec 22'!$F50*'Dec 22'!$I50</f>
        <v>311875</v>
      </c>
      <c r="L50" s="42">
        <f>'Dec 22'!$K50/$K$2</f>
        <v>2.1928557009946135E-3</v>
      </c>
      <c r="M50" s="43"/>
    </row>
    <row r="51" spans="1:13" s="44" customFormat="1" ht="12.75" x14ac:dyDescent="0.25">
      <c r="A51" s="36"/>
      <c r="B51" s="36"/>
      <c r="C51" s="36"/>
      <c r="D51" s="37"/>
      <c r="E51" s="38"/>
      <c r="F51" s="38"/>
      <c r="G51" s="39"/>
      <c r="H51" s="36"/>
      <c r="I51" s="36"/>
      <c r="J51" s="43"/>
      <c r="K51" s="41"/>
      <c r="L51" s="42"/>
      <c r="M51" s="43"/>
    </row>
    <row r="52" spans="1:13" s="17" customFormat="1" ht="12.75" x14ac:dyDescent="0.2">
      <c r="A52" s="48" t="s">
        <v>164</v>
      </c>
      <c r="B52" s="67"/>
      <c r="C52" s="67"/>
      <c r="D52" s="75">
        <f>SUM(D41:D51)</f>
        <v>2.0000000000000004E-2</v>
      </c>
      <c r="E52" s="50">
        <f>SUM(E40:E51)</f>
        <v>2844130.6683900007</v>
      </c>
      <c r="F52" s="70"/>
      <c r="G52" s="70"/>
      <c r="H52" s="67"/>
      <c r="I52" s="67"/>
      <c r="J52" s="48"/>
      <c r="K52" s="50">
        <f>SUM(K40:K51)</f>
        <v>2835511.7224880387</v>
      </c>
      <c r="L52" s="53">
        <f>'Dec 22'!$K52/$K$2</f>
        <v>1.9937051850564977E-2</v>
      </c>
      <c r="M52" s="60"/>
    </row>
    <row r="53" spans="1:13" s="4" customFormat="1" ht="12.75" x14ac:dyDescent="0.2">
      <c r="A53" s="36"/>
      <c r="B53" s="63"/>
      <c r="C53" s="63"/>
      <c r="D53" s="76"/>
      <c r="E53" s="38"/>
      <c r="F53" s="38"/>
      <c r="G53" s="39"/>
      <c r="H53" s="63"/>
      <c r="I53" s="63"/>
      <c r="J53" s="36"/>
      <c r="K53" s="36"/>
      <c r="L53" s="42"/>
      <c r="M53" s="64"/>
    </row>
    <row r="54" spans="1:13" s="44" customFormat="1" ht="25.5" x14ac:dyDescent="0.25">
      <c r="A54" s="48" t="s">
        <v>165</v>
      </c>
      <c r="B54" s="55" t="s">
        <v>166</v>
      </c>
      <c r="C54" s="55" t="s">
        <v>167</v>
      </c>
      <c r="D54" s="56">
        <v>0</v>
      </c>
      <c r="E54" s="57">
        <f>'Dec 22'!$D54*$C$6*$C$2</f>
        <v>0</v>
      </c>
      <c r="F54" s="57">
        <v>0</v>
      </c>
      <c r="G54" s="58" t="s">
        <v>168</v>
      </c>
      <c r="H54" s="55">
        <v>0</v>
      </c>
      <c r="I54" s="55">
        <v>0</v>
      </c>
      <c r="J54" s="77">
        <f>I54-H54</f>
        <v>0</v>
      </c>
      <c r="K54" s="57">
        <f>'Dec 22'!$F54*'Dec 22'!$I54</f>
        <v>0</v>
      </c>
      <c r="L54" s="78">
        <f>'Dec 22'!$K54/$K$2</f>
        <v>0</v>
      </c>
      <c r="M54" s="55"/>
    </row>
    <row r="55" spans="1:13" s="4" customFormat="1" ht="12.75" x14ac:dyDescent="0.2">
      <c r="A55" s="36"/>
      <c r="B55" s="63"/>
      <c r="C55" s="63"/>
      <c r="D55" s="76"/>
      <c r="E55" s="38"/>
      <c r="F55" s="38"/>
      <c r="G55" s="39"/>
      <c r="H55" s="63"/>
      <c r="I55" s="63"/>
      <c r="J55" s="36"/>
      <c r="K55" s="36"/>
      <c r="L55" s="42"/>
      <c r="M55" s="64"/>
    </row>
    <row r="56" spans="1:13" s="4" customFormat="1" ht="12.75" x14ac:dyDescent="0.2">
      <c r="A56" s="36"/>
      <c r="B56" s="63"/>
      <c r="C56" s="63"/>
      <c r="D56" s="79"/>
      <c r="E56" s="65"/>
      <c r="F56" s="38"/>
      <c r="G56" s="39"/>
      <c r="H56" s="63"/>
      <c r="I56" s="63"/>
      <c r="J56" s="36"/>
      <c r="K56" s="36"/>
      <c r="L56" s="42"/>
      <c r="M56" s="64"/>
    </row>
    <row r="57" spans="1:13" s="17" customFormat="1" ht="12.75" x14ac:dyDescent="0.2">
      <c r="A57" s="48" t="s">
        <v>169</v>
      </c>
      <c r="B57" s="67"/>
      <c r="C57" s="67"/>
      <c r="D57" s="67"/>
      <c r="E57" s="80"/>
      <c r="F57" s="80"/>
      <c r="G57" s="48"/>
      <c r="H57" s="67"/>
      <c r="I57" s="67"/>
      <c r="J57" s="67"/>
      <c r="K57" s="80">
        <f>SUM(K24,K26,K39,K52,K54:K54)</f>
        <v>142223220.551422</v>
      </c>
      <c r="L57" s="53">
        <f>'Dec 22'!$K57/$K$2</f>
        <v>1</v>
      </c>
      <c r="M57" s="67"/>
    </row>
    <row r="58" spans="1:13" s="4" customFormat="1" ht="12.75" x14ac:dyDescent="0.2">
      <c r="A58" s="64"/>
      <c r="B58" s="64"/>
      <c r="C58" s="64"/>
      <c r="D58" s="81"/>
      <c r="E58" s="82"/>
      <c r="F58" s="38"/>
      <c r="G58" s="83"/>
      <c r="H58" s="64"/>
      <c r="I58" s="64"/>
      <c r="J58" s="64"/>
      <c r="K58" s="64"/>
      <c r="L58" s="42"/>
      <c r="M58" s="64"/>
    </row>
    <row r="59" spans="1:13" s="4" customFormat="1" ht="12.75" x14ac:dyDescent="0.2">
      <c r="A59" s="64"/>
      <c r="B59" s="64"/>
      <c r="C59" s="64"/>
      <c r="D59" s="81"/>
      <c r="E59" s="82"/>
      <c r="F59" s="38"/>
      <c r="G59" s="83"/>
      <c r="H59" s="64"/>
      <c r="I59" s="64"/>
      <c r="J59" s="64"/>
      <c r="K59" s="64"/>
      <c r="L59" s="42"/>
      <c r="M59" s="64"/>
    </row>
    <row r="60" spans="1:13" s="4" customFormat="1" ht="12.75" x14ac:dyDescent="0.2">
      <c r="A60" s="64"/>
      <c r="B60" s="64"/>
      <c r="C60" s="64"/>
      <c r="D60" s="81"/>
      <c r="E60" s="82"/>
      <c r="F60" s="38"/>
      <c r="G60" s="83"/>
      <c r="H60" s="64"/>
      <c r="I60" s="64"/>
      <c r="J60" s="64"/>
      <c r="K60" s="64"/>
      <c r="L60" s="42"/>
      <c r="M60" s="64"/>
    </row>
    <row r="61" spans="1:13" s="4" customFormat="1" ht="12.75" x14ac:dyDescent="0.2">
      <c r="A61" s="64"/>
      <c r="B61" s="64"/>
      <c r="C61" s="64"/>
      <c r="D61" s="81"/>
      <c r="E61" s="82"/>
      <c r="F61" s="38"/>
      <c r="G61" s="83"/>
      <c r="H61" s="64"/>
      <c r="I61" s="64"/>
      <c r="J61" s="64"/>
      <c r="K61" s="64"/>
      <c r="L61" s="42"/>
      <c r="M61" s="64"/>
    </row>
    <row r="62" spans="1:13" s="4" customFormat="1" ht="12.75" x14ac:dyDescent="0.2">
      <c r="A62" s="64"/>
      <c r="B62" s="64"/>
      <c r="C62" s="64"/>
      <c r="D62" s="81"/>
      <c r="E62" s="82"/>
      <c r="F62" s="38"/>
      <c r="G62" s="83"/>
      <c r="H62" s="64"/>
      <c r="I62" s="64"/>
      <c r="J62" s="64"/>
      <c r="K62" s="64"/>
      <c r="L62" s="42"/>
      <c r="M62" s="64"/>
    </row>
    <row r="63" spans="1:13" s="4" customFormat="1" ht="12.75" x14ac:dyDescent="0.2">
      <c r="A63" s="64"/>
      <c r="B63" s="64"/>
      <c r="C63" s="64"/>
      <c r="D63" s="81"/>
      <c r="E63" s="82"/>
      <c r="F63" s="38"/>
      <c r="G63" s="83"/>
      <c r="H63" s="64"/>
      <c r="I63" s="64"/>
      <c r="J63" s="64"/>
      <c r="K63" s="64"/>
      <c r="L63" s="42"/>
      <c r="M63" s="64"/>
    </row>
    <row r="64" spans="1:13" s="4" customFormat="1" ht="12.75" x14ac:dyDescent="0.2">
      <c r="A64" s="64"/>
      <c r="B64" s="64"/>
      <c r="C64" s="64"/>
      <c r="D64" s="81"/>
      <c r="E64" s="82"/>
      <c r="F64" s="38"/>
      <c r="G64" s="83"/>
      <c r="H64" s="64"/>
      <c r="I64" s="64"/>
      <c r="J64" s="64"/>
      <c r="K64" s="64"/>
      <c r="L64" s="42"/>
      <c r="M64" s="64"/>
    </row>
    <row r="65" spans="1:13" s="4" customFormat="1" ht="12.75" x14ac:dyDescent="0.2">
      <c r="A65" s="64"/>
      <c r="B65" s="64"/>
      <c r="C65" s="64"/>
      <c r="D65" s="81"/>
      <c r="E65" s="82"/>
      <c r="F65" s="38"/>
      <c r="G65" s="83"/>
      <c r="H65" s="64"/>
      <c r="I65" s="64"/>
      <c r="J65" s="64"/>
      <c r="K65" s="64"/>
      <c r="L65" s="42"/>
      <c r="M65" s="64"/>
    </row>
    <row r="66" spans="1:13" s="4" customFormat="1" ht="12.75" x14ac:dyDescent="0.2">
      <c r="A66" s="64"/>
      <c r="B66" s="64"/>
      <c r="C66" s="64"/>
      <c r="D66" s="81"/>
      <c r="E66" s="82"/>
      <c r="F66" s="38"/>
      <c r="G66" s="83"/>
      <c r="H66" s="64"/>
      <c r="I66" s="64"/>
      <c r="J66" s="64"/>
      <c r="K66" s="64"/>
      <c r="L66" s="42"/>
      <c r="M66" s="64"/>
    </row>
    <row r="67" spans="1:13" s="4" customFormat="1" ht="12.75" x14ac:dyDescent="0.2"/>
    <row r="68" spans="1:13" s="4" customFormat="1" ht="12.75" x14ac:dyDescent="0.2"/>
    <row r="70" spans="1:13" s="4" customFormat="1" ht="12.75" x14ac:dyDescent="0.2">
      <c r="A70" s="84"/>
      <c r="B70" s="84"/>
      <c r="E70" s="84"/>
      <c r="F70" s="84"/>
      <c r="G70" s="84"/>
      <c r="H70" s="85"/>
      <c r="M70" s="84"/>
    </row>
    <row r="71" spans="1:13" s="4" customFormat="1" ht="12.75" x14ac:dyDescent="0.2">
      <c r="A71" s="84"/>
      <c r="B71" s="84"/>
      <c r="E71" s="84"/>
      <c r="F71" s="84"/>
      <c r="G71" s="84"/>
      <c r="H71" s="85"/>
      <c r="M71" s="84"/>
    </row>
    <row r="72" spans="1:13" s="4" customFormat="1" ht="12.75" x14ac:dyDescent="0.2">
      <c r="A72" s="86"/>
      <c r="B72" s="86"/>
    </row>
    <row r="73" spans="1:13" s="4" customFormat="1" ht="12.75" x14ac:dyDescent="0.2">
      <c r="A73" s="87"/>
      <c r="B73" s="87"/>
      <c r="E73" s="87"/>
      <c r="F73" s="86"/>
      <c r="G73" s="86"/>
      <c r="M73" s="88"/>
    </row>
    <row r="74" spans="1:13" s="4" customFormat="1" ht="12.75" x14ac:dyDescent="0.2"/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MH74"/>
  <sheetViews>
    <sheetView topLeftCell="A19" zoomScale="140" zoomScaleNormal="140" workbookViewId="0">
      <pane xSplit="2" topLeftCell="C1" activePane="topRight" state="frozen"/>
      <selection activeCell="A19" sqref="A19"/>
      <selection pane="topRight" activeCell="O8" sqref="O8"/>
    </sheetView>
  </sheetViews>
  <sheetFormatPr defaultColWidth="9.140625" defaultRowHeight="15" x14ac:dyDescent="0.25"/>
  <cols>
    <col min="1" max="2" width="15.140625" style="4" customWidth="1"/>
    <col min="3" max="3" width="29.28515625" style="4" customWidth="1"/>
    <col min="4" max="4" width="14.85546875" style="4" customWidth="1"/>
    <col min="5" max="5" width="27.42578125" style="4" customWidth="1"/>
    <col min="6" max="7" width="13.7109375" style="4" customWidth="1"/>
    <col min="8" max="8" width="16.42578125" style="4" customWidth="1"/>
    <col min="9" max="9" width="15.42578125" style="4" customWidth="1"/>
    <col min="10" max="10" width="13.42578125" customWidth="1"/>
    <col min="11" max="11" width="23.42578125" customWidth="1"/>
    <col min="12" max="12" width="13.42578125" customWidth="1"/>
    <col min="13" max="13" width="22.42578125" style="4" customWidth="1"/>
    <col min="14" max="16" width="10.85546875" style="4" customWidth="1"/>
    <col min="17" max="17" width="11.28515625" style="4" customWidth="1"/>
    <col min="18" max="1022" width="9.140625" style="4"/>
  </cols>
  <sheetData>
    <row r="1" spans="1:17" s="4" customFormat="1" ht="25.5" x14ac:dyDescent="0.2">
      <c r="A1" s="5"/>
      <c r="B1" s="5" t="s">
        <v>95</v>
      </c>
      <c r="C1" s="6">
        <v>44188</v>
      </c>
      <c r="D1" s="7"/>
      <c r="E1" s="8" t="s">
        <v>96</v>
      </c>
      <c r="F1" s="9"/>
      <c r="G1" s="10"/>
      <c r="K1" s="11" t="s">
        <v>97</v>
      </c>
      <c r="L1" s="11" t="s">
        <v>98</v>
      </c>
      <c r="M1" s="12" t="s">
        <v>99</v>
      </c>
    </row>
    <row r="2" spans="1:17" x14ac:dyDescent="0.25">
      <c r="A2" s="5"/>
      <c r="B2" s="5" t="s">
        <v>100</v>
      </c>
      <c r="C2" s="13">
        <v>5.13</v>
      </c>
      <c r="D2" s="14"/>
      <c r="E2" s="15">
        <f>SUM(E24,E39,E52,E26,E54)</f>
        <v>147098982.05062997</v>
      </c>
      <c r="F2" s="16"/>
      <c r="G2" s="17"/>
      <c r="H2" s="14"/>
      <c r="I2" s="14"/>
      <c r="J2" s="14"/>
      <c r="K2" s="15">
        <f>SUM(K24,K39,K52,K26,K54:K54)</f>
        <v>147133821.1777052</v>
      </c>
      <c r="L2" s="18">
        <f>SUM(L52,L39,L24,L26,L54)</f>
        <v>0.99999999999999978</v>
      </c>
      <c r="M2" s="19">
        <f>K2/$C$6</f>
        <v>5.1311996026752063</v>
      </c>
      <c r="N2" s="20"/>
    </row>
    <row r="3" spans="1:17" ht="26.25" x14ac:dyDescent="0.25">
      <c r="A3" s="5"/>
      <c r="B3" s="5" t="s">
        <v>101</v>
      </c>
      <c r="C3" s="21">
        <v>28674351.530000001</v>
      </c>
      <c r="D3" s="22"/>
      <c r="E3" s="8" t="s">
        <v>170</v>
      </c>
      <c r="F3" s="16"/>
      <c r="H3" s="14"/>
      <c r="I3" s="14"/>
      <c r="J3" s="14"/>
      <c r="K3" s="8" t="s">
        <v>102</v>
      </c>
      <c r="L3" s="14"/>
      <c r="M3" s="12" t="s">
        <v>171</v>
      </c>
      <c r="N3" s="23"/>
    </row>
    <row r="4" spans="1:17" x14ac:dyDescent="0.25">
      <c r="A4" s="5"/>
      <c r="B4" s="5" t="s">
        <v>104</v>
      </c>
      <c r="C4" s="21">
        <v>0</v>
      </c>
      <c r="D4" s="22"/>
      <c r="E4" s="15">
        <f>SUM(E24,E52,E26)</f>
        <v>63252310.741756946</v>
      </c>
      <c r="F4" s="16"/>
      <c r="G4" s="17"/>
      <c r="H4" s="14"/>
      <c r="I4" s="14"/>
      <c r="J4" s="14"/>
      <c r="K4" s="15">
        <f>SUM(K24,K26,K52)</f>
        <v>63173081.614992782</v>
      </c>
      <c r="L4" s="14"/>
      <c r="M4" s="19">
        <f>K4/$C$6</f>
        <v>2.2031215439658376</v>
      </c>
      <c r="N4" s="23"/>
    </row>
    <row r="5" spans="1:17" x14ac:dyDescent="0.25">
      <c r="A5" s="5"/>
      <c r="B5" s="5" t="s">
        <v>105</v>
      </c>
      <c r="C5" s="21">
        <v>0</v>
      </c>
      <c r="D5" s="22"/>
      <c r="E5" s="16"/>
      <c r="F5" s="16"/>
      <c r="G5" s="24">
        <f>SUM(D24,D26,D39,D52,D54:D54)</f>
        <v>0.99999700000000002</v>
      </c>
      <c r="H5" s="14"/>
      <c r="I5" s="14"/>
      <c r="J5" s="14"/>
      <c r="K5" s="14"/>
      <c r="L5" s="14"/>
      <c r="M5" s="14"/>
      <c r="N5" s="23"/>
    </row>
    <row r="6" spans="1:17" x14ac:dyDescent="0.25">
      <c r="A6" s="5"/>
      <c r="B6" s="5" t="s">
        <v>106</v>
      </c>
      <c r="C6" s="21">
        <f>C3+C4-C5</f>
        <v>28674351.530000001</v>
      </c>
      <c r="D6" s="22"/>
      <c r="E6" s="16"/>
      <c r="F6" s="16"/>
      <c r="G6" s="17"/>
      <c r="H6" s="14"/>
      <c r="I6" s="14"/>
      <c r="J6" s="14"/>
      <c r="K6" s="14"/>
      <c r="L6" s="14"/>
      <c r="M6" s="14"/>
      <c r="N6" s="23"/>
    </row>
    <row r="7" spans="1:17" x14ac:dyDescent="0.25">
      <c r="A7" s="25"/>
      <c r="B7" s="26"/>
      <c r="C7" s="26"/>
      <c r="D7" s="27"/>
      <c r="E7" s="28"/>
      <c r="F7" s="28"/>
      <c r="G7" s="28"/>
      <c r="H7" s="29"/>
      <c r="I7" s="29"/>
      <c r="J7" s="29"/>
      <c r="K7" s="14"/>
      <c r="L7" s="14"/>
      <c r="M7" s="14"/>
      <c r="N7" s="23"/>
    </row>
    <row r="8" spans="1:17" s="34" customFormat="1" ht="38.25" x14ac:dyDescent="0.2">
      <c r="A8" s="30" t="s">
        <v>107</v>
      </c>
      <c r="B8" s="30" t="s">
        <v>108</v>
      </c>
      <c r="C8" s="31" t="s">
        <v>1</v>
      </c>
      <c r="D8" s="31" t="s">
        <v>109</v>
      </c>
      <c r="E8" s="31" t="s">
        <v>110</v>
      </c>
      <c r="F8" s="31" t="s">
        <v>111</v>
      </c>
      <c r="G8" s="31" t="s">
        <v>112</v>
      </c>
      <c r="H8" s="31" t="s">
        <v>113</v>
      </c>
      <c r="I8" s="31" t="s">
        <v>114</v>
      </c>
      <c r="J8" s="31" t="s">
        <v>115</v>
      </c>
      <c r="K8" s="32" t="s">
        <v>116</v>
      </c>
      <c r="L8" s="32" t="s">
        <v>117</v>
      </c>
      <c r="M8" s="32" t="s">
        <v>118</v>
      </c>
      <c r="N8" s="33"/>
      <c r="Q8" s="35"/>
    </row>
    <row r="9" spans="1:17" s="45" customFormat="1" ht="12.75" customHeight="1" x14ac:dyDescent="0.25">
      <c r="A9" s="36" t="s">
        <v>119</v>
      </c>
      <c r="B9" s="36" t="s">
        <v>43</v>
      </c>
      <c r="C9" s="36" t="s">
        <v>44</v>
      </c>
      <c r="D9" s="37">
        <v>8.5559999999999994E-3</v>
      </c>
      <c r="E9" s="38">
        <f>'Dec 23'!$D9*$C$6*$C$2</f>
        <v>1258582.6661731882</v>
      </c>
      <c r="F9" s="38">
        <v>405.500168747891</v>
      </c>
      <c r="G9" s="39">
        <f>'Dec 23'!$E9/'Dec 23'!$F9</f>
        <v>3103.77840300155</v>
      </c>
      <c r="H9" s="36">
        <v>2963</v>
      </c>
      <c r="I9" s="36">
        <f>ROUND(Table138958456799101112131445626789101112131415161718192021345678910111213141516171819202122233456789101112131415161718192034567891011121314151617[[#This Row],[Target Quantity]],0)</f>
        <v>3104</v>
      </c>
      <c r="J9" s="40">
        <f t="shared" ref="J9:J22" si="0">I9-H9</f>
        <v>141</v>
      </c>
      <c r="K9" s="41">
        <f>'Dec 23'!$F9*'Dec 23'!$I9</f>
        <v>1258672.5237934536</v>
      </c>
      <c r="L9" s="42">
        <f>'Dec 23'!$K9/$K$2</f>
        <v>8.5546104472693247E-3</v>
      </c>
      <c r="M9" s="36"/>
      <c r="O9" s="44"/>
    </row>
    <row r="10" spans="1:17" s="45" customFormat="1" ht="12.75" customHeight="1" x14ac:dyDescent="0.25">
      <c r="A10" s="36" t="s">
        <v>119</v>
      </c>
      <c r="B10" s="36" t="s">
        <v>25</v>
      </c>
      <c r="C10" s="36" t="s">
        <v>26</v>
      </c>
      <c r="D10" s="37">
        <v>8.5559999999999994E-3</v>
      </c>
      <c r="E10" s="38">
        <f>'Dec 23'!$D10*$C$6*$C$2</f>
        <v>1258582.6661731882</v>
      </c>
      <c r="F10" s="38">
        <v>273</v>
      </c>
      <c r="G10" s="39">
        <f>'Dec 23'!$E10/'Dec 23'!$F10</f>
        <v>4610.1929163853047</v>
      </c>
      <c r="H10" s="36">
        <v>4483</v>
      </c>
      <c r="I10" s="36">
        <f>ROUND(Table138958456799101112131445626789101112131415161718192021345678910111213141516171819202122233456789101112131415161718192034567891011121314151617[[#This Row],[Target Quantity]],0)</f>
        <v>4610</v>
      </c>
      <c r="J10" s="40">
        <f t="shared" si="0"/>
        <v>127</v>
      </c>
      <c r="K10" s="41">
        <f>'Dec 23'!$F10*'Dec 23'!$I10</f>
        <v>1258530</v>
      </c>
      <c r="L10" s="42">
        <f>'Dec 23'!$K10/$K$2</f>
        <v>8.5536417794789231E-3</v>
      </c>
      <c r="M10" s="36"/>
      <c r="O10" s="44"/>
    </row>
    <row r="11" spans="1:17" s="45" customFormat="1" ht="12.75" customHeight="1" x14ac:dyDescent="0.25">
      <c r="A11" s="36" t="s">
        <v>119</v>
      </c>
      <c r="B11" s="36" t="s">
        <v>33</v>
      </c>
      <c r="C11" s="36" t="s">
        <v>34</v>
      </c>
      <c r="D11" s="37">
        <v>8.5559999999999994E-3</v>
      </c>
      <c r="E11" s="38">
        <f>'Dec 23'!$D11*$C$6*$C$2</f>
        <v>1258582.6661731882</v>
      </c>
      <c r="F11" s="38">
        <v>38</v>
      </c>
      <c r="G11" s="39">
        <f>'Dec 23'!$E11/'Dec 23'!$F11</f>
        <v>33120.596478241794</v>
      </c>
      <c r="H11" s="36">
        <v>31536</v>
      </c>
      <c r="I11" s="36">
        <f>ROUND(Table138958456799101112131445626789101112131415161718192021345678910111213141516171819202122233456789101112131415161718192034567891011121314151617[[#This Row],[Target Quantity]],0)</f>
        <v>33121</v>
      </c>
      <c r="J11" s="40">
        <f t="shared" si="0"/>
        <v>1585</v>
      </c>
      <c r="K11" s="41">
        <f>'Dec 23'!$F11*'Dec 23'!$I11</f>
        <v>1258598</v>
      </c>
      <c r="L11" s="42">
        <f>'Dec 23'!$K11/$K$2</f>
        <v>8.5541039437825196E-3</v>
      </c>
      <c r="M11" s="36"/>
      <c r="O11" s="44"/>
    </row>
    <row r="12" spans="1:17" s="45" customFormat="1" ht="12.75" customHeight="1" x14ac:dyDescent="0.25">
      <c r="A12" s="36" t="s">
        <v>119</v>
      </c>
      <c r="B12" s="36" t="s">
        <v>19</v>
      </c>
      <c r="C12" s="36" t="s">
        <v>20</v>
      </c>
      <c r="D12" s="37">
        <v>8.5559999999999994E-3</v>
      </c>
      <c r="E12" s="38">
        <f>'Dec 23'!$D12*$C$6*$C$2</f>
        <v>1258582.6661731882</v>
      </c>
      <c r="F12" s="38">
        <v>536.75010883761399</v>
      </c>
      <c r="G12" s="39">
        <f>'Dec 23'!$E12/'Dec 23'!$F12</f>
        <v>2344.8205141472163</v>
      </c>
      <c r="H12" s="36">
        <v>2297</v>
      </c>
      <c r="I12" s="36">
        <f>ROUND(Table138958456799101112131445626789101112131415161718192021345678910111213141516171819202122233456789101112131415161718192034567891011121314151617[[#This Row],[Target Quantity]],0)</f>
        <v>2345</v>
      </c>
      <c r="J12" s="40">
        <f t="shared" si="0"/>
        <v>48</v>
      </c>
      <c r="K12" s="41">
        <f>'Dec 23'!$F12*'Dec 23'!$I12</f>
        <v>1258679.0052242049</v>
      </c>
      <c r="L12" s="42">
        <f>'Dec 23'!$K12/$K$2</f>
        <v>8.5546544985329945E-3</v>
      </c>
      <c r="M12" s="36"/>
      <c r="O12" s="92"/>
    </row>
    <row r="13" spans="1:17" s="45" customFormat="1" ht="12.75" customHeight="1" x14ac:dyDescent="0.25">
      <c r="A13" s="36" t="s">
        <v>119</v>
      </c>
      <c r="B13" s="36" t="s">
        <v>29</v>
      </c>
      <c r="C13" s="36" t="s">
        <v>30</v>
      </c>
      <c r="D13" s="37">
        <v>8.5559999999999994E-3</v>
      </c>
      <c r="E13" s="38">
        <f>'Dec 23'!$D13*$C$6*$C$2</f>
        <v>1258582.6661731882</v>
      </c>
      <c r="F13" s="38">
        <v>20.069996812989601</v>
      </c>
      <c r="G13" s="39">
        <f>'Dec 23'!$E13/'Dec 23'!$F13</f>
        <v>62709.659493249885</v>
      </c>
      <c r="H13" s="36">
        <v>59617</v>
      </c>
      <c r="I13" s="36">
        <f>ROUND(Table138958456799101112131445626789101112131415161718192021345678910111213141516171819202122233456789101112131415161718192034567891011121314151617[[#This Row],[Target Quantity]],0)</f>
        <v>62710</v>
      </c>
      <c r="J13" s="40">
        <f t="shared" si="0"/>
        <v>3093</v>
      </c>
      <c r="K13" s="41">
        <f>'Dec 23'!$F13*'Dec 23'!$I13</f>
        <v>1258589.5001425778</v>
      </c>
      <c r="L13" s="42">
        <f>'Dec 23'!$K13/$K$2</f>
        <v>8.5540461742136045E-3</v>
      </c>
      <c r="M13" s="36"/>
      <c r="O13" s="44"/>
    </row>
    <row r="14" spans="1:17" s="45" customFormat="1" ht="12.75" customHeight="1" x14ac:dyDescent="0.25">
      <c r="A14" s="36" t="s">
        <v>119</v>
      </c>
      <c r="B14" s="36" t="s">
        <v>21</v>
      </c>
      <c r="C14" s="36" t="s">
        <v>22</v>
      </c>
      <c r="D14" s="37">
        <v>8.5559999999999994E-3</v>
      </c>
      <c r="E14" s="38">
        <f>'Dec 23'!$D14*$C$6*$C$2</f>
        <v>1258582.6661731882</v>
      </c>
      <c r="F14" s="38">
        <v>38.029985196384096</v>
      </c>
      <c r="G14" s="39">
        <f>'Dec 23'!$E14/'Dec 23'!$F14</f>
        <v>33094.482148072326</v>
      </c>
      <c r="H14" s="36">
        <v>31749</v>
      </c>
      <c r="I14" s="36">
        <f>ROUND(Table138958456799101112131445626789101112131415161718192021345678910111213141516171819202122233456789101112131415161718192034567891011121314151617[[#This Row],[Target Quantity]],0)</f>
        <v>33094</v>
      </c>
      <c r="J14" s="40">
        <f t="shared" si="0"/>
        <v>1345</v>
      </c>
      <c r="K14" s="41">
        <f>'Dec 23'!$F14*'Dec 23'!$I14</f>
        <v>1258564.3300891353</v>
      </c>
      <c r="L14" s="42">
        <f>'Dec 23'!$K14/$K$2</f>
        <v>8.5538751050927113E-3</v>
      </c>
      <c r="M14" s="36"/>
      <c r="O14" s="44"/>
    </row>
    <row r="15" spans="1:17" s="45" customFormat="1" ht="12.75" customHeight="1" x14ac:dyDescent="0.25">
      <c r="A15" s="36" t="s">
        <v>119</v>
      </c>
      <c r="B15" s="36" t="s">
        <v>37</v>
      </c>
      <c r="C15" s="36" t="s">
        <v>38</v>
      </c>
      <c r="D15" s="37">
        <v>8.5559999999999994E-3</v>
      </c>
      <c r="E15" s="38">
        <f>'Dec 23'!$D15*$C$6*$C$2</f>
        <v>1258582.6661731882</v>
      </c>
      <c r="F15" s="38">
        <v>69.129999437475405</v>
      </c>
      <c r="G15" s="39">
        <f>'Dec 23'!$E15/'Dec 23'!$F15</f>
        <v>18206.02743258392</v>
      </c>
      <c r="H15" s="36">
        <v>17777</v>
      </c>
      <c r="I15" s="36">
        <f>ROUND(Table138958456799101112131445626789101112131415161718192021345678910111213141516171819202122233456789101112131415161718192034567891011121314151617[[#This Row],[Target Quantity]],0)</f>
        <v>18206</v>
      </c>
      <c r="J15" s="40">
        <f t="shared" si="0"/>
        <v>429</v>
      </c>
      <c r="K15" s="41">
        <f>'Dec 23'!$F15*'Dec 23'!$I15</f>
        <v>1258580.7697586771</v>
      </c>
      <c r="L15" s="42">
        <f>'Dec 23'!$K15/$K$2</f>
        <v>8.5539868378636703E-3</v>
      </c>
      <c r="M15" s="36"/>
      <c r="O15" s="44"/>
    </row>
    <row r="16" spans="1:17" s="45" customFormat="1" ht="12.75" customHeight="1" x14ac:dyDescent="0.25">
      <c r="A16" s="36" t="s">
        <v>119</v>
      </c>
      <c r="B16" s="36" t="s">
        <v>23</v>
      </c>
      <c r="C16" s="36" t="s">
        <v>24</v>
      </c>
      <c r="D16" s="37">
        <v>8.5559999999999994E-3</v>
      </c>
      <c r="E16" s="38">
        <f>'Dec 23'!$D16*$C$6*$C$2</f>
        <v>1258582.6661731882</v>
      </c>
      <c r="F16" s="38">
        <v>269.26004831978901</v>
      </c>
      <c r="G16" s="39">
        <f>'Dec 23'!$E16/'Dec 23'!$F16</f>
        <v>4674.2272907803308</v>
      </c>
      <c r="H16" s="36">
        <v>4553</v>
      </c>
      <c r="I16" s="36">
        <f>ROUND(Table138958456799101112131445626789101112131415161718192021345678910111213141516171819202122233456789101112131415161718192034567891011121314151617[[#This Row],[Target Quantity]],0)</f>
        <v>4674</v>
      </c>
      <c r="J16" s="40">
        <f t="shared" si="0"/>
        <v>121</v>
      </c>
      <c r="K16" s="41">
        <f>'Dec 23'!$F16*'Dec 23'!$I16</f>
        <v>1258521.4658466938</v>
      </c>
      <c r="L16" s="42">
        <f>'Dec 23'!$K16/$K$2</f>
        <v>8.5535837768168713E-3</v>
      </c>
      <c r="M16" s="36"/>
      <c r="O16" s="44"/>
    </row>
    <row r="17" spans="1:15" s="45" customFormat="1" ht="12.75" customHeight="1" x14ac:dyDescent="0.25">
      <c r="A17" s="36" t="s">
        <v>119</v>
      </c>
      <c r="B17" s="36" t="s">
        <v>15</v>
      </c>
      <c r="C17" s="36" t="s">
        <v>16</v>
      </c>
      <c r="D17" s="37">
        <v>8.5559999999999994E-3</v>
      </c>
      <c r="E17" s="38">
        <f>'Dec 23'!$D17*$C$6*$C$2</f>
        <v>1258582.6661731882</v>
      </c>
      <c r="F17" s="38">
        <v>146.50005824111801</v>
      </c>
      <c r="G17" s="39">
        <f>'Dec 23'!$E17/'Dec 23'!$F17</f>
        <v>8591.0045448701621</v>
      </c>
      <c r="H17" s="36">
        <v>8585</v>
      </c>
      <c r="I17" s="36">
        <f>ROUND(Table138958456799101112131445626789101112131415161718192021345678910111213141516171819202122233456789101112131415161718192034567891011121314151617[[#This Row],[Target Quantity]],0)</f>
        <v>8591</v>
      </c>
      <c r="J17" s="40">
        <f t="shared" si="0"/>
        <v>6</v>
      </c>
      <c r="K17" s="41">
        <f>'Dec 23'!$F17*'Dec 23'!$I17</f>
        <v>1258582.0003494448</v>
      </c>
      <c r="L17" s="42">
        <f>'Dec 23'!$K17/$K$2</f>
        <v>8.5539952016155107E-3</v>
      </c>
      <c r="M17" s="36"/>
      <c r="O17" s="44"/>
    </row>
    <row r="18" spans="1:15" s="45" customFormat="1" ht="12.75" customHeight="1" x14ac:dyDescent="0.25">
      <c r="A18" s="36" t="s">
        <v>119</v>
      </c>
      <c r="B18" s="36" t="s">
        <v>27</v>
      </c>
      <c r="C18" s="36" t="s">
        <v>28</v>
      </c>
      <c r="D18" s="37">
        <v>8.5559999999999994E-3</v>
      </c>
      <c r="E18" s="38">
        <f>'Dec 23'!$D18*$C$6*$C$2</f>
        <v>1258582.6661731882</v>
      </c>
      <c r="F18" s="38">
        <v>41.1</v>
      </c>
      <c r="G18" s="39">
        <f>'Dec 23'!$E18/'Dec 23'!$F18</f>
        <v>30622.449298617717</v>
      </c>
      <c r="H18" s="36">
        <v>29470</v>
      </c>
      <c r="I18" s="36">
        <f>ROUND(Table138958456799101112131445626789101112131415161718192021345678910111213141516171819202122233456789101112131415161718192034567891011121314151617[[#This Row],[Target Quantity]],0)</f>
        <v>30622</v>
      </c>
      <c r="J18" s="40">
        <f t="shared" si="0"/>
        <v>1152</v>
      </c>
      <c r="K18" s="41">
        <f>'Dec 23'!$F18*'Dec 23'!$I18</f>
        <v>1258564.2</v>
      </c>
      <c r="L18" s="42">
        <f>'Dec 23'!$K18/$K$2</f>
        <v>8.553874220937497E-3</v>
      </c>
      <c r="M18" s="36"/>
      <c r="O18" s="91"/>
    </row>
    <row r="19" spans="1:15" s="45" customFormat="1" ht="12.75" customHeight="1" x14ac:dyDescent="0.25">
      <c r="A19" s="36" t="s">
        <v>119</v>
      </c>
      <c r="B19" s="36" t="s">
        <v>41</v>
      </c>
      <c r="C19" s="36" t="s">
        <v>42</v>
      </c>
      <c r="D19" s="37">
        <v>8.5559999999999994E-3</v>
      </c>
      <c r="E19" s="38">
        <f>'Dec 23'!$D19*$C$6*$C$2</f>
        <v>1258582.6661731882</v>
      </c>
      <c r="F19" s="38">
        <v>34.559998856620197</v>
      </c>
      <c r="G19" s="39">
        <f>'Dec 23'!$E19/'Dec 23'!$F19</f>
        <v>36417.323721412635</v>
      </c>
      <c r="H19" s="36">
        <v>34984</v>
      </c>
      <c r="I19" s="36">
        <f>ROUND(Table138958456799101112131445626789101112131415161718192021345678910111213141516171819202122233456789101112131415161718192034567891011121314151617[[#This Row],[Target Quantity]],0)</f>
        <v>36417</v>
      </c>
      <c r="J19" s="40">
        <f t="shared" si="0"/>
        <v>1433</v>
      </c>
      <c r="K19" s="41">
        <f>'Dec 23'!$F19*'Dec 23'!$I19</f>
        <v>1258571.4783615377</v>
      </c>
      <c r="L19" s="42">
        <f>'Dec 23'!$K19/$K$2</f>
        <v>8.5539236885682525E-3</v>
      </c>
      <c r="M19" s="36"/>
      <c r="O19" s="91"/>
    </row>
    <row r="20" spans="1:15" s="45" customFormat="1" ht="12.75" customHeight="1" x14ac:dyDescent="0.25">
      <c r="A20" s="36" t="s">
        <v>119</v>
      </c>
      <c r="B20" s="36" t="s">
        <v>35</v>
      </c>
      <c r="C20" s="36" t="s">
        <v>36</v>
      </c>
      <c r="D20" s="37">
        <v>8.5559999999999994E-3</v>
      </c>
      <c r="E20" s="38">
        <f>'Dec 23'!$D20*$C$6*$C$2</f>
        <v>1258582.6661731882</v>
      </c>
      <c r="F20" s="38">
        <v>120.200045439055</v>
      </c>
      <c r="G20" s="39">
        <f>'Dec 23'!$E20/'Dec 23'!$F20</f>
        <v>10470.733697112677</v>
      </c>
      <c r="H20" s="36">
        <v>8803</v>
      </c>
      <c r="I20" s="36">
        <f>ROUND(Table138958456799101112131445626789101112131415161718192021345678910111213141516171819202122233456789101112131415161718192034567891011121314151617[[#This Row],[Target Quantity]],0)</f>
        <v>10471</v>
      </c>
      <c r="J20" s="40">
        <f t="shared" si="0"/>
        <v>1668</v>
      </c>
      <c r="K20" s="41">
        <f>'Dec 23'!$F20*'Dec 23'!$I20</f>
        <v>1258614.6757923448</v>
      </c>
      <c r="L20" s="42">
        <f>'Dec 23'!$K20/$K$2</f>
        <v>8.5542172813701071E-3</v>
      </c>
      <c r="M20" s="36"/>
      <c r="O20" s="91"/>
    </row>
    <row r="21" spans="1:15" s="45" customFormat="1" ht="12.75" customHeight="1" x14ac:dyDescent="0.25">
      <c r="A21" s="36" t="s">
        <v>119</v>
      </c>
      <c r="B21" s="36" t="s">
        <v>39</v>
      </c>
      <c r="C21" s="36" t="s">
        <v>40</v>
      </c>
      <c r="D21" s="37">
        <v>0.23957500000000001</v>
      </c>
      <c r="E21" s="38">
        <f>'Dec 23'!$D21*$C$6*$C$2</f>
        <v>35241344.348812722</v>
      </c>
      <c r="F21" s="38">
        <v>310.29998910616001</v>
      </c>
      <c r="G21" s="39">
        <f>'Dec 23'!$E21/'Dec 23'!$F21</f>
        <v>113571.85171139639</v>
      </c>
      <c r="H21" s="36">
        <v>110154</v>
      </c>
      <c r="I21" s="36">
        <f>ROUND(Table138958456799101112131445626789101112131415161718192021345678910111213141516171819202122233456789101112131415161718192034567891011121314151617[[#This Row],[Target Quantity]],0)</f>
        <v>113572</v>
      </c>
      <c r="J21" s="40">
        <f t="shared" si="0"/>
        <v>3418</v>
      </c>
      <c r="K21" s="41">
        <f>'Dec 23'!$F21*'Dec 23'!$I21</f>
        <v>35241390.362764806</v>
      </c>
      <c r="L21" s="42">
        <f>'Dec 23'!$K21/$K$2</f>
        <v>0.23951930345233799</v>
      </c>
      <c r="M21" s="36"/>
      <c r="O21" s="93"/>
    </row>
    <row r="22" spans="1:15" s="45" customFormat="1" ht="12.75" customHeight="1" x14ac:dyDescent="0.25">
      <c r="A22" s="36" t="s">
        <v>119</v>
      </c>
      <c r="B22" s="45" t="s">
        <v>11</v>
      </c>
      <c r="C22" s="36" t="s">
        <v>12</v>
      </c>
      <c r="D22" s="37">
        <v>2.775E-2</v>
      </c>
      <c r="E22" s="38">
        <f>'Dec 23'!$D22*$C$6*$C$2</f>
        <v>4082008.9979319749</v>
      </c>
      <c r="F22" s="38">
        <v>2.4779583826552898</v>
      </c>
      <c r="G22" s="39">
        <f>'Dec 23'!$E22/'Dec 23'!$F22</f>
        <v>1647327.504168106</v>
      </c>
      <c r="H22" s="36">
        <v>1605100</v>
      </c>
      <c r="I22" s="36">
        <f>ROUND(Table138958456799101112131445626789101112131415161718192021345678910111213141516171819202122233456789101112131415161718192034567891011121314151617[[#This Row],[Target Quantity]],-2)</f>
        <v>1647300</v>
      </c>
      <c r="J22" s="40">
        <f t="shared" si="0"/>
        <v>42200</v>
      </c>
      <c r="K22" s="41">
        <f>'Dec 23'!$F22*'Dec 23'!$I22</f>
        <v>4081940.8437480587</v>
      </c>
      <c r="L22" s="42">
        <f>'Dec 23'!$K22/$K$2</f>
        <v>2.7743049226037396E-2</v>
      </c>
      <c r="M22" s="36"/>
    </row>
    <row r="23" spans="1:15" s="45" customFormat="1" ht="12.75" customHeight="1" x14ac:dyDescent="0.25">
      <c r="A23" s="36"/>
      <c r="B23" s="36"/>
      <c r="C23" s="36"/>
      <c r="D23" s="37"/>
      <c r="E23" s="38"/>
      <c r="F23" s="38"/>
      <c r="G23" s="39"/>
      <c r="H23" s="36"/>
      <c r="I23" s="36"/>
      <c r="J23" s="46"/>
      <c r="K23" s="38"/>
      <c r="L23" s="47"/>
      <c r="M23" s="36"/>
      <c r="O23" s="91"/>
    </row>
    <row r="24" spans="1:15" s="54" customFormat="1" ht="12.75" customHeight="1" x14ac:dyDescent="0.25">
      <c r="A24" s="48" t="s">
        <v>136</v>
      </c>
      <c r="B24" s="48"/>
      <c r="C24" s="48"/>
      <c r="D24" s="49">
        <f>SUM(D9:D23)</f>
        <v>0.36999699999999996</v>
      </c>
      <c r="E24" s="50">
        <f>'Dec 23'!$D24*$C$6*$C$2</f>
        <v>54426345.34082295</v>
      </c>
      <c r="F24" s="51"/>
      <c r="G24" s="51"/>
      <c r="H24" s="48"/>
      <c r="I24" s="48"/>
      <c r="J24" s="52"/>
      <c r="K24" s="50">
        <f>SUM(K9:K23)</f>
        <v>54426399.155870929</v>
      </c>
      <c r="L24" s="53">
        <f>'Dec 23'!$K24/$K$2</f>
        <v>0.36991086563391734</v>
      </c>
      <c r="M24" s="48"/>
      <c r="O24" s="90"/>
    </row>
    <row r="25" spans="1:15" s="45" customFormat="1" ht="12.75" customHeight="1" x14ac:dyDescent="0.25">
      <c r="A25" s="36"/>
      <c r="B25" s="36"/>
      <c r="C25" s="36"/>
      <c r="D25" s="37"/>
      <c r="E25" s="38"/>
      <c r="F25" s="38"/>
      <c r="G25" s="39"/>
      <c r="H25" s="36"/>
      <c r="I25" s="36"/>
      <c r="J25" s="46"/>
      <c r="K25" s="38"/>
      <c r="L25" s="42"/>
      <c r="M25" s="36"/>
      <c r="O25" s="89"/>
    </row>
    <row r="26" spans="1:15" s="44" customFormat="1" ht="12.75" customHeight="1" x14ac:dyDescent="0.25">
      <c r="A26" s="55"/>
      <c r="B26" s="48" t="s">
        <v>31</v>
      </c>
      <c r="C26" s="55" t="s">
        <v>32</v>
      </c>
      <c r="D26" s="56">
        <v>0.04</v>
      </c>
      <c r="E26" s="57">
        <f>'Dec 23'!$D26*$C$6*$C$2</f>
        <v>5883976.933956</v>
      </c>
      <c r="F26" s="51">
        <v>17.820000940041002</v>
      </c>
      <c r="G26" s="58">
        <f>'Dec 23'!$E26/'Dec 23'!$F26</f>
        <v>330189.48504850426</v>
      </c>
      <c r="H26" s="55">
        <v>319135</v>
      </c>
      <c r="I26" s="55">
        <f>ROUND(Table138958456799101112131445626789101112131415161718192021345678910111213141516171819202122233456789101112131415161718192034567891011121314151617[[#This Row],[Target Quantity]],0)</f>
        <v>330189</v>
      </c>
      <c r="J26" s="59">
        <f>I26-H26</f>
        <v>11054</v>
      </c>
      <c r="K26" s="60">
        <f>'Dec 23'!$F26*'Dec 23'!$I26</f>
        <v>5883968.2903911984</v>
      </c>
      <c r="L26" s="53">
        <f>'Dec 23'!$K26/$K$2</f>
        <v>3.9990589813369032E-2</v>
      </c>
      <c r="M26" s="48"/>
      <c r="O26" s="61"/>
    </row>
    <row r="27" spans="1:15" s="44" customFormat="1" ht="12.75" customHeight="1" x14ac:dyDescent="0.25">
      <c r="A27" s="36"/>
      <c r="B27" s="36"/>
      <c r="C27" s="36"/>
      <c r="D27" s="37"/>
      <c r="E27" s="38"/>
      <c r="F27" s="38"/>
      <c r="G27" s="39"/>
      <c r="H27" s="36"/>
      <c r="I27" s="36"/>
      <c r="J27" s="46"/>
      <c r="K27" s="41"/>
      <c r="L27" s="42"/>
      <c r="M27" s="36"/>
      <c r="O27" s="61"/>
    </row>
    <row r="28" spans="1:15" s="4" customFormat="1" ht="25.5" x14ac:dyDescent="0.2">
      <c r="A28" s="36" t="s">
        <v>137</v>
      </c>
      <c r="B28" s="62" t="s">
        <v>75</v>
      </c>
      <c r="C28" s="63" t="s">
        <v>76</v>
      </c>
      <c r="D28" s="37">
        <v>5.7000000000000002E-2</v>
      </c>
      <c r="E28" s="38">
        <f>'Dec 23'!$D28*$C$6*$C$2</f>
        <v>8384667.1308873007</v>
      </c>
      <c r="F28" s="38">
        <v>156099.84615384601</v>
      </c>
      <c r="G28" s="39">
        <f>'Dec 23'!$E28/'Dec 23'!$F28</f>
        <v>53.713487472778766</v>
      </c>
      <c r="H28" s="36">
        <v>52</v>
      </c>
      <c r="I28" s="36">
        <f>ROUND(Table138958456799101112131445626789101112131415161718192021345678910111213141516171819202122233456789101112131415161718192034567891011121314151617[[#This Row],[Target Quantity]],0)</f>
        <v>54</v>
      </c>
      <c r="J28" s="40">
        <f t="shared" ref="J28:J37" si="1">I28-H28</f>
        <v>2</v>
      </c>
      <c r="K28" s="41">
        <f>'Dec 23'!$F28*'Dec 23'!$I28</f>
        <v>8429391.6923076846</v>
      </c>
      <c r="L28" s="42">
        <f>'Dec 23'!$K28/$K$2</f>
        <v>5.7290646194302526E-2</v>
      </c>
      <c r="M28" s="64"/>
    </row>
    <row r="29" spans="1:15" s="4" customFormat="1" ht="25.5" x14ac:dyDescent="0.2">
      <c r="A29" s="36" t="s">
        <v>137</v>
      </c>
      <c r="B29" s="62" t="s">
        <v>80</v>
      </c>
      <c r="C29" s="63" t="s">
        <v>81</v>
      </c>
      <c r="D29" s="37">
        <v>5.7000000000000002E-2</v>
      </c>
      <c r="E29" s="38">
        <f>'Dec 23'!$D29*$C$6*$C$2</f>
        <v>8384667.1308873007</v>
      </c>
      <c r="F29" s="38">
        <v>212894.815789474</v>
      </c>
      <c r="G29" s="39">
        <f>'Dec 23'!$E29/'Dec 23'!$F29</f>
        <v>39.384083167054072</v>
      </c>
      <c r="H29" s="36">
        <v>38</v>
      </c>
      <c r="I29" s="36">
        <f>ROUND(Table138958456799101112131445626789101112131415161718192021345678910111213141516171819202122233456789101112131415161718192034567891011121314151617[[#This Row],[Target Quantity]],0)</f>
        <v>39</v>
      </c>
      <c r="J29" s="40">
        <f t="shared" si="1"/>
        <v>1</v>
      </c>
      <c r="K29" s="41">
        <f>'Dec 23'!$F29*'Dec 23'!$I29</f>
        <v>8302897.8157894863</v>
      </c>
      <c r="L29" s="42">
        <f>'Dec 23'!$K29/$K$2</f>
        <v>5.6430926277388105E-2</v>
      </c>
      <c r="M29" s="64"/>
    </row>
    <row r="30" spans="1:15" s="4" customFormat="1" ht="25.5" x14ac:dyDescent="0.2">
      <c r="A30" s="36" t="s">
        <v>137</v>
      </c>
      <c r="B30" s="62" t="s">
        <v>82</v>
      </c>
      <c r="C30" s="63" t="s">
        <v>83</v>
      </c>
      <c r="D30" s="37">
        <v>5.7000000000000002E-2</v>
      </c>
      <c r="E30" s="38">
        <f>'Dec 23'!$D30*$C$6*$C$2</f>
        <v>8384667.1308873007</v>
      </c>
      <c r="F30" s="38">
        <v>172832.765957447</v>
      </c>
      <c r="G30" s="39">
        <f>'Dec 23'!$E30/'Dec 23'!$F30</f>
        <v>48.513180266707543</v>
      </c>
      <c r="H30" s="36">
        <v>47</v>
      </c>
      <c r="I30" s="36">
        <f>ROUND(Table138958456799101112131445626789101112131415161718192021345678910111213141516171819202122233456789101112131415161718192034567891011121314151617[[#This Row],[Target Quantity]],0)</f>
        <v>49</v>
      </c>
      <c r="J30" s="40">
        <f t="shared" si="1"/>
        <v>2</v>
      </c>
      <c r="K30" s="41">
        <f>'Dec 23'!$F30*'Dec 23'!$I30</f>
        <v>8468805.5319149029</v>
      </c>
      <c r="L30" s="42">
        <f>'Dec 23'!$K30/$K$2</f>
        <v>5.7558523690392396E-2</v>
      </c>
      <c r="M30" s="64"/>
    </row>
    <row r="31" spans="1:15" s="4" customFormat="1" ht="25.5" x14ac:dyDescent="0.2">
      <c r="A31" s="36" t="s">
        <v>137</v>
      </c>
      <c r="B31" s="62" t="s">
        <v>84</v>
      </c>
      <c r="C31" s="63" t="s">
        <v>85</v>
      </c>
      <c r="D31" s="37">
        <v>5.7000000000000002E-2</v>
      </c>
      <c r="E31" s="38">
        <f>'Dec 23'!$D31*$C$6*$C$2</f>
        <v>8384667.1308873007</v>
      </c>
      <c r="F31" s="38">
        <v>126044.171875</v>
      </c>
      <c r="G31" s="39">
        <f>'Dec 23'!$E31/'Dec 23'!$F31</f>
        <v>66.521656703036683</v>
      </c>
      <c r="H31" s="36">
        <v>64</v>
      </c>
      <c r="I31" s="36">
        <f>ROUND(Table138958456799101112131445626789101112131415161718192021345678910111213141516171819202122233456789101112131415161718192034567891011121314151617[[#This Row],[Target Quantity]],0)</f>
        <v>67</v>
      </c>
      <c r="J31" s="40">
        <f t="shared" si="1"/>
        <v>3</v>
      </c>
      <c r="K31" s="41">
        <f>'Dec 23'!$F31*'Dec 23'!$I31</f>
        <v>8444959.515625</v>
      </c>
      <c r="L31" s="42">
        <f>'Dec 23'!$K31/$K$2</f>
        <v>5.7396453432860629E-2</v>
      </c>
      <c r="M31" s="64"/>
    </row>
    <row r="32" spans="1:15" s="4" customFormat="1" ht="25.5" x14ac:dyDescent="0.2">
      <c r="A32" s="36" t="s">
        <v>137</v>
      </c>
      <c r="B32" s="62" t="s">
        <v>86</v>
      </c>
      <c r="C32" s="63" t="s">
        <v>87</v>
      </c>
      <c r="D32" s="37">
        <v>5.7000000000000002E-2</v>
      </c>
      <c r="E32" s="38">
        <f>'Dec 23'!$D32*$C$6*$C$2</f>
        <v>8384667.1308873007</v>
      </c>
      <c r="F32" s="38">
        <v>137927.91525423701</v>
      </c>
      <c r="G32" s="39">
        <f>'Dec 23'!$E32/'Dec 23'!$F32</f>
        <v>60.790211433502627</v>
      </c>
      <c r="H32" s="36">
        <v>59</v>
      </c>
      <c r="I32" s="36">
        <f>ROUND(Table138958456799101112131445626789101112131415161718192021345678910111213141516171819202122233456789101112131415161718192034567891011121314151617[[#This Row],[Target Quantity]],0)</f>
        <v>61</v>
      </c>
      <c r="J32" s="40">
        <f t="shared" si="1"/>
        <v>2</v>
      </c>
      <c r="K32" s="41">
        <f>'Dec 23'!$F32*'Dec 23'!$I32</f>
        <v>8413602.8305084575</v>
      </c>
      <c r="L32" s="42">
        <f>'Dec 23'!$K32/$K$2</f>
        <v>5.7183336660214114E-2</v>
      </c>
      <c r="M32" s="64"/>
    </row>
    <row r="33" spans="1:16" s="4" customFormat="1" ht="25.5" x14ac:dyDescent="0.2">
      <c r="A33" s="36" t="s">
        <v>137</v>
      </c>
      <c r="B33" s="62" t="s">
        <v>92</v>
      </c>
      <c r="C33" s="63" t="s">
        <v>93</v>
      </c>
      <c r="D33" s="37">
        <v>5.7000000000000002E-2</v>
      </c>
      <c r="E33" s="38">
        <f>'Dec 23'!$D33*$C$6*$C$2</f>
        <v>8384667.1308873007</v>
      </c>
      <c r="F33" s="38">
        <v>220956.864864865</v>
      </c>
      <c r="G33" s="39">
        <f>'Dec 23'!$E33/'Dec 23'!$F33</f>
        <v>37.947076846946025</v>
      </c>
      <c r="H33" s="36">
        <v>37</v>
      </c>
      <c r="I33" s="36">
        <f>ROUND(Table138958456799101112131445626789101112131415161718192021345678910111213141516171819202122233456789101112131415161718192034567891011121314151617[[#This Row],[Target Quantity]],0)</f>
        <v>38</v>
      </c>
      <c r="J33" s="40">
        <f t="shared" si="1"/>
        <v>1</v>
      </c>
      <c r="K33" s="41">
        <f>'Dec 23'!$F33*'Dec 23'!$I33</f>
        <v>8396360.864864869</v>
      </c>
      <c r="L33" s="42">
        <f>'Dec 23'!$K33/$K$2</f>
        <v>5.7066151056621557E-2</v>
      </c>
      <c r="M33" s="64"/>
    </row>
    <row r="34" spans="1:16" s="44" customFormat="1" ht="25.5" customHeight="1" x14ac:dyDescent="0.2">
      <c r="A34" s="36" t="s">
        <v>138</v>
      </c>
      <c r="B34" s="36" t="s">
        <v>54</v>
      </c>
      <c r="C34" s="36" t="s">
        <v>55</v>
      </c>
      <c r="D34" s="37">
        <v>5.7000000000000002E-2</v>
      </c>
      <c r="E34" s="38">
        <f>'Dec 23'!$D34*$C$6*$C$2</f>
        <v>8384667.1308873007</v>
      </c>
      <c r="F34" s="38">
        <v>115573.442857143</v>
      </c>
      <c r="G34" s="39">
        <f>'Dec 23'!$E34/'Dec 23'!$F34</f>
        <v>72.548389349717183</v>
      </c>
      <c r="H34" s="36">
        <v>70</v>
      </c>
      <c r="I34" s="36">
        <f>ROUND(Table138958456799101112131445626789101112131415161718192021345678910111213141516171819202122233456789101112131415161718192034567891011121314151617[[#This Row],[Target Quantity]],0)</f>
        <v>73</v>
      </c>
      <c r="J34" s="40">
        <f t="shared" si="1"/>
        <v>3</v>
      </c>
      <c r="K34" s="41">
        <f>'Dec 23'!$F34*'Dec 23'!$I34</f>
        <v>8436861.3285714388</v>
      </c>
      <c r="L34" s="42">
        <f>'Dec 23'!$K34/$K$2</f>
        <v>5.7341413830213593E-2</v>
      </c>
      <c r="M34" s="43"/>
      <c r="O34" s="4"/>
    </row>
    <row r="35" spans="1:16" s="44" customFormat="1" ht="25.5" x14ac:dyDescent="0.2">
      <c r="A35" s="36" t="s">
        <v>138</v>
      </c>
      <c r="B35" s="36" t="s">
        <v>52</v>
      </c>
      <c r="C35" s="36" t="s">
        <v>53</v>
      </c>
      <c r="D35" s="37">
        <v>5.7000000000000002E-2</v>
      </c>
      <c r="E35" s="38">
        <f>'Dec 23'!$D35*$C$6*$C$2</f>
        <v>8384667.1308873007</v>
      </c>
      <c r="F35" s="38">
        <v>138118.89830508499</v>
      </c>
      <c r="G35" s="39">
        <f>'Dec 23'!$E35/'Dec 23'!$F35</f>
        <v>60.706154145298527</v>
      </c>
      <c r="H35" s="36">
        <v>59</v>
      </c>
      <c r="I35" s="36">
        <f>ROUND(Table138958456799101112131445626789101112131415161718192021345678910111213141516171819202122233456789101112131415161718192034567891011121314151617[[#This Row],[Target Quantity]],0)</f>
        <v>61</v>
      </c>
      <c r="J35" s="40">
        <f t="shared" si="1"/>
        <v>2</v>
      </c>
      <c r="K35" s="41">
        <f>'Dec 23'!$F35*'Dec 23'!$I35</f>
        <v>8425252.796610184</v>
      </c>
      <c r="L35" s="42">
        <f>'Dec 23'!$K35/$K$2</f>
        <v>5.7262516049483535E-2</v>
      </c>
      <c r="M35" s="43"/>
      <c r="O35" s="4"/>
    </row>
    <row r="36" spans="1:16" s="44" customFormat="1" ht="24.95" customHeight="1" x14ac:dyDescent="0.2">
      <c r="A36" s="36" t="s">
        <v>138</v>
      </c>
      <c r="B36" s="36" t="s">
        <v>48</v>
      </c>
      <c r="C36" s="36" t="s">
        <v>49</v>
      </c>
      <c r="D36" s="37">
        <v>5.7000000000000002E-2</v>
      </c>
      <c r="E36" s="38">
        <f>'Dec 23'!$D36*$C$6*$C$2</f>
        <v>8384667.1308873007</v>
      </c>
      <c r="F36" s="38">
        <v>185156.772727273</v>
      </c>
      <c r="G36" s="39">
        <f>'Dec 23'!$E36/'Dec 23'!$F36</f>
        <v>45.284150330474333</v>
      </c>
      <c r="H36" s="36">
        <v>44</v>
      </c>
      <c r="I36" s="36">
        <f>ROUND(Table138958456799101112131445626789101112131415161718192021345678910111213141516171819202122233456789101112131415161718192034567891011121314151617[[#This Row],[Target Quantity]],0)</f>
        <v>45</v>
      </c>
      <c r="J36" s="40">
        <f t="shared" si="1"/>
        <v>1</v>
      </c>
      <c r="K36" s="41">
        <f>'Dec 23'!$F36*'Dec 23'!$I36</f>
        <v>8332054.7727272846</v>
      </c>
      <c r="L36" s="42">
        <f>'Dec 23'!$K36/$K$2</f>
        <v>5.6629092522948891E-2</v>
      </c>
      <c r="M36" s="43"/>
      <c r="O36" s="4"/>
    </row>
    <row r="37" spans="1:16" s="44" customFormat="1" ht="25.5" x14ac:dyDescent="0.2">
      <c r="A37" s="36" t="s">
        <v>138</v>
      </c>
      <c r="B37" s="36" t="s">
        <v>58</v>
      </c>
      <c r="C37" s="36" t="s">
        <v>59</v>
      </c>
      <c r="D37" s="37">
        <v>5.7000000000000002E-2</v>
      </c>
      <c r="E37" s="38">
        <f>'Dec 23'!$D37*$C$6*$C$2</f>
        <v>8384667.1308873007</v>
      </c>
      <c r="F37" s="38">
        <v>277018.41379310301</v>
      </c>
      <c r="G37" s="39">
        <f>'Dec 23'!$E37/'Dec 23'!$F37</f>
        <v>30.267544370352091</v>
      </c>
      <c r="H37" s="36">
        <v>29</v>
      </c>
      <c r="I37" s="36">
        <f>ROUND(Table138958456799101112131445626789101112131415161718192021345678910111213141516171819202122233456789101112131415161718192034567891011121314151617[[#This Row],[Target Quantity]],0)</f>
        <v>30</v>
      </c>
      <c r="J37" s="40">
        <f t="shared" si="1"/>
        <v>1</v>
      </c>
      <c r="K37" s="41">
        <f>'Dec 23'!$F37*'Dec 23'!$I37</f>
        <v>8310552.4137930907</v>
      </c>
      <c r="L37" s="42">
        <f>'Dec 23'!$K37/$K$2</f>
        <v>5.6482951012029901E-2</v>
      </c>
      <c r="M37" s="43"/>
      <c r="O37" s="4"/>
    </row>
    <row r="38" spans="1:16" s="66" customFormat="1" ht="12.75" x14ac:dyDescent="0.2">
      <c r="A38" s="36"/>
      <c r="B38" s="63"/>
      <c r="C38" s="63"/>
      <c r="D38" s="37"/>
      <c r="E38" s="65"/>
      <c r="F38" s="38"/>
      <c r="G38" s="39"/>
      <c r="H38" s="36"/>
      <c r="I38" s="36"/>
      <c r="J38" s="46"/>
      <c r="K38" s="38"/>
      <c r="L38" s="47"/>
      <c r="M38" s="64"/>
    </row>
    <row r="39" spans="1:16" s="17" customFormat="1" ht="12.75" x14ac:dyDescent="0.2">
      <c r="A39" s="48" t="s">
        <v>142</v>
      </c>
      <c r="B39" s="67"/>
      <c r="C39" s="67"/>
      <c r="D39" s="56">
        <f>SUBTOTAL(9,D28:D38)</f>
        <v>0.57000000000000006</v>
      </c>
      <c r="E39" s="68">
        <f>'Dec 23'!$D39*$C$6*$C$2</f>
        <v>83846671.308873013</v>
      </c>
      <c r="F39" s="69"/>
      <c r="G39" s="70"/>
      <c r="H39" s="55"/>
      <c r="I39" s="55"/>
      <c r="J39" s="59"/>
      <c r="K39" s="68">
        <f>SUM(K28:K38)</f>
        <v>83960739.562712401</v>
      </c>
      <c r="L39" s="71">
        <f>'Dec 23'!$K39/$K$2</f>
        <v>0.57064201072645526</v>
      </c>
      <c r="M39" s="72"/>
    </row>
    <row r="40" spans="1:16" s="44" customFormat="1" ht="12.75" x14ac:dyDescent="0.25">
      <c r="A40" s="36"/>
      <c r="B40" s="36"/>
      <c r="C40" s="36"/>
      <c r="D40" s="37"/>
      <c r="E40" s="38"/>
      <c r="F40" s="38"/>
      <c r="G40" s="74"/>
      <c r="H40" s="36"/>
      <c r="I40" s="36"/>
      <c r="J40" s="40"/>
      <c r="K40" s="41"/>
      <c r="L40" s="42"/>
      <c r="M40" s="43"/>
    </row>
    <row r="41" spans="1:16" s="44" customFormat="1" ht="25.5" x14ac:dyDescent="0.25">
      <c r="A41" s="36" t="s">
        <v>154</v>
      </c>
      <c r="B41" s="36" t="s">
        <v>45</v>
      </c>
      <c r="C41" s="36" t="s">
        <v>46</v>
      </c>
      <c r="D41" s="37">
        <v>2E-3</v>
      </c>
      <c r="E41" s="38">
        <f>'Dec 23'!$D41*$C$6*$C$2</f>
        <v>294198.84669780004</v>
      </c>
      <c r="F41" s="38">
        <v>49758</v>
      </c>
      <c r="G41" s="74">
        <f>'Dec 23'!$E41/'Dec 23'!$F41</f>
        <v>5.9125938883757394</v>
      </c>
      <c r="H41" s="36">
        <v>6</v>
      </c>
      <c r="I41" s="36">
        <v>6</v>
      </c>
      <c r="J41" s="40">
        <f t="shared" ref="J41:J50" si="2">I41-H41</f>
        <v>0</v>
      </c>
      <c r="K41" s="41">
        <f>'Dec 23'!$F41*'Dec 23'!$I41</f>
        <v>298548</v>
      </c>
      <c r="L41" s="42">
        <f>'Dec 23'!$K41/$K$2</f>
        <v>2.029091595734606E-3</v>
      </c>
      <c r="M41" s="43"/>
    </row>
    <row r="42" spans="1:16" s="44" customFormat="1" ht="25.5" x14ac:dyDescent="0.25">
      <c r="A42" s="36" t="s">
        <v>154</v>
      </c>
      <c r="B42" s="36" t="s">
        <v>60</v>
      </c>
      <c r="C42" s="36" t="s">
        <v>61</v>
      </c>
      <c r="D42" s="37">
        <v>2E-3</v>
      </c>
      <c r="E42" s="38">
        <f>'Dec 23'!$D42*$C$6*$C$2</f>
        <v>294198.84669780004</v>
      </c>
      <c r="F42" s="38">
        <v>88567</v>
      </c>
      <c r="G42" s="74">
        <f>'Dec 23'!$E42/'Dec 23'!$F42</f>
        <v>3.3217659703704543</v>
      </c>
      <c r="H42" s="36">
        <v>3</v>
      </c>
      <c r="I42" s="36">
        <v>3</v>
      </c>
      <c r="J42" s="40">
        <f t="shared" si="2"/>
        <v>0</v>
      </c>
      <c r="K42" s="41">
        <f>'Dec 23'!$F42*'Dec 23'!$I42</f>
        <v>265701</v>
      </c>
      <c r="L42" s="42">
        <f>'Dec 23'!$K42/$K$2</f>
        <v>1.8058458474961498E-3</v>
      </c>
      <c r="M42" s="43"/>
      <c r="P42" s="44" t="s">
        <v>157</v>
      </c>
    </row>
    <row r="43" spans="1:16" s="44" customFormat="1" ht="25.5" x14ac:dyDescent="0.25">
      <c r="A43" s="36" t="s">
        <v>154</v>
      </c>
      <c r="B43" s="36" t="s">
        <v>68</v>
      </c>
      <c r="C43" s="36" t="s">
        <v>69</v>
      </c>
      <c r="D43" s="37">
        <v>2E-3</v>
      </c>
      <c r="E43" s="38">
        <f>'Dec 23'!$D43*$C$6*$C$2</f>
        <v>294198.84669780004</v>
      </c>
      <c r="F43" s="38">
        <v>100042.66666666701</v>
      </c>
      <c r="G43" s="74">
        <f>'Dec 23'!$E43/'Dec 23'!$F43</f>
        <v>2.9407337539096554</v>
      </c>
      <c r="H43" s="36">
        <v>3</v>
      </c>
      <c r="I43" s="36">
        <v>3</v>
      </c>
      <c r="J43" s="40">
        <f t="shared" si="2"/>
        <v>0</v>
      </c>
      <c r="K43" s="41">
        <f>'Dec 23'!$F43*'Dec 23'!$I43</f>
        <v>300128.00000000105</v>
      </c>
      <c r="L43" s="42">
        <f>'Dec 23'!$K43/$K$2</f>
        <v>2.0398301192593418E-3</v>
      </c>
      <c r="M43" s="43"/>
    </row>
    <row r="44" spans="1:16" s="44" customFormat="1" ht="25.5" x14ac:dyDescent="0.25">
      <c r="A44" s="36" t="s">
        <v>154</v>
      </c>
      <c r="B44" s="36" t="s">
        <v>70</v>
      </c>
      <c r="C44" s="36" t="s">
        <v>71</v>
      </c>
      <c r="D44" s="37">
        <v>2E-3</v>
      </c>
      <c r="E44" s="38">
        <f>'Dec 23'!$D44*$C$6*$C$2</f>
        <v>294198.84669780004</v>
      </c>
      <c r="F44" s="38">
        <v>233698</v>
      </c>
      <c r="G44" s="74">
        <f>'Dec 23'!$E44/'Dec 23'!$F44</f>
        <v>1.2588847431206087</v>
      </c>
      <c r="H44" s="36">
        <v>1</v>
      </c>
      <c r="I44" s="36">
        <v>1</v>
      </c>
      <c r="J44" s="40">
        <f t="shared" si="2"/>
        <v>0</v>
      </c>
      <c r="K44" s="41">
        <f>'Dec 23'!$F44*'Dec 23'!$I44</f>
        <v>233698</v>
      </c>
      <c r="L44" s="42">
        <f>'Dec 23'!$K44/$K$2</f>
        <v>1.5883363738493843E-3</v>
      </c>
      <c r="M44" s="43"/>
    </row>
    <row r="45" spans="1:16" s="44" customFormat="1" ht="25.5" x14ac:dyDescent="0.25">
      <c r="A45" s="36" t="s">
        <v>154</v>
      </c>
      <c r="B45" s="36" t="s">
        <v>72</v>
      </c>
      <c r="C45" s="36" t="s">
        <v>73</v>
      </c>
      <c r="D45" s="37">
        <v>2E-3</v>
      </c>
      <c r="E45" s="38">
        <f>'Dec 23'!$D45*$C$6*$C$2</f>
        <v>294198.84669780004</v>
      </c>
      <c r="F45" s="38">
        <v>16041.352941176499</v>
      </c>
      <c r="G45" s="74">
        <f>'Dec 23'!$E45/'Dec 23'!$F45</f>
        <v>18.340027039902722</v>
      </c>
      <c r="H45" s="36">
        <v>17</v>
      </c>
      <c r="I45" s="36">
        <v>18</v>
      </c>
      <c r="J45" s="40">
        <f t="shared" si="2"/>
        <v>1</v>
      </c>
      <c r="K45" s="41">
        <f>'Dec 23'!$F45*'Dec 23'!$I45</f>
        <v>288744.35294117697</v>
      </c>
      <c r="L45" s="42">
        <f>'Dec 23'!$K45/$K$2</f>
        <v>1.9624607763869431E-3</v>
      </c>
      <c r="M45" s="43"/>
    </row>
    <row r="46" spans="1:16" s="4" customFormat="1" ht="25.5" x14ac:dyDescent="0.2">
      <c r="A46" s="36" t="s">
        <v>154</v>
      </c>
      <c r="B46" s="63" t="s">
        <v>90</v>
      </c>
      <c r="C46" s="63" t="s">
        <v>91</v>
      </c>
      <c r="D46" s="37">
        <v>2E-3</v>
      </c>
      <c r="E46" s="38">
        <f>'Dec 23'!$D46*$C$6*$C$2</f>
        <v>294198.84669780004</v>
      </c>
      <c r="F46" s="38">
        <v>69657.5</v>
      </c>
      <c r="G46" s="74">
        <f>'Dec 23'!$E46/'Dec 23'!$F46</f>
        <v>4.2235056770311887</v>
      </c>
      <c r="H46" s="36">
        <v>4</v>
      </c>
      <c r="I46" s="36">
        <v>4</v>
      </c>
      <c r="J46" s="40">
        <f t="shared" si="2"/>
        <v>0</v>
      </c>
      <c r="K46" s="41">
        <f>'Dec 23'!$F46*'Dec 23'!$I46</f>
        <v>278630</v>
      </c>
      <c r="L46" s="42">
        <f>'Dec 23'!$K46/$K$2</f>
        <v>1.8937182339842614E-3</v>
      </c>
      <c r="M46" s="64"/>
    </row>
    <row r="47" spans="1:16" s="44" customFormat="1" ht="25.5" x14ac:dyDescent="0.25">
      <c r="A47" s="36" t="s">
        <v>154</v>
      </c>
      <c r="B47" s="36" t="s">
        <v>66</v>
      </c>
      <c r="C47" s="36" t="s">
        <v>67</v>
      </c>
      <c r="D47" s="37">
        <v>2E-3</v>
      </c>
      <c r="E47" s="38">
        <f>'Dec 23'!$D47*$C$6*$C$2</f>
        <v>294198.84669780004</v>
      </c>
      <c r="F47" s="38">
        <v>27260</v>
      </c>
      <c r="G47" s="74">
        <f>'Dec 23'!$E47/'Dec 23'!$F47</f>
        <v>10.7923274650697</v>
      </c>
      <c r="H47" s="36">
        <v>11</v>
      </c>
      <c r="I47" s="36">
        <v>11</v>
      </c>
      <c r="J47" s="40">
        <f t="shared" si="2"/>
        <v>0</v>
      </c>
      <c r="K47" s="41">
        <f>'Dec 23'!$F47*'Dec 23'!$I47</f>
        <v>299860</v>
      </c>
      <c r="L47" s="42">
        <f>'Dec 23'!$K47/$K$2</f>
        <v>2.0380086481804564E-3</v>
      </c>
      <c r="M47" s="43"/>
    </row>
    <row r="48" spans="1:16" s="44" customFormat="1" ht="25.5" x14ac:dyDescent="0.25">
      <c r="A48" s="36" t="s">
        <v>154</v>
      </c>
      <c r="B48" s="36" t="s">
        <v>77</v>
      </c>
      <c r="C48" s="36" t="s">
        <v>78</v>
      </c>
      <c r="D48" s="37">
        <v>2E-3</v>
      </c>
      <c r="E48" s="38">
        <f>'Dec 23'!$D48*$C$6*$C$2</f>
        <v>294198.84669780004</v>
      </c>
      <c r="F48" s="38">
        <v>7549.8157894736796</v>
      </c>
      <c r="G48" s="74">
        <f>'Dec 23'!$E48/'Dec 23'!$F48</f>
        <v>38.967685424588289</v>
      </c>
      <c r="H48" s="36">
        <v>38</v>
      </c>
      <c r="I48" s="36">
        <v>39</v>
      </c>
      <c r="J48" s="40">
        <f t="shared" si="2"/>
        <v>1</v>
      </c>
      <c r="K48" s="41">
        <f>'Dec 23'!$F48*'Dec 23'!$I48</f>
        <v>294442.81578947348</v>
      </c>
      <c r="L48" s="42">
        <f>'Dec 23'!$K48/$K$2</f>
        <v>2.0011905721788567E-3</v>
      </c>
      <c r="M48" s="43"/>
    </row>
    <row r="49" spans="1:13" s="44" customFormat="1" ht="25.5" x14ac:dyDescent="0.25">
      <c r="A49" s="36" t="s">
        <v>154</v>
      </c>
      <c r="B49" s="36" t="s">
        <v>63</v>
      </c>
      <c r="C49" s="36" t="s">
        <v>64</v>
      </c>
      <c r="D49" s="37">
        <v>2E-3</v>
      </c>
      <c r="E49" s="38">
        <f>'Dec 23'!$D49*$C$6*$C$2</f>
        <v>294198.84669780004</v>
      </c>
      <c r="F49" s="38">
        <v>28875</v>
      </c>
      <c r="G49" s="74">
        <f>'Dec 23'!$E49/'Dec 23'!$F49</f>
        <v>10.188704647542858</v>
      </c>
      <c r="H49" s="36">
        <v>10</v>
      </c>
      <c r="I49" s="36">
        <v>10</v>
      </c>
      <c r="J49" s="40">
        <f t="shared" si="2"/>
        <v>0</v>
      </c>
      <c r="K49" s="41">
        <f>'Dec 23'!$F49*'Dec 23'!$I49</f>
        <v>288750</v>
      </c>
      <c r="L49" s="42">
        <f>'Dec 23'!$K49/$K$2</f>
        <v>1.9624991568135356E-3</v>
      </c>
      <c r="M49" s="43"/>
    </row>
    <row r="50" spans="1:13" s="44" customFormat="1" ht="25.5" x14ac:dyDescent="0.25">
      <c r="A50" s="36" t="s">
        <v>154</v>
      </c>
      <c r="B50" s="36" t="s">
        <v>88</v>
      </c>
      <c r="C50" s="36" t="s">
        <v>89</v>
      </c>
      <c r="D50" s="37">
        <v>2E-3</v>
      </c>
      <c r="E50" s="38">
        <f>'Dec 23'!$D50*$C$6*$C$2</f>
        <v>294198.84669780004</v>
      </c>
      <c r="F50" s="38">
        <v>62842.400000000001</v>
      </c>
      <c r="G50" s="74">
        <f>'Dec 23'!$E50/'Dec 23'!$F50</f>
        <v>4.6815342300389551</v>
      </c>
      <c r="H50" s="36">
        <v>5</v>
      </c>
      <c r="I50" s="36">
        <v>5</v>
      </c>
      <c r="J50" s="40">
        <f t="shared" si="2"/>
        <v>0</v>
      </c>
      <c r="K50" s="41">
        <f>'Dec 23'!$F50*'Dec 23'!$I50</f>
        <v>314212</v>
      </c>
      <c r="L50" s="42">
        <f>'Dec 23'!$K50/$K$2</f>
        <v>2.1355525023747002E-3</v>
      </c>
      <c r="M50" s="43"/>
    </row>
    <row r="51" spans="1:13" s="44" customFormat="1" ht="12.75" x14ac:dyDescent="0.25">
      <c r="A51" s="36"/>
      <c r="B51" s="36"/>
      <c r="C51" s="36"/>
      <c r="D51" s="37"/>
      <c r="E51" s="38"/>
      <c r="F51" s="38"/>
      <c r="G51" s="39"/>
      <c r="H51" s="36"/>
      <c r="I51" s="36"/>
      <c r="J51" s="43"/>
      <c r="K51" s="41"/>
      <c r="L51" s="42"/>
      <c r="M51" s="43"/>
    </row>
    <row r="52" spans="1:13" s="17" customFormat="1" ht="12.75" x14ac:dyDescent="0.2">
      <c r="A52" s="48" t="s">
        <v>164</v>
      </c>
      <c r="B52" s="67"/>
      <c r="C52" s="67"/>
      <c r="D52" s="75">
        <f>SUM(D41:D51)</f>
        <v>2.0000000000000004E-2</v>
      </c>
      <c r="E52" s="50">
        <f>SUM(E40:E51)</f>
        <v>2941988.466978</v>
      </c>
      <c r="F52" s="70"/>
      <c r="G52" s="70"/>
      <c r="H52" s="67"/>
      <c r="I52" s="67"/>
      <c r="J52" s="48"/>
      <c r="K52" s="50">
        <f>SUM(K40:K51)</f>
        <v>2862714.168730651</v>
      </c>
      <c r="L52" s="53">
        <f>'Dec 23'!$K52/$K$2</f>
        <v>1.9456533826258234E-2</v>
      </c>
      <c r="M52" s="60"/>
    </row>
    <row r="53" spans="1:13" s="4" customFormat="1" ht="12.75" x14ac:dyDescent="0.2">
      <c r="A53" s="36"/>
      <c r="B53" s="63"/>
      <c r="C53" s="63"/>
      <c r="D53" s="76"/>
      <c r="E53" s="38"/>
      <c r="F53" s="38"/>
      <c r="G53" s="39"/>
      <c r="H53" s="63"/>
      <c r="I53" s="63"/>
      <c r="J53" s="36"/>
      <c r="K53" s="36"/>
      <c r="L53" s="42"/>
      <c r="M53" s="64"/>
    </row>
    <row r="54" spans="1:13" s="44" customFormat="1" ht="25.5" x14ac:dyDescent="0.25">
      <c r="A54" s="48" t="s">
        <v>165</v>
      </c>
      <c r="B54" s="55" t="s">
        <v>166</v>
      </c>
      <c r="C54" s="55" t="s">
        <v>167</v>
      </c>
      <c r="D54" s="56">
        <v>0</v>
      </c>
      <c r="E54" s="57">
        <f>'Dec 23'!$D54*$C$6*$C$2</f>
        <v>0</v>
      </c>
      <c r="F54" s="57">
        <v>0</v>
      </c>
      <c r="G54" s="58" t="s">
        <v>168</v>
      </c>
      <c r="H54" s="55">
        <v>0</v>
      </c>
      <c r="I54" s="55">
        <v>0</v>
      </c>
      <c r="J54" s="77">
        <f>I54-H54</f>
        <v>0</v>
      </c>
      <c r="K54" s="57">
        <f>'Dec 23'!$F54*'Dec 23'!$I54</f>
        <v>0</v>
      </c>
      <c r="L54" s="78">
        <f>'Dec 23'!$K54/$K$2</f>
        <v>0</v>
      </c>
      <c r="M54" s="55"/>
    </row>
    <row r="55" spans="1:13" s="4" customFormat="1" ht="12.75" x14ac:dyDescent="0.2">
      <c r="A55" s="36"/>
      <c r="B55" s="63"/>
      <c r="C55" s="63"/>
      <c r="D55" s="76"/>
      <c r="E55" s="38"/>
      <c r="F55" s="38"/>
      <c r="G55" s="39"/>
      <c r="H55" s="63"/>
      <c r="I55" s="63"/>
      <c r="J55" s="36"/>
      <c r="K55" s="36"/>
      <c r="L55" s="42"/>
      <c r="M55" s="64"/>
    </row>
    <row r="56" spans="1:13" s="4" customFormat="1" ht="12.75" x14ac:dyDescent="0.2">
      <c r="A56" s="36"/>
      <c r="B56" s="63"/>
      <c r="C56" s="63"/>
      <c r="D56" s="79"/>
      <c r="E56" s="65"/>
      <c r="F56" s="38"/>
      <c r="G56" s="39"/>
      <c r="H56" s="63"/>
      <c r="I56" s="63"/>
      <c r="J56" s="36"/>
      <c r="K56" s="36"/>
      <c r="L56" s="42"/>
      <c r="M56" s="64"/>
    </row>
    <row r="57" spans="1:13" s="17" customFormat="1" ht="12.75" x14ac:dyDescent="0.2">
      <c r="A57" s="48" t="s">
        <v>169</v>
      </c>
      <c r="B57" s="67"/>
      <c r="C57" s="67"/>
      <c r="D57" s="67"/>
      <c r="E57" s="80"/>
      <c r="F57" s="80"/>
      <c r="G57" s="48"/>
      <c r="H57" s="67"/>
      <c r="I57" s="67"/>
      <c r="J57" s="67"/>
      <c r="K57" s="80">
        <f>SUM(K24,K26,K39,K52,K54:K54)</f>
        <v>147133821.17770517</v>
      </c>
      <c r="L57" s="53">
        <f>'Dec 23'!$K57/$K$2</f>
        <v>0.99999999999999978</v>
      </c>
      <c r="M57" s="67"/>
    </row>
    <row r="58" spans="1:13" s="4" customFormat="1" ht="12.75" x14ac:dyDescent="0.2">
      <c r="A58" s="64"/>
      <c r="B58" s="64"/>
      <c r="C58" s="64"/>
      <c r="D58" s="81"/>
      <c r="E58" s="82"/>
      <c r="F58" s="38"/>
      <c r="G58" s="83"/>
      <c r="H58" s="64"/>
      <c r="I58" s="64"/>
      <c r="J58" s="64"/>
      <c r="K58" s="64"/>
      <c r="L58" s="42"/>
      <c r="M58" s="64"/>
    </row>
    <row r="59" spans="1:13" s="4" customFormat="1" ht="12.75" x14ac:dyDescent="0.2">
      <c r="A59" s="64"/>
      <c r="B59" s="64"/>
      <c r="C59" s="64"/>
      <c r="D59" s="81"/>
      <c r="E59" s="82"/>
      <c r="F59" s="38"/>
      <c r="G59" s="83"/>
      <c r="H59" s="64"/>
      <c r="I59" s="64"/>
      <c r="J59" s="64"/>
      <c r="K59" s="64"/>
      <c r="L59" s="42"/>
      <c r="M59" s="64"/>
    </row>
    <row r="60" spans="1:13" s="4" customFormat="1" ht="12.75" x14ac:dyDescent="0.2">
      <c r="A60" s="64"/>
      <c r="B60" s="64"/>
      <c r="C60" s="64"/>
      <c r="D60" s="81"/>
      <c r="E60" s="82"/>
      <c r="F60" s="38"/>
      <c r="G60" s="83"/>
      <c r="H60" s="64"/>
      <c r="I60" s="64"/>
      <c r="J60" s="64"/>
      <c r="K60" s="64"/>
      <c r="L60" s="42"/>
      <c r="M60" s="64"/>
    </row>
    <row r="61" spans="1:13" s="4" customFormat="1" ht="12.75" x14ac:dyDescent="0.2">
      <c r="A61" s="64"/>
      <c r="B61" s="64"/>
      <c r="C61" s="64"/>
      <c r="D61" s="81"/>
      <c r="E61" s="82"/>
      <c r="F61" s="38"/>
      <c r="G61" s="83"/>
      <c r="H61" s="64"/>
      <c r="I61" s="64"/>
      <c r="J61" s="64"/>
      <c r="K61" s="64"/>
      <c r="L61" s="42"/>
      <c r="M61" s="64"/>
    </row>
    <row r="62" spans="1:13" s="4" customFormat="1" ht="12.75" x14ac:dyDescent="0.2">
      <c r="A62" s="64"/>
      <c r="B62" s="64"/>
      <c r="C62" s="64"/>
      <c r="D62" s="81"/>
      <c r="E62" s="82"/>
      <c r="F62" s="38"/>
      <c r="G62" s="83"/>
      <c r="H62" s="64"/>
      <c r="I62" s="64"/>
      <c r="J62" s="64"/>
      <c r="K62" s="64"/>
      <c r="L62" s="42"/>
      <c r="M62" s="64"/>
    </row>
    <row r="63" spans="1:13" s="4" customFormat="1" ht="12.75" x14ac:dyDescent="0.2">
      <c r="A63" s="64"/>
      <c r="B63" s="64"/>
      <c r="C63" s="64"/>
      <c r="D63" s="81"/>
      <c r="E63" s="82"/>
      <c r="F63" s="38"/>
      <c r="G63" s="83"/>
      <c r="H63" s="64"/>
      <c r="I63" s="64"/>
      <c r="J63" s="64"/>
      <c r="K63" s="64"/>
      <c r="L63" s="42"/>
      <c r="M63" s="64"/>
    </row>
    <row r="64" spans="1:13" s="4" customFormat="1" ht="12.75" x14ac:dyDescent="0.2">
      <c r="A64" s="64"/>
      <c r="B64" s="64"/>
      <c r="C64" s="64"/>
      <c r="D64" s="81"/>
      <c r="E64" s="82"/>
      <c r="F64" s="38"/>
      <c r="G64" s="83"/>
      <c r="H64" s="64"/>
      <c r="I64" s="64"/>
      <c r="J64" s="64"/>
      <c r="K64" s="64"/>
      <c r="L64" s="42"/>
      <c r="M64" s="64"/>
    </row>
    <row r="65" spans="1:13" s="4" customFormat="1" ht="12.75" x14ac:dyDescent="0.2">
      <c r="A65" s="64"/>
      <c r="B65" s="64"/>
      <c r="C65" s="64"/>
      <c r="D65" s="81"/>
      <c r="E65" s="82"/>
      <c r="F65" s="38"/>
      <c r="G65" s="83"/>
      <c r="H65" s="64"/>
      <c r="I65" s="64"/>
      <c r="J65" s="64"/>
      <c r="K65" s="64"/>
      <c r="L65" s="42"/>
      <c r="M65" s="64"/>
    </row>
    <row r="66" spans="1:13" s="4" customFormat="1" ht="12.75" x14ac:dyDescent="0.2">
      <c r="A66" s="64"/>
      <c r="B66" s="64"/>
      <c r="C66" s="64"/>
      <c r="D66" s="81"/>
      <c r="E66" s="82"/>
      <c r="F66" s="38"/>
      <c r="G66" s="83"/>
      <c r="H66" s="64"/>
      <c r="I66" s="64"/>
      <c r="J66" s="64"/>
      <c r="K66" s="64"/>
      <c r="L66" s="42"/>
      <c r="M66" s="64"/>
    </row>
    <row r="67" spans="1:13" s="4" customFormat="1" ht="12.75" x14ac:dyDescent="0.2"/>
    <row r="68" spans="1:13" s="4" customFormat="1" ht="12.75" x14ac:dyDescent="0.2"/>
    <row r="70" spans="1:13" s="4" customFormat="1" ht="12.75" x14ac:dyDescent="0.2">
      <c r="A70" s="84"/>
      <c r="B70" s="84"/>
      <c r="E70" s="84"/>
      <c r="F70" s="84"/>
      <c r="G70" s="84"/>
      <c r="H70" s="85"/>
      <c r="M70" s="84"/>
    </row>
    <row r="71" spans="1:13" s="4" customFormat="1" ht="12.75" x14ac:dyDescent="0.2">
      <c r="A71" s="84"/>
      <c r="B71" s="84"/>
      <c r="E71" s="84"/>
      <c r="F71" s="84"/>
      <c r="G71" s="84"/>
      <c r="H71" s="85"/>
      <c r="M71" s="84"/>
    </row>
    <row r="72" spans="1:13" s="4" customFormat="1" ht="12.75" x14ac:dyDescent="0.2">
      <c r="A72" s="86"/>
      <c r="B72" s="86"/>
    </row>
    <row r="73" spans="1:13" s="4" customFormat="1" ht="12.75" x14ac:dyDescent="0.2">
      <c r="A73" s="87"/>
      <c r="B73" s="87"/>
      <c r="E73" s="87"/>
      <c r="F73" s="86"/>
      <c r="G73" s="86"/>
      <c r="M73" s="88"/>
    </row>
    <row r="74" spans="1:13" s="4" customFormat="1" ht="12.75" x14ac:dyDescent="0.2"/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MH74"/>
  <sheetViews>
    <sheetView zoomScale="140" zoomScaleNormal="140" workbookViewId="0">
      <pane xSplit="2" topLeftCell="C1" activePane="topRight" state="frozen"/>
      <selection pane="topRight" activeCell="H4" sqref="H4"/>
    </sheetView>
  </sheetViews>
  <sheetFormatPr defaultColWidth="9.140625" defaultRowHeight="15" x14ac:dyDescent="0.25"/>
  <cols>
    <col min="1" max="2" width="15.140625" style="4" customWidth="1"/>
    <col min="3" max="3" width="29.28515625" style="4" customWidth="1"/>
    <col min="4" max="4" width="14.85546875" style="4" customWidth="1"/>
    <col min="5" max="5" width="27.42578125" style="4" customWidth="1"/>
    <col min="6" max="7" width="13.7109375" style="4" customWidth="1"/>
    <col min="8" max="8" width="16.42578125" style="4" customWidth="1"/>
    <col min="9" max="9" width="15.42578125" style="4" customWidth="1"/>
    <col min="10" max="10" width="13.42578125" customWidth="1"/>
    <col min="11" max="11" width="23.42578125" customWidth="1"/>
    <col min="12" max="12" width="13.42578125" customWidth="1"/>
    <col min="13" max="13" width="22.42578125" style="4" customWidth="1"/>
    <col min="14" max="16" width="10.85546875" style="4" customWidth="1"/>
    <col min="17" max="17" width="11.28515625" style="4" customWidth="1"/>
    <col min="18" max="1022" width="9.140625" style="4"/>
  </cols>
  <sheetData>
    <row r="1" spans="1:17" s="4" customFormat="1" ht="25.5" x14ac:dyDescent="0.2">
      <c r="A1" s="5"/>
      <c r="B1" s="5" t="s">
        <v>95</v>
      </c>
      <c r="C1" s="6">
        <v>44193</v>
      </c>
      <c r="D1" s="7"/>
      <c r="E1" s="8" t="s">
        <v>96</v>
      </c>
      <c r="F1" s="9"/>
      <c r="G1" s="10"/>
      <c r="K1" s="11" t="s">
        <v>97</v>
      </c>
      <c r="L1" s="11" t="s">
        <v>98</v>
      </c>
      <c r="M1" s="12" t="s">
        <v>99</v>
      </c>
    </row>
    <row r="2" spans="1:17" x14ac:dyDescent="0.25">
      <c r="A2" s="5"/>
      <c r="B2" s="5" t="s">
        <v>100</v>
      </c>
      <c r="C2" s="13">
        <v>5.13</v>
      </c>
      <c r="D2" s="14"/>
      <c r="E2" s="15">
        <f>SUM(E24,E39,E52,E26,E54)</f>
        <v>147398195.02068833</v>
      </c>
      <c r="F2" s="16"/>
      <c r="G2" s="17"/>
      <c r="H2" s="14"/>
      <c r="I2" s="14"/>
      <c r="J2" s="14"/>
      <c r="K2" s="15">
        <f>SUM(K24,K39,K52,K26,K54:K54)</f>
        <v>147520859.60328922</v>
      </c>
      <c r="L2" s="18">
        <f>SUM(L52,L39,L24,L26,L54)</f>
        <v>1</v>
      </c>
      <c r="M2" s="19">
        <f>K2/$C$6</f>
        <v>5.1342537763954645</v>
      </c>
      <c r="N2" s="20"/>
    </row>
    <row r="3" spans="1:17" ht="26.25" x14ac:dyDescent="0.25">
      <c r="A3" s="5"/>
      <c r="B3" s="5" t="s">
        <v>101</v>
      </c>
      <c r="C3" s="21">
        <v>28732677.82</v>
      </c>
      <c r="D3" s="22"/>
      <c r="E3" s="8" t="s">
        <v>170</v>
      </c>
      <c r="F3" s="16"/>
      <c r="H3" s="14"/>
      <c r="I3" s="14"/>
      <c r="J3" s="14"/>
      <c r="K3" s="8" t="s">
        <v>102</v>
      </c>
      <c r="L3" s="14"/>
      <c r="M3" s="12" t="s">
        <v>171</v>
      </c>
      <c r="N3" s="23"/>
    </row>
    <row r="4" spans="1:17" x14ac:dyDescent="0.25">
      <c r="A4" s="5"/>
      <c r="B4" s="5" t="s">
        <v>104</v>
      </c>
      <c r="C4" s="21">
        <v>0</v>
      </c>
      <c r="D4" s="22"/>
      <c r="E4" s="15">
        <f>SUM(E24,E52,E26)</f>
        <v>63380971.807226345</v>
      </c>
      <c r="F4" s="16"/>
      <c r="G4" s="17"/>
      <c r="H4" s="14"/>
      <c r="I4" s="14"/>
      <c r="J4" s="14"/>
      <c r="K4" s="15">
        <f>SUM(K24,K26,K52)</f>
        <v>63332213.941515349</v>
      </c>
      <c r="L4" s="14"/>
      <c r="M4" s="19">
        <f>K4/$C$6</f>
        <v>2.2041876618068503</v>
      </c>
      <c r="N4" s="23"/>
    </row>
    <row r="5" spans="1:17" x14ac:dyDescent="0.25">
      <c r="A5" s="5"/>
      <c r="B5" s="5" t="s">
        <v>105</v>
      </c>
      <c r="C5" s="21">
        <v>0</v>
      </c>
      <c r="D5" s="22"/>
      <c r="E5" s="16"/>
      <c r="F5" s="16"/>
      <c r="G5" s="24">
        <f>SUM(D24,D26,D39,D52,D54:D54)</f>
        <v>0.99999699999999991</v>
      </c>
      <c r="H5" s="14"/>
      <c r="I5" s="14"/>
      <c r="J5" s="14"/>
      <c r="K5" s="14"/>
      <c r="L5" s="14"/>
      <c r="M5" s="14"/>
      <c r="N5" s="23"/>
    </row>
    <row r="6" spans="1:17" x14ac:dyDescent="0.25">
      <c r="A6" s="5"/>
      <c r="B6" s="5" t="s">
        <v>106</v>
      </c>
      <c r="C6" s="21">
        <f>C3+C4-C5</f>
        <v>28732677.82</v>
      </c>
      <c r="D6" s="22"/>
      <c r="E6" s="16"/>
      <c r="F6" s="16"/>
      <c r="G6" s="17"/>
      <c r="H6" s="14"/>
      <c r="I6" s="14"/>
      <c r="J6" s="14"/>
      <c r="K6" s="14"/>
      <c r="L6" s="14"/>
      <c r="M6" s="14"/>
      <c r="N6" s="23"/>
    </row>
    <row r="7" spans="1:17" x14ac:dyDescent="0.25">
      <c r="A7" s="25"/>
      <c r="B7" s="26"/>
      <c r="C7" s="26"/>
      <c r="D7" s="27"/>
      <c r="E7" s="28"/>
      <c r="F7" s="28"/>
      <c r="G7" s="28"/>
      <c r="H7" s="29"/>
      <c r="I7" s="29"/>
      <c r="J7" s="29"/>
      <c r="K7" s="14"/>
      <c r="L7" s="14"/>
      <c r="M7" s="14"/>
      <c r="N7" s="23"/>
    </row>
    <row r="8" spans="1:17" s="34" customFormat="1" ht="38.25" x14ac:dyDescent="0.2">
      <c r="A8" s="30" t="s">
        <v>107</v>
      </c>
      <c r="B8" s="30" t="s">
        <v>108</v>
      </c>
      <c r="C8" s="31" t="s">
        <v>1</v>
      </c>
      <c r="D8" s="31" t="s">
        <v>109</v>
      </c>
      <c r="E8" s="31" t="s">
        <v>110</v>
      </c>
      <c r="F8" s="31" t="s">
        <v>111</v>
      </c>
      <c r="G8" s="31" t="s">
        <v>112</v>
      </c>
      <c r="H8" s="31" t="s">
        <v>113</v>
      </c>
      <c r="I8" s="31" t="s">
        <v>114</v>
      </c>
      <c r="J8" s="31" t="s">
        <v>115</v>
      </c>
      <c r="K8" s="32" t="s">
        <v>116</v>
      </c>
      <c r="L8" s="32" t="s">
        <v>117</v>
      </c>
      <c r="M8" s="32" t="s">
        <v>118</v>
      </c>
      <c r="N8" s="33"/>
      <c r="Q8" s="35"/>
    </row>
    <row r="9" spans="1:17" s="45" customFormat="1" ht="12.75" customHeight="1" x14ac:dyDescent="0.25">
      <c r="A9" s="36" t="s">
        <v>119</v>
      </c>
      <c r="B9" s="36" t="s">
        <v>43</v>
      </c>
      <c r="C9" s="36" t="s">
        <v>44</v>
      </c>
      <c r="D9" s="37">
        <v>8.5559999999999994E-3</v>
      </c>
      <c r="E9" s="38">
        <f>'Dec 28'!$D9*$C$6*$C$2</f>
        <v>1261142.7400252295</v>
      </c>
      <c r="F9" s="38">
        <v>376.20006443299002</v>
      </c>
      <c r="G9" s="39">
        <f>'Dec 28'!$E9/'Dec 28'!$F9</f>
        <v>3352.3193089454358</v>
      </c>
      <c r="H9" s="36">
        <v>3104</v>
      </c>
      <c r="I9" s="36">
        <f>ROUND(Table13895845679910111213144562678910111213141516171819202134567891011121314151617181920212223345678910111213141516171819203456789101112131415161718[[#This Row],[Target Quantity]],0)</f>
        <v>3352</v>
      </c>
      <c r="J9" s="40">
        <f t="shared" ref="J9:J22" si="0">I9-H9</f>
        <v>248</v>
      </c>
      <c r="K9" s="41">
        <f>'Dec 28'!$F9*'Dec 28'!$I9</f>
        <v>1261022.6159793825</v>
      </c>
      <c r="L9" s="42">
        <f>'Dec 28'!$K9/$K$2</f>
        <v>8.5480969902866945E-3</v>
      </c>
      <c r="M9" s="36"/>
      <c r="O9" s="44"/>
    </row>
    <row r="10" spans="1:17" s="45" customFormat="1" ht="12.75" customHeight="1" x14ac:dyDescent="0.25">
      <c r="A10" s="36" t="s">
        <v>119</v>
      </c>
      <c r="B10" s="36" t="s">
        <v>25</v>
      </c>
      <c r="C10" s="36" t="s">
        <v>26</v>
      </c>
      <c r="D10" s="37">
        <v>8.5559999999999994E-3</v>
      </c>
      <c r="E10" s="38">
        <f>'Dec 28'!$D10*$C$6*$C$2</f>
        <v>1261142.7400252295</v>
      </c>
      <c r="F10" s="38">
        <v>269.04989154012998</v>
      </c>
      <c r="G10" s="39">
        <f>'Dec 28'!$E10/'Dec 28'!$F10</f>
        <v>4687.3936012612166</v>
      </c>
      <c r="H10" s="36">
        <v>4610</v>
      </c>
      <c r="I10" s="36">
        <f>ROUND(Table13895845679910111213144562678910111213141516171819202134567891011121314151617181920212223345678910111213141516171819203456789101112131415161718[[#This Row],[Target Quantity]],0)</f>
        <v>4687</v>
      </c>
      <c r="J10" s="40">
        <f t="shared" si="0"/>
        <v>77</v>
      </c>
      <c r="K10" s="41">
        <f>'Dec 28'!$F10*'Dec 28'!$I10</f>
        <v>1261036.8416485891</v>
      </c>
      <c r="L10" s="42">
        <f>'Dec 28'!$K10/$K$2</f>
        <v>8.5481934218642006E-3</v>
      </c>
      <c r="M10" s="36"/>
      <c r="O10" s="44"/>
    </row>
    <row r="11" spans="1:17" s="45" customFormat="1" ht="12.75" customHeight="1" x14ac:dyDescent="0.25">
      <c r="A11" s="36" t="s">
        <v>119</v>
      </c>
      <c r="B11" s="36" t="s">
        <v>33</v>
      </c>
      <c r="C11" s="36" t="s">
        <v>34</v>
      </c>
      <c r="D11" s="37">
        <v>8.5559999999999994E-3</v>
      </c>
      <c r="E11" s="38">
        <f>'Dec 28'!$D11*$C$6*$C$2</f>
        <v>1261142.7400252295</v>
      </c>
      <c r="F11" s="38">
        <v>38.959995169228002</v>
      </c>
      <c r="G11" s="39">
        <f>'Dec 28'!$E11/'Dec 28'!$F11</f>
        <v>32370.197546156916</v>
      </c>
      <c r="H11" s="36">
        <v>33121</v>
      </c>
      <c r="I11" s="36">
        <f>ROUND(Table13895845679910111213144562678910111213141516171819202134567891011121314151617181920212223345678910111213141516171819203456789101112131415161718[[#This Row],[Target Quantity]],0)</f>
        <v>32370</v>
      </c>
      <c r="J11" s="40">
        <f t="shared" si="0"/>
        <v>-751</v>
      </c>
      <c r="K11" s="41">
        <f>'Dec 28'!$F11*'Dec 28'!$I11</f>
        <v>1261135.0436279103</v>
      </c>
      <c r="L11" s="42">
        <f>'Dec 28'!$K11/$K$2</f>
        <v>8.5488591038537527E-3</v>
      </c>
      <c r="M11" s="36"/>
      <c r="O11" s="44"/>
    </row>
    <row r="12" spans="1:17" s="45" customFormat="1" ht="12.75" customHeight="1" x14ac:dyDescent="0.25">
      <c r="A12" s="36" t="s">
        <v>119</v>
      </c>
      <c r="B12" s="36" t="s">
        <v>19</v>
      </c>
      <c r="C12" s="36" t="s">
        <v>20</v>
      </c>
      <c r="D12" s="37">
        <v>8.5559999999999994E-3</v>
      </c>
      <c r="E12" s="38">
        <f>'Dec 28'!$D12*$C$6*$C$2</f>
        <v>1261142.7400252295</v>
      </c>
      <c r="F12" s="38">
        <v>528.02985074626895</v>
      </c>
      <c r="G12" s="39">
        <f>'Dec 28'!$E12/'Dec 28'!$F12</f>
        <v>2388.3928877180829</v>
      </c>
      <c r="H12" s="36">
        <v>2345</v>
      </c>
      <c r="I12" s="36">
        <f>ROUND(Table13895845679910111213144562678910111213141516171819202134567891011121314151617181920212223345678910111213141516171819203456789101112131415161718[[#This Row],[Target Quantity]],0)</f>
        <v>2388</v>
      </c>
      <c r="J12" s="40">
        <f t="shared" si="0"/>
        <v>43</v>
      </c>
      <c r="K12" s="41">
        <f>'Dec 28'!$F12*'Dec 28'!$I12</f>
        <v>1260935.2835820902</v>
      </c>
      <c r="L12" s="42">
        <f>'Dec 28'!$K12/$K$2</f>
        <v>8.547504989958557E-3</v>
      </c>
      <c r="M12" s="36"/>
      <c r="O12" s="92"/>
    </row>
    <row r="13" spans="1:17" s="45" customFormat="1" ht="12.75" customHeight="1" x14ac:dyDescent="0.25">
      <c r="A13" s="36" t="s">
        <v>119</v>
      </c>
      <c r="B13" s="36" t="s">
        <v>29</v>
      </c>
      <c r="C13" s="36" t="s">
        <v>30</v>
      </c>
      <c r="D13" s="37">
        <v>8.5559999999999994E-3</v>
      </c>
      <c r="E13" s="38">
        <f>'Dec 28'!$D13*$C$6*$C$2</f>
        <v>1261142.7400252295</v>
      </c>
      <c r="F13" s="38">
        <v>20.429995216074001</v>
      </c>
      <c r="G13" s="39">
        <f>'Dec 28'!$E13/'Dec 28'!$F13</f>
        <v>61729.957676788006</v>
      </c>
      <c r="H13" s="36">
        <v>62710</v>
      </c>
      <c r="I13" s="36">
        <f>ROUND(Table13895845679910111213144562678910111213141516171819202134567891011121314151617181920212223345678910111213141516171819203456789101112131415161718[[#This Row],[Target Quantity]],0)</f>
        <v>61730</v>
      </c>
      <c r="J13" s="40">
        <f t="shared" si="0"/>
        <v>-980</v>
      </c>
      <c r="K13" s="41">
        <f>'Dec 28'!$F13*'Dec 28'!$I13</f>
        <v>1261143.6046882481</v>
      </c>
      <c r="L13" s="42">
        <f>'Dec 28'!$K13/$K$2</f>
        <v>8.5489171367337177E-3</v>
      </c>
      <c r="M13" s="36"/>
      <c r="O13" s="44"/>
    </row>
    <row r="14" spans="1:17" s="45" customFormat="1" ht="12.75" customHeight="1" x14ac:dyDescent="0.25">
      <c r="A14" s="36" t="s">
        <v>119</v>
      </c>
      <c r="B14" s="36" t="s">
        <v>21</v>
      </c>
      <c r="C14" s="36" t="s">
        <v>22</v>
      </c>
      <c r="D14" s="37">
        <v>8.5559999999999994E-3</v>
      </c>
      <c r="E14" s="38">
        <f>'Dec 28'!$D14*$C$6*$C$2</f>
        <v>1261142.7400252295</v>
      </c>
      <c r="F14" s="38">
        <v>37.890010273765597</v>
      </c>
      <c r="G14" s="39">
        <f>'Dec 28'!$E14/'Dec 28'!$F14</f>
        <v>33284.307154131951</v>
      </c>
      <c r="H14" s="36">
        <v>33094</v>
      </c>
      <c r="I14" s="36">
        <f>ROUND(Table13895845679910111213144562678910111213141516171819202134567891011121314151617181920212223345678910111213141516171819203456789101112131415161718[[#This Row],[Target Quantity]],0)</f>
        <v>33284</v>
      </c>
      <c r="J14" s="40">
        <f t="shared" si="0"/>
        <v>190</v>
      </c>
      <c r="K14" s="41">
        <f>'Dec 28'!$F14*'Dec 28'!$I14</f>
        <v>1261131.101952014</v>
      </c>
      <c r="L14" s="42">
        <f>'Dec 28'!$K14/$K$2</f>
        <v>8.5488323844060288E-3</v>
      </c>
      <c r="M14" s="36"/>
      <c r="O14" s="44"/>
    </row>
    <row r="15" spans="1:17" s="45" customFormat="1" ht="12.75" customHeight="1" x14ac:dyDescent="0.25">
      <c r="A15" s="36" t="s">
        <v>119</v>
      </c>
      <c r="B15" s="36" t="s">
        <v>37</v>
      </c>
      <c r="C15" s="36" t="s">
        <v>38</v>
      </c>
      <c r="D15" s="37">
        <v>8.5559999999999994E-3</v>
      </c>
      <c r="E15" s="38">
        <f>'Dec 28'!$D15*$C$6*$C$2</f>
        <v>1261142.7400252295</v>
      </c>
      <c r="F15" s="38">
        <v>70.930023069317798</v>
      </c>
      <c r="G15" s="39">
        <f>'Dec 28'!$E15/'Dec 28'!$F15</f>
        <v>17780.097699852042</v>
      </c>
      <c r="H15" s="36">
        <v>18206</v>
      </c>
      <c r="I15" s="36">
        <f>ROUND(Table13895845679910111213144562678910111213141516171819202134567891011121314151617181920212223345678910111213141516171819203456789101112131415161718[[#This Row],[Target Quantity]],0)</f>
        <v>17780</v>
      </c>
      <c r="J15" s="40">
        <f t="shared" si="0"/>
        <v>-426</v>
      </c>
      <c r="K15" s="41">
        <f>'Dec 28'!$F15*'Dec 28'!$I15</f>
        <v>1261135.8101724705</v>
      </c>
      <c r="L15" s="42">
        <f>'Dec 28'!$K15/$K$2</f>
        <v>8.5488643000311768E-3</v>
      </c>
      <c r="M15" s="36"/>
      <c r="O15" s="44"/>
    </row>
    <row r="16" spans="1:17" s="45" customFormat="1" ht="12.75" customHeight="1" x14ac:dyDescent="0.25">
      <c r="A16" s="36" t="s">
        <v>119</v>
      </c>
      <c r="B16" s="36" t="s">
        <v>23</v>
      </c>
      <c r="C16" s="36" t="s">
        <v>24</v>
      </c>
      <c r="D16" s="37">
        <v>8.5559999999999994E-3</v>
      </c>
      <c r="E16" s="38">
        <f>'Dec 28'!$D16*$C$6*$C$2</f>
        <v>1261142.7400252295</v>
      </c>
      <c r="F16" s="38">
        <v>269.21009841677397</v>
      </c>
      <c r="G16" s="39">
        <f>'Dec 28'!$E16/'Dec 28'!$F16</f>
        <v>4684.6041342505969</v>
      </c>
      <c r="H16" s="36">
        <v>4674</v>
      </c>
      <c r="I16" s="36">
        <f>ROUND(Table13895845679910111213144562678910111213141516171819202134567891011121314151617181920212223345678910111213141516171819203456789101112131415161718[[#This Row],[Target Quantity]],0)</f>
        <v>4685</v>
      </c>
      <c r="J16" s="40">
        <f t="shared" si="0"/>
        <v>11</v>
      </c>
      <c r="K16" s="41">
        <f>'Dec 28'!$F16*'Dec 28'!$I16</f>
        <v>1261249.3110825862</v>
      </c>
      <c r="L16" s="42">
        <f>'Dec 28'!$K16/$K$2</f>
        <v>8.5496336889190998E-3</v>
      </c>
      <c r="M16" s="36"/>
      <c r="O16" s="44"/>
    </row>
    <row r="17" spans="1:15" s="45" customFormat="1" ht="12.75" customHeight="1" x14ac:dyDescent="0.25">
      <c r="A17" s="36" t="s">
        <v>119</v>
      </c>
      <c r="B17" s="36" t="s">
        <v>15</v>
      </c>
      <c r="C17" s="36" t="s">
        <v>16</v>
      </c>
      <c r="D17" s="37">
        <v>8.5559999999999994E-3</v>
      </c>
      <c r="E17" s="38">
        <f>'Dec 28'!$D17*$C$6*$C$2</f>
        <v>1261142.7400252295</v>
      </c>
      <c r="F17" s="38">
        <v>150</v>
      </c>
      <c r="G17" s="39">
        <f>'Dec 28'!$E17/'Dec 28'!$F17</f>
        <v>8407.6182668348629</v>
      </c>
      <c r="H17" s="36">
        <v>8591</v>
      </c>
      <c r="I17" s="36">
        <f>ROUND(Table13895845679910111213144562678910111213141516171819202134567891011121314151617181920212223345678910111213141516171819203456789101112131415161718[[#This Row],[Target Quantity]],0)</f>
        <v>8408</v>
      </c>
      <c r="J17" s="40">
        <f t="shared" si="0"/>
        <v>-183</v>
      </c>
      <c r="K17" s="41">
        <f>'Dec 28'!$F17*'Dec 28'!$I17</f>
        <v>1261200</v>
      </c>
      <c r="L17" s="42">
        <f>'Dec 28'!$K17/$K$2</f>
        <v>8.549299423766912E-3</v>
      </c>
      <c r="M17" s="36"/>
      <c r="O17" s="44"/>
    </row>
    <row r="18" spans="1:15" s="45" customFormat="1" ht="12.75" customHeight="1" x14ac:dyDescent="0.25">
      <c r="A18" s="36" t="s">
        <v>119</v>
      </c>
      <c r="B18" s="36" t="s">
        <v>27</v>
      </c>
      <c r="C18" s="36" t="s">
        <v>28</v>
      </c>
      <c r="D18" s="37">
        <v>8.5559999999999994E-3</v>
      </c>
      <c r="E18" s="38">
        <f>'Dec 28'!$D18*$C$6*$C$2</f>
        <v>1261142.7400252295</v>
      </c>
      <c r="F18" s="38">
        <v>42</v>
      </c>
      <c r="G18" s="39">
        <f>'Dec 28'!$E18/'Dec 28'!$F18</f>
        <v>30027.2080958388</v>
      </c>
      <c r="H18" s="36">
        <v>30622</v>
      </c>
      <c r="I18" s="36">
        <f>ROUND(Table13895845679910111213144562678910111213141516171819202134567891011121314151617181920212223345678910111213141516171819203456789101112131415161718[[#This Row],[Target Quantity]],0)</f>
        <v>30027</v>
      </c>
      <c r="J18" s="40">
        <f t="shared" si="0"/>
        <v>-595</v>
      </c>
      <c r="K18" s="41">
        <f>'Dec 28'!$F18*'Dec 28'!$I18</f>
        <v>1261134</v>
      </c>
      <c r="L18" s="42">
        <f>'Dec 28'!$K18/$K$2</f>
        <v>8.5488520294107681E-3</v>
      </c>
      <c r="M18" s="36"/>
      <c r="O18" s="91"/>
    </row>
    <row r="19" spans="1:15" s="45" customFormat="1" ht="12.75" customHeight="1" x14ac:dyDescent="0.25">
      <c r="A19" s="36" t="s">
        <v>119</v>
      </c>
      <c r="B19" s="36" t="s">
        <v>41</v>
      </c>
      <c r="C19" s="36" t="s">
        <v>42</v>
      </c>
      <c r="D19" s="37">
        <v>8.5559999999999994E-3</v>
      </c>
      <c r="E19" s="38">
        <f>'Dec 28'!$D19*$C$6*$C$2</f>
        <v>1261142.7400252295</v>
      </c>
      <c r="F19" s="38">
        <v>35.990004668149503</v>
      </c>
      <c r="G19" s="39">
        <f>'Dec 28'!$E19/'Dec 28'!$F19</f>
        <v>35041.471976837995</v>
      </c>
      <c r="H19" s="36">
        <v>36417</v>
      </c>
      <c r="I19" s="36">
        <f>ROUND(Table13895845679910111213144562678910111213141516171819202134567891011121314151617181920212223345678910111213141516171819203456789101112131415161718[[#This Row],[Target Quantity]],0)</f>
        <v>35041</v>
      </c>
      <c r="J19" s="40">
        <f t="shared" si="0"/>
        <v>-1376</v>
      </c>
      <c r="K19" s="41">
        <f>'Dec 28'!$F19*'Dec 28'!$I19</f>
        <v>1261125.7535766268</v>
      </c>
      <c r="L19" s="42">
        <f>'Dec 28'!$K19/$K$2</f>
        <v>8.548796129361139E-3</v>
      </c>
      <c r="M19" s="36"/>
      <c r="O19" s="91"/>
    </row>
    <row r="20" spans="1:15" s="45" customFormat="1" ht="12.75" customHeight="1" x14ac:dyDescent="0.25">
      <c r="A20" s="36" t="s">
        <v>119</v>
      </c>
      <c r="B20" s="36" t="s">
        <v>35</v>
      </c>
      <c r="C20" s="36" t="s">
        <v>36</v>
      </c>
      <c r="D20" s="37">
        <v>8.5559999999999994E-3</v>
      </c>
      <c r="E20" s="38">
        <f>'Dec 28'!$D20*$C$6*$C$2</f>
        <v>1261142.7400252295</v>
      </c>
      <c r="F20" s="38">
        <v>123.309999044981</v>
      </c>
      <c r="G20" s="39">
        <f>'Dec 28'!$E20/'Dec 28'!$F20</f>
        <v>10227.416671742818</v>
      </c>
      <c r="H20" s="36">
        <v>10471</v>
      </c>
      <c r="I20" s="36">
        <f>ROUND(Table13895845679910111213144562678910111213141516171819202134567891011121314151617181920212223345678910111213141516171819203456789101112131415161718[[#This Row],[Target Quantity]],0)</f>
        <v>10227</v>
      </c>
      <c r="J20" s="40">
        <f t="shared" si="0"/>
        <v>-244</v>
      </c>
      <c r="K20" s="41">
        <f>'Dec 28'!$F20*'Dec 28'!$I20</f>
        <v>1261091.3602330207</v>
      </c>
      <c r="L20" s="42">
        <f>'Dec 28'!$K20/$K$2</f>
        <v>8.548562987121467E-3</v>
      </c>
      <c r="M20" s="36"/>
      <c r="O20" s="91"/>
    </row>
    <row r="21" spans="1:15" s="45" customFormat="1" ht="12.75" customHeight="1" x14ac:dyDescent="0.25">
      <c r="A21" s="36" t="s">
        <v>119</v>
      </c>
      <c r="B21" s="36" t="s">
        <v>39</v>
      </c>
      <c r="C21" s="36" t="s">
        <v>40</v>
      </c>
      <c r="D21" s="37">
        <v>0.23957500000000001</v>
      </c>
      <c r="E21" s="38">
        <f>'Dec 28'!$D21*$C$6*$C$2</f>
        <v>35313028.511166945</v>
      </c>
      <c r="F21" s="38">
        <v>311.33999577360601</v>
      </c>
      <c r="G21" s="39">
        <f>'Dec 28'!$E21/'Dec 28'!$F21</f>
        <v>113422.71789855477</v>
      </c>
      <c r="H21" s="36">
        <v>113572</v>
      </c>
      <c r="I21" s="36">
        <f>ROUND(Table13895845679910111213144562678910111213141516171819202134567891011121314151617181920212223345678910111213141516171819203456789101112131415161718[[#This Row],[Target Quantity]],0)</f>
        <v>113423</v>
      </c>
      <c r="J21" s="40">
        <f t="shared" si="0"/>
        <v>-149</v>
      </c>
      <c r="K21" s="41">
        <f>'Dec 28'!$F21*'Dec 28'!$I21</f>
        <v>35313116.340629712</v>
      </c>
      <c r="L21" s="42">
        <f>'Dec 28'!$K21/$K$2</f>
        <v>0.2393771052825559</v>
      </c>
      <c r="M21" s="36"/>
      <c r="O21" s="93"/>
    </row>
    <row r="22" spans="1:15" s="45" customFormat="1" ht="12.75" customHeight="1" x14ac:dyDescent="0.25">
      <c r="A22" s="36" t="s">
        <v>119</v>
      </c>
      <c r="B22" s="45" t="s">
        <v>11</v>
      </c>
      <c r="C22" s="36" t="s">
        <v>12</v>
      </c>
      <c r="D22" s="37">
        <v>2.775E-2</v>
      </c>
      <c r="E22" s="38">
        <f>'Dec 28'!$D22*$C$6*$C$2</f>
        <v>4090312.1827606498</v>
      </c>
      <c r="F22" s="38">
        <v>2.5179882231530399</v>
      </c>
      <c r="G22" s="39">
        <f>'Dec 28'!$E22/'Dec 28'!$F22</f>
        <v>1624436.5820101956</v>
      </c>
      <c r="H22" s="36">
        <v>1647300</v>
      </c>
      <c r="I22" s="36">
        <f>ROUND(Table13895845679910111213144562678910111213141516171819202134567891011121314151617181920212223345678910111213141516171819203456789101112131415161718[[#This Row],[Target Quantity]],-2)</f>
        <v>1624400</v>
      </c>
      <c r="J22" s="40">
        <f t="shared" si="0"/>
        <v>-22900</v>
      </c>
      <c r="K22" s="41">
        <f>'Dec 28'!$F22*'Dec 28'!$I22</f>
        <v>4090220.0696897982</v>
      </c>
      <c r="L22" s="42">
        <f>'Dec 28'!$K22/$K$2</f>
        <v>2.7726384463113582E-2</v>
      </c>
      <c r="M22" s="36"/>
    </row>
    <row r="23" spans="1:15" s="45" customFormat="1" ht="12.75" customHeight="1" x14ac:dyDescent="0.25">
      <c r="A23" s="36"/>
      <c r="B23" s="36"/>
      <c r="C23" s="36"/>
      <c r="D23" s="37"/>
      <c r="E23" s="38"/>
      <c r="F23" s="38"/>
      <c r="G23" s="39"/>
      <c r="H23" s="36"/>
      <c r="I23" s="36"/>
      <c r="J23" s="46"/>
      <c r="K23" s="38"/>
      <c r="L23" s="47"/>
      <c r="M23" s="36"/>
      <c r="O23" s="91"/>
    </row>
    <row r="24" spans="1:15" s="54" customFormat="1" ht="12.75" customHeight="1" x14ac:dyDescent="0.25">
      <c r="A24" s="48" t="s">
        <v>136</v>
      </c>
      <c r="B24" s="48"/>
      <c r="C24" s="48"/>
      <c r="D24" s="49">
        <f>SUM(D9:D23)</f>
        <v>0.36999699999999996</v>
      </c>
      <c r="E24" s="50">
        <f>'Dec 28'!$D24*$C$6*$C$2</f>
        <v>54537053.574230343</v>
      </c>
      <c r="F24" s="51"/>
      <c r="G24" s="51"/>
      <c r="H24" s="48"/>
      <c r="I24" s="48"/>
      <c r="J24" s="52"/>
      <c r="K24" s="50">
        <f>SUM(K9:K23)</f>
        <v>54536677.136862442</v>
      </c>
      <c r="L24" s="53">
        <f>'Dec 28'!$K24/$K$2</f>
        <v>0.36968790233138293</v>
      </c>
      <c r="M24" s="48"/>
      <c r="O24" s="90"/>
    </row>
    <row r="25" spans="1:15" s="45" customFormat="1" ht="12.75" customHeight="1" x14ac:dyDescent="0.25">
      <c r="A25" s="36"/>
      <c r="B25" s="36"/>
      <c r="C25" s="36"/>
      <c r="D25" s="37"/>
      <c r="E25" s="38"/>
      <c r="F25" s="38"/>
      <c r="G25" s="39"/>
      <c r="H25" s="36"/>
      <c r="I25" s="36"/>
      <c r="J25" s="46"/>
      <c r="K25" s="38"/>
      <c r="L25" s="42"/>
      <c r="M25" s="36"/>
      <c r="O25" s="89"/>
    </row>
    <row r="26" spans="1:15" s="44" customFormat="1" ht="12.75" customHeight="1" x14ac:dyDescent="0.25">
      <c r="A26" s="55"/>
      <c r="B26" s="48" t="s">
        <v>31</v>
      </c>
      <c r="C26" s="55" t="s">
        <v>32</v>
      </c>
      <c r="D26" s="56">
        <v>0.04</v>
      </c>
      <c r="E26" s="57">
        <f>'Dec 28'!$D26*$C$6*$C$2</f>
        <v>5895945.4886640003</v>
      </c>
      <c r="F26" s="51">
        <v>17.9699990005724</v>
      </c>
      <c r="G26" s="58">
        <f>'Dec 28'!$E26/'Dec 28'!$F26</f>
        <v>328099.377661412</v>
      </c>
      <c r="H26" s="55">
        <v>330189</v>
      </c>
      <c r="I26" s="55">
        <f>ROUND(Table13895845679910111213144562678910111213141516171819202134567891011121314151617181920212223345678910111213141516171819203456789101112131415161718[[#This Row],[Target Quantity]],0)</f>
        <v>328099</v>
      </c>
      <c r="J26" s="59">
        <f>I26-H26</f>
        <v>-2090</v>
      </c>
      <c r="K26" s="60">
        <f>'Dec 28'!$F26*'Dec 28'!$I26</f>
        <v>5895938.702088804</v>
      </c>
      <c r="L26" s="53">
        <f>'Dec 28'!$K26/$K$2</f>
        <v>3.9966813628554428E-2</v>
      </c>
      <c r="M26" s="48"/>
      <c r="O26" s="61"/>
    </row>
    <row r="27" spans="1:15" s="44" customFormat="1" ht="12.75" customHeight="1" x14ac:dyDescent="0.25">
      <c r="A27" s="36"/>
      <c r="B27" s="36"/>
      <c r="C27" s="36"/>
      <c r="D27" s="37"/>
      <c r="E27" s="38"/>
      <c r="F27" s="38"/>
      <c r="G27" s="39"/>
      <c r="H27" s="36"/>
      <c r="I27" s="36"/>
      <c r="J27" s="46"/>
      <c r="K27" s="41"/>
      <c r="L27" s="42"/>
      <c r="M27" s="36"/>
      <c r="O27" s="61"/>
    </row>
    <row r="28" spans="1:15" s="4" customFormat="1" ht="25.5" x14ac:dyDescent="0.2">
      <c r="A28" s="36" t="s">
        <v>137</v>
      </c>
      <c r="B28" s="62" t="s">
        <v>75</v>
      </c>
      <c r="C28" s="63" t="s">
        <v>76</v>
      </c>
      <c r="D28" s="37">
        <v>5.7950000000000002E-2</v>
      </c>
      <c r="E28" s="38">
        <f>'Dec 28'!$D28*$C$6*$C$2</f>
        <v>8541751.02670197</v>
      </c>
      <c r="F28" s="38">
        <v>155724.851851852</v>
      </c>
      <c r="G28" s="39">
        <f>'Dec 28'!$E28/'Dec 28'!$F28</f>
        <v>54.851559819290237</v>
      </c>
      <c r="H28" s="36">
        <v>54</v>
      </c>
      <c r="I28" s="36">
        <f>ROUND(Table13895845679910111213144562678910111213141516171819202134567891011121314151617181920212223345678910111213141516171819203456789101112131415161718[[#This Row],[Target Quantity]],0)</f>
        <v>55</v>
      </c>
      <c r="J28" s="40">
        <f t="shared" ref="J28:J37" si="1">I28-H28</f>
        <v>1</v>
      </c>
      <c r="K28" s="41">
        <f>'Dec 28'!$F28*'Dec 28'!$I28</f>
        <v>8564866.8518518601</v>
      </c>
      <c r="L28" s="42">
        <f>'Dec 28'!$K28/$K$2</f>
        <v>5.8058683191545696E-2</v>
      </c>
      <c r="M28" s="64"/>
    </row>
    <row r="29" spans="1:15" s="4" customFormat="1" ht="25.5" x14ac:dyDescent="0.2">
      <c r="A29" s="36" t="s">
        <v>137</v>
      </c>
      <c r="B29" s="62" t="s">
        <v>80</v>
      </c>
      <c r="C29" s="63" t="s">
        <v>81</v>
      </c>
      <c r="D29" s="37">
        <v>5.7950000000000002E-2</v>
      </c>
      <c r="E29" s="38">
        <f>'Dec 28'!$D29*$C$6*$C$2</f>
        <v>8541751.02670197</v>
      </c>
      <c r="F29" s="38">
        <v>211230.07692307699</v>
      </c>
      <c r="G29" s="39">
        <f>'Dec 28'!$E29/'Dec 28'!$F29</f>
        <v>40.438138124679057</v>
      </c>
      <c r="H29" s="36">
        <v>39</v>
      </c>
      <c r="I29" s="36">
        <f>ROUND(Table13895845679910111213144562678910111213141516171819202134567891011121314151617181920212223345678910111213141516171819203456789101112131415161718[[#This Row],[Target Quantity]],0)</f>
        <v>40</v>
      </c>
      <c r="J29" s="40">
        <f t="shared" si="1"/>
        <v>1</v>
      </c>
      <c r="K29" s="41">
        <f>'Dec 28'!$F29*'Dec 28'!$I29</f>
        <v>8449203.0769230798</v>
      </c>
      <c r="L29" s="42">
        <f>'Dec 28'!$K29/$K$2</f>
        <v>5.7274632886796788E-2</v>
      </c>
      <c r="M29" s="64"/>
    </row>
    <row r="30" spans="1:15" s="4" customFormat="1" ht="25.5" x14ac:dyDescent="0.2">
      <c r="A30" s="36" t="s">
        <v>137</v>
      </c>
      <c r="B30" s="62" t="s">
        <v>82</v>
      </c>
      <c r="C30" s="63" t="s">
        <v>83</v>
      </c>
      <c r="D30" s="37">
        <v>5.7950000000000002E-2</v>
      </c>
      <c r="E30" s="38">
        <f>'Dec 28'!$D30*$C$6*$C$2</f>
        <v>8541751.02670197</v>
      </c>
      <c r="F30" s="38">
        <v>172137.30612244899</v>
      </c>
      <c r="G30" s="39">
        <f>'Dec 28'!$E30/'Dec 28'!$F30</f>
        <v>49.621730577251157</v>
      </c>
      <c r="H30" s="36">
        <v>49</v>
      </c>
      <c r="I30" s="36">
        <f>ROUND(Table13895845679910111213144562678910111213141516171819202134567891011121314151617181920212223345678910111213141516171819203456789101112131415161718[[#This Row],[Target Quantity]],0)</f>
        <v>50</v>
      </c>
      <c r="J30" s="40">
        <f t="shared" si="1"/>
        <v>1</v>
      </c>
      <c r="K30" s="41">
        <f>'Dec 28'!$F30*'Dec 28'!$I30</f>
        <v>8606865.3061224502</v>
      </c>
      <c r="L30" s="42">
        <f>'Dec 28'!$K30/$K$2</f>
        <v>5.8343378212870355E-2</v>
      </c>
      <c r="M30" s="64"/>
    </row>
    <row r="31" spans="1:15" s="4" customFormat="1" ht="25.5" x14ac:dyDescent="0.2">
      <c r="A31" s="36" t="s">
        <v>137</v>
      </c>
      <c r="B31" s="62" t="s">
        <v>84</v>
      </c>
      <c r="C31" s="63" t="s">
        <v>85</v>
      </c>
      <c r="D31" s="37">
        <v>5.7950000000000002E-2</v>
      </c>
      <c r="E31" s="38">
        <f>'Dec 28'!$D31*$C$6*$C$2</f>
        <v>8541751.02670197</v>
      </c>
      <c r="F31" s="38">
        <v>126013.28358209001</v>
      </c>
      <c r="G31" s="39">
        <f>'Dec 28'!$E31/'Dec 28'!$F31</f>
        <v>67.784528613902339</v>
      </c>
      <c r="H31" s="36">
        <v>67</v>
      </c>
      <c r="I31" s="36">
        <f>ROUND(Table13895845679910111213144562678910111213141516171819202134567891011121314151617181920212223345678910111213141516171819203456789101112131415161718[[#This Row],[Target Quantity]],0)</f>
        <v>68</v>
      </c>
      <c r="J31" s="40">
        <f t="shared" si="1"/>
        <v>1</v>
      </c>
      <c r="K31" s="41">
        <f>'Dec 28'!$F31*'Dec 28'!$I31</f>
        <v>8568903.2835821211</v>
      </c>
      <c r="L31" s="42">
        <f>'Dec 28'!$K31/$K$2</f>
        <v>5.8086044960865071E-2</v>
      </c>
      <c r="M31" s="64"/>
    </row>
    <row r="32" spans="1:15" s="4" customFormat="1" ht="25.5" x14ac:dyDescent="0.2">
      <c r="A32" s="36" t="s">
        <v>137</v>
      </c>
      <c r="B32" s="62" t="s">
        <v>86</v>
      </c>
      <c r="C32" s="63" t="s">
        <v>87</v>
      </c>
      <c r="D32" s="37">
        <v>5.7950000000000002E-2</v>
      </c>
      <c r="E32" s="38">
        <f>'Dec 28'!$D32*$C$6*$C$2</f>
        <v>8541751.02670197</v>
      </c>
      <c r="F32" s="38">
        <v>137743.96721311499</v>
      </c>
      <c r="G32" s="39">
        <f>'Dec 28'!$E32/'Dec 28'!$F32</f>
        <v>62.011797681754921</v>
      </c>
      <c r="H32" s="36">
        <v>61</v>
      </c>
      <c r="I32" s="36">
        <f>ROUND(Table13895845679910111213144562678910111213141516171819202134567891011121314151617181920212223345678910111213141516171819203456789101112131415161718[[#This Row],[Target Quantity]],0)</f>
        <v>62</v>
      </c>
      <c r="J32" s="40">
        <f t="shared" si="1"/>
        <v>1</v>
      </c>
      <c r="K32" s="41">
        <f>'Dec 28'!$F32*'Dec 28'!$I32</f>
        <v>8540125.9672131296</v>
      </c>
      <c r="L32" s="42">
        <f>'Dec 28'!$K32/$K$2</f>
        <v>5.789097209831276E-2</v>
      </c>
      <c r="M32" s="64"/>
    </row>
    <row r="33" spans="1:16" s="4" customFormat="1" ht="25.5" x14ac:dyDescent="0.2">
      <c r="A33" s="36" t="s">
        <v>137</v>
      </c>
      <c r="B33" s="62" t="s">
        <v>92</v>
      </c>
      <c r="C33" s="63" t="s">
        <v>93</v>
      </c>
      <c r="D33" s="37">
        <v>5.7950000000000002E-2</v>
      </c>
      <c r="E33" s="38">
        <f>'Dec 28'!$D33*$C$6*$C$2</f>
        <v>8541751.02670197</v>
      </c>
      <c r="F33" s="38">
        <v>220949.36842105299</v>
      </c>
      <c r="G33" s="39">
        <f>'Dec 28'!$E33/'Dec 28'!$F33</f>
        <v>38.659314067032547</v>
      </c>
      <c r="H33" s="36">
        <v>38</v>
      </c>
      <c r="I33" s="36">
        <f>ROUND(Table13895845679910111213144562678910111213141516171819202134567891011121314151617181920212223345678910111213141516171819203456789101112131415161718[[#This Row],[Target Quantity]],0)</f>
        <v>39</v>
      </c>
      <c r="J33" s="40">
        <f t="shared" si="1"/>
        <v>1</v>
      </c>
      <c r="K33" s="41">
        <f>'Dec 28'!$F33*'Dec 28'!$I33</f>
        <v>8617025.3684210666</v>
      </c>
      <c r="L33" s="42">
        <f>'Dec 28'!$K33/$K$2</f>
        <v>5.8412250251210822E-2</v>
      </c>
      <c r="M33" s="64"/>
    </row>
    <row r="34" spans="1:16" s="44" customFormat="1" ht="25.5" customHeight="1" x14ac:dyDescent="0.2">
      <c r="A34" s="36" t="s">
        <v>138</v>
      </c>
      <c r="B34" s="36" t="s">
        <v>54</v>
      </c>
      <c r="C34" s="36" t="s">
        <v>55</v>
      </c>
      <c r="D34" s="37">
        <v>5.7950000000000002E-2</v>
      </c>
      <c r="E34" s="38">
        <f>'Dec 28'!$D34*$C$6*$C$2</f>
        <v>8541751.02670197</v>
      </c>
      <c r="F34" s="38">
        <v>115695.136986301</v>
      </c>
      <c r="G34" s="39">
        <f>'Dec 28'!$E34/'Dec 28'!$F34</f>
        <v>73.82981903304514</v>
      </c>
      <c r="H34" s="36">
        <v>73</v>
      </c>
      <c r="I34" s="36">
        <f>ROUND(Table13895845679910111213144562678910111213141516171819202134567891011121314151617181920212223345678910111213141516171819203456789101112131415161718[[#This Row],[Target Quantity]],0)</f>
        <v>74</v>
      </c>
      <c r="J34" s="40">
        <f t="shared" si="1"/>
        <v>1</v>
      </c>
      <c r="K34" s="41">
        <f>'Dec 28'!$F34*'Dec 28'!$I34</f>
        <v>8561440.1369862743</v>
      </c>
      <c r="L34" s="42">
        <f>'Dec 28'!$K34/$K$2</f>
        <v>5.803545451137937E-2</v>
      </c>
      <c r="M34" s="43"/>
      <c r="O34" s="4"/>
    </row>
    <row r="35" spans="1:16" s="44" customFormat="1" ht="25.5" x14ac:dyDescent="0.2">
      <c r="A35" s="36" t="s">
        <v>138</v>
      </c>
      <c r="B35" s="36" t="s">
        <v>52</v>
      </c>
      <c r="C35" s="36" t="s">
        <v>53</v>
      </c>
      <c r="D35" s="37">
        <v>5.7950000000000002E-2</v>
      </c>
      <c r="E35" s="38">
        <f>'Dec 28'!$D35*$C$6*$C$2</f>
        <v>8541751.02670197</v>
      </c>
      <c r="F35" s="38">
        <v>138713.42622950801</v>
      </c>
      <c r="G35" s="39">
        <f>'Dec 28'!$E35/'Dec 28'!$F35</f>
        <v>61.578401304638192</v>
      </c>
      <c r="H35" s="36">
        <v>61</v>
      </c>
      <c r="I35" s="36">
        <f>ROUND(Table13895845679910111213144562678910111213141516171819202134567891011121314151617181920212223345678910111213141516171819203456789101112131415161718[[#This Row],[Target Quantity]],0)</f>
        <v>62</v>
      </c>
      <c r="J35" s="40">
        <f t="shared" si="1"/>
        <v>1</v>
      </c>
      <c r="K35" s="41">
        <f>'Dec 28'!$F35*'Dec 28'!$I35</f>
        <v>8600232.4262294974</v>
      </c>
      <c r="L35" s="42">
        <f>'Dec 28'!$K35/$K$2</f>
        <v>5.8298415894247821E-2</v>
      </c>
      <c r="M35" s="43"/>
      <c r="O35" s="4"/>
    </row>
    <row r="36" spans="1:16" s="44" customFormat="1" ht="24.95" customHeight="1" x14ac:dyDescent="0.2">
      <c r="A36" s="36" t="s">
        <v>138</v>
      </c>
      <c r="B36" s="36" t="s">
        <v>48</v>
      </c>
      <c r="C36" s="36" t="s">
        <v>49</v>
      </c>
      <c r="D36" s="37">
        <v>5.7950000000000002E-2</v>
      </c>
      <c r="E36" s="38">
        <f>'Dec 28'!$D36*$C$6*$C$2</f>
        <v>8541751.02670197</v>
      </c>
      <c r="F36" s="38">
        <v>185949.444444444</v>
      </c>
      <c r="G36" s="39">
        <f>'Dec 28'!$E36/'Dec 28'!$F36</f>
        <v>45.935878174962674</v>
      </c>
      <c r="H36" s="36">
        <v>45</v>
      </c>
      <c r="I36" s="36">
        <f>ROUND(Table13895845679910111213144562678910111213141516171819202134567891011121314151617181920212223345678910111213141516171819203456789101112131415161718[[#This Row],[Target Quantity]],0)</f>
        <v>46</v>
      </c>
      <c r="J36" s="40">
        <f t="shared" si="1"/>
        <v>1</v>
      </c>
      <c r="K36" s="41">
        <f>'Dec 28'!$F36*'Dec 28'!$I36</f>
        <v>8553674.4444444235</v>
      </c>
      <c r="L36" s="42">
        <f>'Dec 28'!$K36/$K$2</f>
        <v>5.7982813192973728E-2</v>
      </c>
      <c r="M36" s="43"/>
      <c r="O36" s="4"/>
    </row>
    <row r="37" spans="1:16" s="44" customFormat="1" ht="25.5" x14ac:dyDescent="0.2">
      <c r="A37" s="36" t="s">
        <v>138</v>
      </c>
      <c r="B37" s="36" t="s">
        <v>58</v>
      </c>
      <c r="C37" s="36" t="s">
        <v>59</v>
      </c>
      <c r="D37" s="37">
        <v>4.845E-2</v>
      </c>
      <c r="E37" s="38">
        <f>'Dec 28'!$D37*$C$6*$C$2</f>
        <v>7141463.9731442705</v>
      </c>
      <c r="F37" s="38">
        <v>274088.8</v>
      </c>
      <c r="G37" s="39">
        <f>'Dec 28'!$E37/'Dec 28'!$F37</f>
        <v>26.055292931138634</v>
      </c>
      <c r="H37" s="36">
        <v>30</v>
      </c>
      <c r="I37" s="36">
        <f>ROUND(Table13895845679910111213144562678910111213141516171819202134567891011121314151617181920212223345678910111213141516171819203456789101112131415161718[[#This Row],[Target Quantity]],0)</f>
        <v>26</v>
      </c>
      <c r="J37" s="40">
        <f t="shared" si="1"/>
        <v>-4</v>
      </c>
      <c r="K37" s="41">
        <f>'Dec 28'!$F37*'Dec 28'!$I37</f>
        <v>7126308.7999999998</v>
      </c>
      <c r="L37" s="42">
        <f>'Dec 28'!$K37/$K$2</f>
        <v>4.8307126322094093E-2</v>
      </c>
      <c r="M37" s="43"/>
      <c r="O37" s="4"/>
    </row>
    <row r="38" spans="1:16" s="66" customFormat="1" ht="12.75" x14ac:dyDescent="0.2">
      <c r="A38" s="36"/>
      <c r="B38" s="63"/>
      <c r="C38" s="63"/>
      <c r="D38" s="37"/>
      <c r="E38" s="65"/>
      <c r="F38" s="38"/>
      <c r="G38" s="39"/>
      <c r="H38" s="36"/>
      <c r="I38" s="36"/>
      <c r="J38" s="46"/>
      <c r="K38" s="38"/>
      <c r="L38" s="47"/>
      <c r="M38" s="64"/>
    </row>
    <row r="39" spans="1:16" s="17" customFormat="1" ht="12.75" x14ac:dyDescent="0.2">
      <c r="A39" s="48" t="s">
        <v>142</v>
      </c>
      <c r="B39" s="67"/>
      <c r="C39" s="67"/>
      <c r="D39" s="56">
        <f>SUBTOTAL(9,D28:D38)</f>
        <v>0.56999999999999995</v>
      </c>
      <c r="E39" s="68">
        <f>'Dec 28'!$D39*$C$6*$C$2</f>
        <v>84017223.213461995</v>
      </c>
      <c r="F39" s="69"/>
      <c r="G39" s="70"/>
      <c r="H39" s="55"/>
      <c r="I39" s="55"/>
      <c r="J39" s="59"/>
      <c r="K39" s="68">
        <f>SUM(K28:K38)</f>
        <v>84188645.66177389</v>
      </c>
      <c r="L39" s="71">
        <f>'Dec 28'!$K39/$K$2</f>
        <v>0.57068977152229639</v>
      </c>
      <c r="M39" s="72"/>
    </row>
    <row r="40" spans="1:16" s="44" customFormat="1" ht="12.75" x14ac:dyDescent="0.25">
      <c r="A40" s="36"/>
      <c r="B40" s="36"/>
      <c r="C40" s="36"/>
      <c r="D40" s="37"/>
      <c r="E40" s="38"/>
      <c r="F40" s="38"/>
      <c r="G40" s="74"/>
      <c r="H40" s="36"/>
      <c r="I40" s="36"/>
      <c r="J40" s="40"/>
      <c r="K40" s="41"/>
      <c r="L40" s="42"/>
      <c r="M40" s="43"/>
    </row>
    <row r="41" spans="1:16" s="44" customFormat="1" ht="25.5" x14ac:dyDescent="0.25">
      <c r="A41" s="36" t="s">
        <v>154</v>
      </c>
      <c r="B41" s="36" t="s">
        <v>45</v>
      </c>
      <c r="C41" s="36" t="s">
        <v>46</v>
      </c>
      <c r="D41" s="37">
        <v>2E-3</v>
      </c>
      <c r="E41" s="38">
        <f>'Dec 28'!$D41*$C$6*$C$2</f>
        <v>294797.27443320001</v>
      </c>
      <c r="F41" s="38">
        <v>50587.5</v>
      </c>
      <c r="G41" s="74">
        <f>'Dec 28'!$E41/'Dec 28'!$F41</f>
        <v>5.8274726846197185</v>
      </c>
      <c r="H41" s="36">
        <v>6</v>
      </c>
      <c r="I41" s="36">
        <v>6</v>
      </c>
      <c r="J41" s="40">
        <f t="shared" ref="J41:J50" si="2">I41-H41</f>
        <v>0</v>
      </c>
      <c r="K41" s="41">
        <f>'Dec 28'!$F41*'Dec 28'!$I41</f>
        <v>303525</v>
      </c>
      <c r="L41" s="42">
        <f>'Dec 28'!$K41/$K$2</f>
        <v>2.0575056355842465E-3</v>
      </c>
      <c r="M41" s="43"/>
    </row>
    <row r="42" spans="1:16" s="44" customFormat="1" ht="25.5" x14ac:dyDescent="0.25">
      <c r="A42" s="36" t="s">
        <v>154</v>
      </c>
      <c r="B42" s="36" t="s">
        <v>60</v>
      </c>
      <c r="C42" s="36" t="s">
        <v>61</v>
      </c>
      <c r="D42" s="37">
        <v>2E-3</v>
      </c>
      <c r="E42" s="38">
        <f>'Dec 28'!$D42*$C$6*$C$2</f>
        <v>294797.27443320001</v>
      </c>
      <c r="F42" s="38">
        <v>89861.666666666701</v>
      </c>
      <c r="G42" s="74">
        <f>'Dec 28'!$E42/'Dec 28'!$F42</f>
        <v>3.2805676254227785</v>
      </c>
      <c r="H42" s="36">
        <v>3</v>
      </c>
      <c r="I42" s="36">
        <v>3</v>
      </c>
      <c r="J42" s="40">
        <f t="shared" si="2"/>
        <v>0</v>
      </c>
      <c r="K42" s="41">
        <f>'Dec 28'!$F42*'Dec 28'!$I42</f>
        <v>269585.00000000012</v>
      </c>
      <c r="L42" s="42">
        <f>'Dec 28'!$K42/$K$2</f>
        <v>1.8274364772884585E-3</v>
      </c>
      <c r="M42" s="43"/>
      <c r="P42" s="44" t="s">
        <v>157</v>
      </c>
    </row>
    <row r="43" spans="1:16" s="44" customFormat="1" ht="25.5" x14ac:dyDescent="0.25">
      <c r="A43" s="36" t="s">
        <v>154</v>
      </c>
      <c r="B43" s="36" t="s">
        <v>68</v>
      </c>
      <c r="C43" s="36" t="s">
        <v>69</v>
      </c>
      <c r="D43" s="37">
        <v>2E-3</v>
      </c>
      <c r="E43" s="38">
        <f>'Dec 28'!$D43*$C$6*$C$2</f>
        <v>294797.27443320001</v>
      </c>
      <c r="F43" s="38">
        <v>101749.66666666701</v>
      </c>
      <c r="G43" s="74">
        <f>'Dec 28'!$E43/'Dec 28'!$F43</f>
        <v>2.8972800018987681</v>
      </c>
      <c r="H43" s="36">
        <v>3</v>
      </c>
      <c r="I43" s="36">
        <v>3</v>
      </c>
      <c r="J43" s="40">
        <f t="shared" si="2"/>
        <v>0</v>
      </c>
      <c r="K43" s="41">
        <f>'Dec 28'!$F43*'Dec 28'!$I43</f>
        <v>305249.00000000105</v>
      </c>
      <c r="L43" s="42">
        <f>'Dec 28'!$K43/$K$2</f>
        <v>2.0691921184629201E-3</v>
      </c>
      <c r="M43" s="43"/>
    </row>
    <row r="44" spans="1:16" s="44" customFormat="1" ht="25.5" x14ac:dyDescent="0.25">
      <c r="A44" s="36" t="s">
        <v>154</v>
      </c>
      <c r="B44" s="36" t="s">
        <v>70</v>
      </c>
      <c r="C44" s="36" t="s">
        <v>71</v>
      </c>
      <c r="D44" s="37">
        <v>2E-3</v>
      </c>
      <c r="E44" s="38">
        <f>'Dec 28'!$D44*$C$6*$C$2</f>
        <v>294797.27443320001</v>
      </c>
      <c r="F44" s="38">
        <v>236763</v>
      </c>
      <c r="G44" s="74">
        <f>'Dec 28'!$E44/'Dec 28'!$F44</f>
        <v>1.245115471729958</v>
      </c>
      <c r="H44" s="36">
        <v>1</v>
      </c>
      <c r="I44" s="36">
        <v>1</v>
      </c>
      <c r="J44" s="40">
        <f t="shared" si="2"/>
        <v>0</v>
      </c>
      <c r="K44" s="41">
        <f>'Dec 28'!$F44*'Dec 28'!$I44</f>
        <v>236763</v>
      </c>
      <c r="L44" s="42">
        <f>'Dec 28'!$K44/$K$2</f>
        <v>1.6049459082376509E-3</v>
      </c>
      <c r="M44" s="43"/>
    </row>
    <row r="45" spans="1:16" s="44" customFormat="1" ht="25.5" x14ac:dyDescent="0.25">
      <c r="A45" s="36" t="s">
        <v>154</v>
      </c>
      <c r="B45" s="36" t="s">
        <v>72</v>
      </c>
      <c r="C45" s="36" t="s">
        <v>73</v>
      </c>
      <c r="D45" s="37">
        <v>2E-3</v>
      </c>
      <c r="E45" s="38">
        <f>'Dec 28'!$D45*$C$6*$C$2</f>
        <v>294797.27443320001</v>
      </c>
      <c r="F45" s="38">
        <v>16263.9444444444</v>
      </c>
      <c r="G45" s="74">
        <f>'Dec 28'!$E45/'Dec 28'!$F45</f>
        <v>18.125816614794193</v>
      </c>
      <c r="H45" s="36">
        <v>18</v>
      </c>
      <c r="I45" s="36">
        <v>18</v>
      </c>
      <c r="J45" s="40">
        <f t="shared" si="2"/>
        <v>0</v>
      </c>
      <c r="K45" s="41">
        <f>'Dec 28'!$F45*'Dec 28'!$I45</f>
        <v>292750.99999999919</v>
      </c>
      <c r="L45" s="42">
        <f>'Dec 28'!$K45/$K$2</f>
        <v>1.9844718962949417E-3</v>
      </c>
      <c r="M45" s="43"/>
    </row>
    <row r="46" spans="1:16" s="4" customFormat="1" ht="25.5" x14ac:dyDescent="0.2">
      <c r="A46" s="36" t="s">
        <v>154</v>
      </c>
      <c r="B46" s="63" t="s">
        <v>90</v>
      </c>
      <c r="C46" s="63" t="s">
        <v>91</v>
      </c>
      <c r="D46" s="37">
        <v>2E-3</v>
      </c>
      <c r="E46" s="38">
        <f>'Dec 28'!$D46*$C$6*$C$2</f>
        <v>294797.27443320001</v>
      </c>
      <c r="F46" s="38">
        <v>70260</v>
      </c>
      <c r="G46" s="74">
        <f>'Dec 28'!$E46/'Dec 28'!$F46</f>
        <v>4.1958052153885568</v>
      </c>
      <c r="H46" s="36">
        <v>4</v>
      </c>
      <c r="I46" s="36">
        <v>4</v>
      </c>
      <c r="J46" s="40">
        <f t="shared" si="2"/>
        <v>0</v>
      </c>
      <c r="K46" s="41">
        <f>'Dec 28'!$F46*'Dec 28'!$I46</f>
        <v>281040</v>
      </c>
      <c r="L46" s="42">
        <f>'Dec 28'!$K46/$K$2</f>
        <v>1.9050865128888779E-3</v>
      </c>
      <c r="M46" s="64"/>
    </row>
    <row r="47" spans="1:16" s="44" customFormat="1" ht="25.5" x14ac:dyDescent="0.25">
      <c r="A47" s="36" t="s">
        <v>154</v>
      </c>
      <c r="B47" s="36" t="s">
        <v>66</v>
      </c>
      <c r="C47" s="36" t="s">
        <v>67</v>
      </c>
      <c r="D47" s="37">
        <v>2E-3</v>
      </c>
      <c r="E47" s="38">
        <f>'Dec 28'!$D47*$C$6*$C$2</f>
        <v>294797.27443320001</v>
      </c>
      <c r="F47" s="38">
        <v>23370</v>
      </c>
      <c r="G47" s="74">
        <f>'Dec 28'!$E47/'Dec 28'!$F47</f>
        <v>12.614346360000001</v>
      </c>
      <c r="H47" s="36">
        <v>11</v>
      </c>
      <c r="I47" s="36">
        <v>13</v>
      </c>
      <c r="J47" s="40">
        <f t="shared" si="2"/>
        <v>2</v>
      </c>
      <c r="K47" s="41">
        <f>'Dec 28'!$F47*'Dec 28'!$I47</f>
        <v>303810</v>
      </c>
      <c r="L47" s="42">
        <f>'Dec 28'!$K47/$K$2</f>
        <v>2.0594375657585042E-3</v>
      </c>
      <c r="M47" s="43"/>
    </row>
    <row r="48" spans="1:16" s="44" customFormat="1" ht="25.5" x14ac:dyDescent="0.25">
      <c r="A48" s="36" t="s">
        <v>154</v>
      </c>
      <c r="B48" s="36" t="s">
        <v>77</v>
      </c>
      <c r="C48" s="36" t="s">
        <v>78</v>
      </c>
      <c r="D48" s="37">
        <v>2E-3</v>
      </c>
      <c r="E48" s="38">
        <f>'Dec 28'!$D48*$C$6*$C$2</f>
        <v>294797.27443320001</v>
      </c>
      <c r="F48" s="38">
        <v>7412.1025641025599</v>
      </c>
      <c r="G48" s="74">
        <f>'Dec 28'!$E48/'Dec 28'!$F48</f>
        <v>39.772422451482008</v>
      </c>
      <c r="H48" s="36">
        <v>39</v>
      </c>
      <c r="I48" s="36">
        <v>40</v>
      </c>
      <c r="J48" s="40">
        <f t="shared" si="2"/>
        <v>1</v>
      </c>
      <c r="K48" s="41">
        <f>'Dec 28'!$F48*'Dec 28'!$I48</f>
        <v>296484.10256410239</v>
      </c>
      <c r="L48" s="42">
        <f>'Dec 28'!$K48/$K$2</f>
        <v>2.0097774874780609E-3</v>
      </c>
      <c r="M48" s="43"/>
    </row>
    <row r="49" spans="1:13" s="44" customFormat="1" ht="25.5" x14ac:dyDescent="0.25">
      <c r="A49" s="36" t="s">
        <v>154</v>
      </c>
      <c r="B49" s="36" t="s">
        <v>63</v>
      </c>
      <c r="C49" s="36" t="s">
        <v>64</v>
      </c>
      <c r="D49" s="37">
        <v>2E-3</v>
      </c>
      <c r="E49" s="38">
        <f>'Dec 28'!$D49*$C$6*$C$2</f>
        <v>294797.27443320001</v>
      </c>
      <c r="F49" s="38">
        <v>29387</v>
      </c>
      <c r="G49" s="74">
        <f>'Dec 28'!$E49/'Dec 28'!$F49</f>
        <v>10.031553899111852</v>
      </c>
      <c r="H49" s="36">
        <v>10</v>
      </c>
      <c r="I49" s="36">
        <v>10</v>
      </c>
      <c r="J49" s="40">
        <f t="shared" si="2"/>
        <v>0</v>
      </c>
      <c r="K49" s="41">
        <f>'Dec 28'!$F49*'Dec 28'!$I49</f>
        <v>293870</v>
      </c>
      <c r="L49" s="42">
        <f>'Dec 28'!$K49/$K$2</f>
        <v>1.9920572642422949E-3</v>
      </c>
      <c r="M49" s="43"/>
    </row>
    <row r="50" spans="1:13" s="44" customFormat="1" ht="25.5" x14ac:dyDescent="0.25">
      <c r="A50" s="36" t="s">
        <v>154</v>
      </c>
      <c r="B50" s="36" t="s">
        <v>88</v>
      </c>
      <c r="C50" s="36" t="s">
        <v>89</v>
      </c>
      <c r="D50" s="37">
        <v>2E-3</v>
      </c>
      <c r="E50" s="38">
        <f>'Dec 28'!$D50*$C$6*$C$2</f>
        <v>294797.27443320001</v>
      </c>
      <c r="F50" s="38">
        <v>63304.2</v>
      </c>
      <c r="G50" s="74">
        <f>'Dec 28'!$E50/'Dec 28'!$F50</f>
        <v>4.6568359513776345</v>
      </c>
      <c r="H50" s="36">
        <v>5</v>
      </c>
      <c r="I50" s="36">
        <v>5</v>
      </c>
      <c r="J50" s="40">
        <f t="shared" si="2"/>
        <v>0</v>
      </c>
      <c r="K50" s="41">
        <f>'Dec 28'!$F50*'Dec 28'!$I50</f>
        <v>316521</v>
      </c>
      <c r="L50" s="42">
        <f>'Dec 28'!$K50/$K$2</f>
        <v>2.1456016515303891E-3</v>
      </c>
      <c r="M50" s="43"/>
    </row>
    <row r="51" spans="1:13" s="44" customFormat="1" ht="12.75" x14ac:dyDescent="0.25">
      <c r="A51" s="36"/>
      <c r="B51" s="36"/>
      <c r="C51" s="36"/>
      <c r="D51" s="37"/>
      <c r="E51" s="38"/>
      <c r="F51" s="38"/>
      <c r="G51" s="39"/>
      <c r="H51" s="36"/>
      <c r="I51" s="36"/>
      <c r="J51" s="43"/>
      <c r="K51" s="41"/>
      <c r="L51" s="42"/>
      <c r="M51" s="43"/>
    </row>
    <row r="52" spans="1:13" s="17" customFormat="1" ht="12.75" x14ac:dyDescent="0.2">
      <c r="A52" s="48" t="s">
        <v>164</v>
      </c>
      <c r="B52" s="67"/>
      <c r="C52" s="67"/>
      <c r="D52" s="75">
        <f>SUM(D41:D51)</f>
        <v>2.0000000000000004E-2</v>
      </c>
      <c r="E52" s="50">
        <f>SUM(E40:E51)</f>
        <v>2947972.7443320006</v>
      </c>
      <c r="F52" s="70"/>
      <c r="G52" s="70"/>
      <c r="H52" s="67"/>
      <c r="I52" s="67"/>
      <c r="J52" s="48"/>
      <c r="K52" s="50">
        <f>SUM(K40:K51)</f>
        <v>2899598.102564103</v>
      </c>
      <c r="L52" s="53">
        <f>'Dec 28'!$K52/$K$2</f>
        <v>1.9655512517766347E-2</v>
      </c>
      <c r="M52" s="60"/>
    </row>
    <row r="53" spans="1:13" s="4" customFormat="1" ht="12.75" x14ac:dyDescent="0.2">
      <c r="A53" s="36"/>
      <c r="B53" s="63"/>
      <c r="C53" s="63"/>
      <c r="D53" s="76"/>
      <c r="E53" s="38"/>
      <c r="F53" s="38"/>
      <c r="G53" s="39"/>
      <c r="H53" s="63"/>
      <c r="I53" s="63"/>
      <c r="J53" s="36"/>
      <c r="K53" s="36"/>
      <c r="L53" s="42"/>
      <c r="M53" s="64"/>
    </row>
    <row r="54" spans="1:13" s="44" customFormat="1" ht="25.5" x14ac:dyDescent="0.25">
      <c r="A54" s="48" t="s">
        <v>165</v>
      </c>
      <c r="B54" s="55" t="s">
        <v>166</v>
      </c>
      <c r="C54" s="55" t="s">
        <v>167</v>
      </c>
      <c r="D54" s="56">
        <v>0</v>
      </c>
      <c r="E54" s="57">
        <f>'Dec 28'!$D54*$C$6*$C$2</f>
        <v>0</v>
      </c>
      <c r="F54" s="57">
        <v>0</v>
      </c>
      <c r="G54" s="58" t="s">
        <v>168</v>
      </c>
      <c r="H54" s="55">
        <v>0</v>
      </c>
      <c r="I54" s="55">
        <v>0</v>
      </c>
      <c r="J54" s="77">
        <f>I54-H54</f>
        <v>0</v>
      </c>
      <c r="K54" s="57">
        <f>'Dec 28'!$F54*'Dec 28'!$I54</f>
        <v>0</v>
      </c>
      <c r="L54" s="78">
        <f>'Dec 28'!$K54/$K$2</f>
        <v>0</v>
      </c>
      <c r="M54" s="55"/>
    </row>
    <row r="55" spans="1:13" s="4" customFormat="1" ht="12.75" x14ac:dyDescent="0.2">
      <c r="A55" s="36"/>
      <c r="B55" s="63"/>
      <c r="C55" s="63"/>
      <c r="D55" s="76"/>
      <c r="E55" s="38"/>
      <c r="F55" s="38"/>
      <c r="G55" s="39"/>
      <c r="H55" s="63"/>
      <c r="I55" s="63"/>
      <c r="J55" s="36"/>
      <c r="K55" s="36"/>
      <c r="L55" s="42"/>
      <c r="M55" s="64"/>
    </row>
    <row r="56" spans="1:13" s="4" customFormat="1" ht="12.75" x14ac:dyDescent="0.2">
      <c r="A56" s="36"/>
      <c r="B56" s="63"/>
      <c r="C56" s="63"/>
      <c r="D56" s="79"/>
      <c r="E56" s="65"/>
      <c r="F56" s="38"/>
      <c r="G56" s="39"/>
      <c r="H56" s="63"/>
      <c r="I56" s="63"/>
      <c r="J56" s="36"/>
      <c r="K56" s="36"/>
      <c r="L56" s="42"/>
      <c r="M56" s="64"/>
    </row>
    <row r="57" spans="1:13" s="17" customFormat="1" ht="12.75" x14ac:dyDescent="0.2">
      <c r="A57" s="48" t="s">
        <v>169</v>
      </c>
      <c r="B57" s="67"/>
      <c r="C57" s="67"/>
      <c r="D57" s="67"/>
      <c r="E57" s="80"/>
      <c r="F57" s="80"/>
      <c r="G57" s="48"/>
      <c r="H57" s="67"/>
      <c r="I57" s="67"/>
      <c r="J57" s="67"/>
      <c r="K57" s="80">
        <f>SUM(K24,K26,K39,K52,K54:K54)</f>
        <v>147520859.60328925</v>
      </c>
      <c r="L57" s="53">
        <f>'Dec 28'!$K57/$K$2</f>
        <v>1.0000000000000002</v>
      </c>
      <c r="M57" s="67"/>
    </row>
    <row r="58" spans="1:13" s="4" customFormat="1" ht="12.75" x14ac:dyDescent="0.2">
      <c r="A58" s="64"/>
      <c r="B58" s="64"/>
      <c r="C58" s="64"/>
      <c r="D58" s="81"/>
      <c r="E58" s="82"/>
      <c r="F58" s="38"/>
      <c r="G58" s="83"/>
      <c r="H58" s="64"/>
      <c r="I58" s="64"/>
      <c r="J58" s="64"/>
      <c r="K58" s="64"/>
      <c r="L58" s="42"/>
      <c r="M58" s="64"/>
    </row>
    <row r="59" spans="1:13" s="4" customFormat="1" ht="12.75" x14ac:dyDescent="0.2">
      <c r="A59" s="64"/>
      <c r="B59" s="64"/>
      <c r="C59" s="64"/>
      <c r="D59" s="81"/>
      <c r="E59" s="82"/>
      <c r="F59" s="38"/>
      <c r="G59" s="83"/>
      <c r="H59" s="64"/>
      <c r="I59" s="64"/>
      <c r="J59" s="64"/>
      <c r="K59" s="64"/>
      <c r="L59" s="42"/>
      <c r="M59" s="64"/>
    </row>
    <row r="60" spans="1:13" s="4" customFormat="1" ht="12.75" x14ac:dyDescent="0.2">
      <c r="A60" s="64"/>
      <c r="B60" s="64"/>
      <c r="C60" s="64"/>
      <c r="D60" s="81"/>
      <c r="E60" s="82"/>
      <c r="F60" s="38"/>
      <c r="G60" s="83"/>
      <c r="H60" s="64"/>
      <c r="I60" s="64"/>
      <c r="J60" s="64"/>
      <c r="K60" s="64"/>
      <c r="L60" s="42"/>
      <c r="M60" s="64"/>
    </row>
    <row r="61" spans="1:13" s="4" customFormat="1" ht="12.75" x14ac:dyDescent="0.2">
      <c r="A61" s="64"/>
      <c r="B61" s="64"/>
      <c r="C61" s="64"/>
      <c r="D61" s="81"/>
      <c r="E61" s="82"/>
      <c r="F61" s="38"/>
      <c r="G61" s="83"/>
      <c r="H61" s="64"/>
      <c r="I61" s="64"/>
      <c r="J61" s="64"/>
      <c r="K61" s="64"/>
      <c r="L61" s="42"/>
      <c r="M61" s="64"/>
    </row>
    <row r="62" spans="1:13" s="4" customFormat="1" ht="12.75" x14ac:dyDescent="0.2">
      <c r="A62" s="64"/>
      <c r="B62" s="64"/>
      <c r="C62" s="64"/>
      <c r="D62" s="81"/>
      <c r="E62" s="82"/>
      <c r="F62" s="38"/>
      <c r="G62" s="83"/>
      <c r="H62" s="64"/>
      <c r="I62" s="64"/>
      <c r="J62" s="64"/>
      <c r="K62" s="64"/>
      <c r="L62" s="42"/>
      <c r="M62" s="64"/>
    </row>
    <row r="63" spans="1:13" s="4" customFormat="1" ht="12.75" x14ac:dyDescent="0.2">
      <c r="A63" s="64"/>
      <c r="B63" s="64"/>
      <c r="C63" s="64"/>
      <c r="D63" s="81"/>
      <c r="E63" s="82"/>
      <c r="F63" s="38"/>
      <c r="G63" s="83"/>
      <c r="H63" s="64"/>
      <c r="I63" s="64"/>
      <c r="J63" s="64"/>
      <c r="K63" s="64"/>
      <c r="L63" s="42"/>
      <c r="M63" s="64"/>
    </row>
    <row r="64" spans="1:13" s="4" customFormat="1" ht="12.75" x14ac:dyDescent="0.2">
      <c r="A64" s="64"/>
      <c r="B64" s="64"/>
      <c r="C64" s="64"/>
      <c r="D64" s="81"/>
      <c r="E64" s="82"/>
      <c r="F64" s="38"/>
      <c r="G64" s="83"/>
      <c r="H64" s="64"/>
      <c r="I64" s="64"/>
      <c r="J64" s="64"/>
      <c r="K64" s="64"/>
      <c r="L64" s="42"/>
      <c r="M64" s="64"/>
    </row>
    <row r="65" spans="1:13" s="4" customFormat="1" ht="12.75" x14ac:dyDescent="0.2">
      <c r="A65" s="64"/>
      <c r="B65" s="64"/>
      <c r="C65" s="64"/>
      <c r="D65" s="81"/>
      <c r="E65" s="82"/>
      <c r="F65" s="38"/>
      <c r="G65" s="83"/>
      <c r="H65" s="64"/>
      <c r="I65" s="64"/>
      <c r="J65" s="64"/>
      <c r="K65" s="64"/>
      <c r="L65" s="42"/>
      <c r="M65" s="64"/>
    </row>
    <row r="66" spans="1:13" s="4" customFormat="1" ht="12.75" x14ac:dyDescent="0.2">
      <c r="A66" s="64"/>
      <c r="B66" s="64"/>
      <c r="C66" s="64"/>
      <c r="D66" s="81"/>
      <c r="E66" s="82"/>
      <c r="F66" s="38"/>
      <c r="G66" s="83"/>
      <c r="H66" s="64"/>
      <c r="I66" s="64"/>
      <c r="J66" s="64"/>
      <c r="K66" s="64"/>
      <c r="L66" s="42"/>
      <c r="M66" s="64"/>
    </row>
    <row r="67" spans="1:13" s="4" customFormat="1" ht="12.75" x14ac:dyDescent="0.2"/>
    <row r="68" spans="1:13" s="4" customFormat="1" ht="12.75" x14ac:dyDescent="0.2"/>
    <row r="70" spans="1:13" s="4" customFormat="1" ht="12.75" x14ac:dyDescent="0.2">
      <c r="A70" s="84"/>
      <c r="B70" s="84"/>
      <c r="E70" s="84"/>
      <c r="F70" s="84"/>
      <c r="G70" s="84"/>
      <c r="H70" s="85"/>
      <c r="M70" s="84"/>
    </row>
    <row r="71" spans="1:13" s="4" customFormat="1" ht="12.75" x14ac:dyDescent="0.2">
      <c r="A71" s="84"/>
      <c r="B71" s="84"/>
      <c r="E71" s="84"/>
      <c r="F71" s="84"/>
      <c r="G71" s="84"/>
      <c r="H71" s="85"/>
      <c r="M71" s="84"/>
    </row>
    <row r="72" spans="1:13" s="4" customFormat="1" ht="12.75" x14ac:dyDescent="0.2">
      <c r="A72" s="86"/>
      <c r="B72" s="86"/>
    </row>
    <row r="73" spans="1:13" s="4" customFormat="1" ht="12.75" x14ac:dyDescent="0.2">
      <c r="A73" s="87"/>
      <c r="B73" s="87"/>
      <c r="E73" s="87"/>
      <c r="F73" s="86"/>
      <c r="G73" s="86"/>
      <c r="M73" s="88"/>
    </row>
    <row r="74" spans="1:13" s="4" customFormat="1" ht="12.75" x14ac:dyDescent="0.2"/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MH74"/>
  <sheetViews>
    <sheetView zoomScaleNormal="100" workbookViewId="0">
      <pane xSplit="2" topLeftCell="C1" activePane="topRight" state="frozen"/>
      <selection pane="topRight" activeCell="K12" sqref="K12"/>
    </sheetView>
  </sheetViews>
  <sheetFormatPr defaultColWidth="9.140625" defaultRowHeight="15" x14ac:dyDescent="0.25"/>
  <cols>
    <col min="1" max="2" width="15.140625" style="4" customWidth="1"/>
    <col min="3" max="3" width="29.28515625" style="4" customWidth="1"/>
    <col min="4" max="4" width="14.85546875" style="4" customWidth="1"/>
    <col min="5" max="5" width="27.42578125" style="4" customWidth="1"/>
    <col min="6" max="7" width="13.7109375" style="4" customWidth="1"/>
    <col min="8" max="8" width="16.42578125" style="4" customWidth="1"/>
    <col min="9" max="9" width="15.42578125" style="4" customWidth="1"/>
    <col min="10" max="10" width="13.42578125" customWidth="1"/>
    <col min="11" max="11" width="23.42578125" customWidth="1"/>
    <col min="12" max="12" width="13.42578125" customWidth="1"/>
    <col min="13" max="13" width="22.42578125" style="4" customWidth="1"/>
    <col min="14" max="16" width="10.85546875" style="4" customWidth="1"/>
    <col min="17" max="17" width="11.28515625" style="4" customWidth="1"/>
    <col min="18" max="1022" width="9.140625" style="4"/>
  </cols>
  <sheetData>
    <row r="1" spans="1:17" s="4" customFormat="1" ht="25.5" x14ac:dyDescent="0.2">
      <c r="A1" s="5"/>
      <c r="B1" s="5" t="s">
        <v>95</v>
      </c>
      <c r="C1" s="6">
        <v>44194</v>
      </c>
      <c r="D1" s="7"/>
      <c r="E1" s="8" t="s">
        <v>96</v>
      </c>
      <c r="F1" s="9"/>
      <c r="G1" s="10"/>
      <c r="K1" s="11" t="s">
        <v>97</v>
      </c>
      <c r="L1" s="11" t="s">
        <v>98</v>
      </c>
      <c r="M1" s="12" t="s">
        <v>99</v>
      </c>
    </row>
    <row r="2" spans="1:17" x14ac:dyDescent="0.25">
      <c r="A2" s="5"/>
      <c r="B2" s="5" t="s">
        <v>100</v>
      </c>
      <c r="C2" s="13">
        <v>5.24</v>
      </c>
      <c r="D2" s="14"/>
      <c r="E2" s="15">
        <f>SUM(E24,E39,E52,E26,E54)</f>
        <v>150876063.13845268</v>
      </c>
      <c r="F2" s="16"/>
      <c r="G2" s="17"/>
      <c r="H2" s="14"/>
      <c r="I2" s="14"/>
      <c r="J2" s="14"/>
      <c r="K2" s="15">
        <f>SUM(K24,K39,K52,K26,K54:K54)</f>
        <v>150560425.93978253</v>
      </c>
      <c r="L2" s="18">
        <f>SUM(L52,L39,L24,L26,L54)</f>
        <v>1</v>
      </c>
      <c r="M2" s="19">
        <f>K2/$C$6</f>
        <v>5.2290220774821812</v>
      </c>
      <c r="N2" s="20"/>
    </row>
    <row r="3" spans="1:17" ht="26.25" x14ac:dyDescent="0.25">
      <c r="A3" s="5"/>
      <c r="B3" s="5" t="s">
        <v>101</v>
      </c>
      <c r="C3" s="21">
        <v>28793228.199999999</v>
      </c>
      <c r="D3" s="22"/>
      <c r="E3" s="8" t="s">
        <v>170</v>
      </c>
      <c r="F3" s="16"/>
      <c r="H3" s="14"/>
      <c r="I3" s="14"/>
      <c r="J3" s="14"/>
      <c r="K3" s="8" t="s">
        <v>102</v>
      </c>
      <c r="L3" s="14"/>
      <c r="M3" s="12" t="s">
        <v>171</v>
      </c>
      <c r="N3" s="23"/>
    </row>
    <row r="4" spans="1:17" x14ac:dyDescent="0.25">
      <c r="A4" s="5"/>
      <c r="B4" s="5" t="s">
        <v>104</v>
      </c>
      <c r="C4" s="21">
        <v>0</v>
      </c>
      <c r="D4" s="22"/>
      <c r="E4" s="15">
        <f>SUM(E24,E52,E26)</f>
        <v>64876449.150692701</v>
      </c>
      <c r="F4" s="16"/>
      <c r="G4" s="17"/>
      <c r="H4" s="14"/>
      <c r="I4" s="14"/>
      <c r="J4" s="14"/>
      <c r="K4" s="15">
        <f>SUM(K24,K26,K52)</f>
        <v>64759021.854644135</v>
      </c>
      <c r="L4" s="14"/>
      <c r="M4" s="19">
        <f>K4/$C$6</f>
        <v>2.2491059843940713</v>
      </c>
      <c r="N4" s="23"/>
    </row>
    <row r="5" spans="1:17" x14ac:dyDescent="0.25">
      <c r="A5" s="5"/>
      <c r="B5" s="5" t="s">
        <v>105</v>
      </c>
      <c r="C5" s="21">
        <v>0</v>
      </c>
      <c r="D5" s="22"/>
      <c r="E5" s="16"/>
      <c r="F5" s="16"/>
      <c r="G5" s="24">
        <f>SUM(D24,D26,D39,D52,D54:D54)</f>
        <v>0.99999699999999991</v>
      </c>
      <c r="H5" s="14"/>
      <c r="I5" s="14"/>
      <c r="J5" s="14"/>
      <c r="K5" s="14"/>
      <c r="L5" s="14"/>
      <c r="M5" s="14"/>
      <c r="N5" s="23"/>
    </row>
    <row r="6" spans="1:17" x14ac:dyDescent="0.25">
      <c r="A6" s="5"/>
      <c r="B6" s="5" t="s">
        <v>106</v>
      </c>
      <c r="C6" s="21">
        <f>C3+C4-C5</f>
        <v>28793228.199999999</v>
      </c>
      <c r="D6" s="22"/>
      <c r="E6" s="16"/>
      <c r="F6" s="16"/>
      <c r="G6" s="17"/>
      <c r="H6" s="14"/>
      <c r="I6" s="14"/>
      <c r="J6" s="14"/>
      <c r="K6" s="14"/>
      <c r="L6" s="14"/>
      <c r="M6" s="14"/>
      <c r="N6" s="23"/>
    </row>
    <row r="7" spans="1:17" x14ac:dyDescent="0.25">
      <c r="A7" s="25"/>
      <c r="B7" s="26"/>
      <c r="C7" s="26"/>
      <c r="D7" s="27"/>
      <c r="E7" s="28"/>
      <c r="F7" s="28"/>
      <c r="G7" s="28"/>
      <c r="H7" s="29"/>
      <c r="I7" s="29"/>
      <c r="J7" s="29"/>
      <c r="K7" s="14"/>
      <c r="L7" s="14"/>
      <c r="M7" s="14"/>
      <c r="N7" s="23"/>
    </row>
    <row r="8" spans="1:17" s="34" customFormat="1" ht="38.25" x14ac:dyDescent="0.2">
      <c r="A8" s="30" t="s">
        <v>107</v>
      </c>
      <c r="B8" s="30" t="s">
        <v>108</v>
      </c>
      <c r="C8" s="31" t="s">
        <v>1</v>
      </c>
      <c r="D8" s="31" t="s">
        <v>109</v>
      </c>
      <c r="E8" s="31" t="s">
        <v>110</v>
      </c>
      <c r="F8" s="31" t="s">
        <v>111</v>
      </c>
      <c r="G8" s="31" t="s">
        <v>112</v>
      </c>
      <c r="H8" s="31" t="s">
        <v>113</v>
      </c>
      <c r="I8" s="31" t="s">
        <v>114</v>
      </c>
      <c r="J8" s="31" t="s">
        <v>115</v>
      </c>
      <c r="K8" s="32" t="s">
        <v>116</v>
      </c>
      <c r="L8" s="32" t="s">
        <v>117</v>
      </c>
      <c r="M8" s="32" t="s">
        <v>118</v>
      </c>
      <c r="N8" s="33"/>
      <c r="Q8" s="35"/>
    </row>
    <row r="9" spans="1:17" s="45" customFormat="1" ht="12.75" customHeight="1" x14ac:dyDescent="0.25">
      <c r="A9" s="36" t="s">
        <v>119</v>
      </c>
      <c r="B9" s="36" t="s">
        <v>43</v>
      </c>
      <c r="C9" s="36" t="s">
        <v>44</v>
      </c>
      <c r="D9" s="37">
        <v>8.5559999999999994E-3</v>
      </c>
      <c r="E9" s="38">
        <f>'Dec 29'!$D9*$C$6*$C$2</f>
        <v>1290899.468911008</v>
      </c>
      <c r="F9" s="38">
        <v>351.800119331742</v>
      </c>
      <c r="G9" s="39">
        <f>'Dec 29'!$E9/'Dec 29'!$F9</f>
        <v>3669.411685712676</v>
      </c>
      <c r="H9" s="36">
        <v>3352</v>
      </c>
      <c r="I9" s="36">
        <f>ROUND(Table1389584567991011121314456267891011121314151617181920213456789101112131415161718192021222334567891011121314151617181920345678910111213141516171819[[#This Row],[Target Quantity]],0)</f>
        <v>3669</v>
      </c>
      <c r="J9" s="40">
        <f t="shared" ref="J9:J22" si="0">I9-H9</f>
        <v>317</v>
      </c>
      <c r="K9" s="41">
        <f>'Dec 29'!$F9*'Dec 29'!$I9</f>
        <v>1290754.6378281615</v>
      </c>
      <c r="L9" s="42">
        <f>'Dec 29'!$K9/$K$2</f>
        <v>8.573000705672856E-3</v>
      </c>
      <c r="M9" s="36"/>
      <c r="O9" s="44"/>
    </row>
    <row r="10" spans="1:17" s="45" customFormat="1" ht="12.75" customHeight="1" x14ac:dyDescent="0.25">
      <c r="A10" s="36" t="s">
        <v>119</v>
      </c>
      <c r="B10" s="36" t="s">
        <v>25</v>
      </c>
      <c r="C10" s="36" t="s">
        <v>26</v>
      </c>
      <c r="D10" s="37">
        <v>8.5559999999999994E-3</v>
      </c>
      <c r="E10" s="38">
        <f>'Dec 29'!$D10*$C$6*$C$2</f>
        <v>1290899.468911008</v>
      </c>
      <c r="F10" s="38">
        <v>264.10006400682698</v>
      </c>
      <c r="G10" s="39">
        <f>'Dec 29'!$E10/'Dec 29'!$F10</f>
        <v>4887.9180463872899</v>
      </c>
      <c r="H10" s="36">
        <v>4687</v>
      </c>
      <c r="I10" s="36">
        <f>ROUND(Table1389584567991011121314456267891011121314151617181920213456789101112131415161718192021222334567891011121314151617181920345678910111213141516171819[[#This Row],[Target Quantity]],0)</f>
        <v>4888</v>
      </c>
      <c r="J10" s="40">
        <f t="shared" si="0"/>
        <v>201</v>
      </c>
      <c r="K10" s="41">
        <f>'Dec 29'!$F10*'Dec 29'!$I10</f>
        <v>1290921.1128653702</v>
      </c>
      <c r="L10" s="42">
        <f>'Dec 29'!$K10/$K$2</f>
        <v>8.5741064081585501E-3</v>
      </c>
      <c r="M10" s="36"/>
      <c r="O10" s="44"/>
    </row>
    <row r="11" spans="1:17" s="45" customFormat="1" ht="12.75" customHeight="1" x14ac:dyDescent="0.25">
      <c r="A11" s="36" t="s">
        <v>119</v>
      </c>
      <c r="B11" s="36" t="s">
        <v>33</v>
      </c>
      <c r="C11" s="36" t="s">
        <v>34</v>
      </c>
      <c r="D11" s="37">
        <v>8.5559999999999994E-3</v>
      </c>
      <c r="E11" s="38">
        <f>'Dec 29'!$D11*$C$6*$C$2</f>
        <v>1290899.468911008</v>
      </c>
      <c r="F11" s="38">
        <v>38.819987642879198</v>
      </c>
      <c r="G11" s="39">
        <f>'Dec 29'!$E11/'Dec 29'!$F11</f>
        <v>33253.474493256297</v>
      </c>
      <c r="H11" s="36">
        <v>32370</v>
      </c>
      <c r="I11" s="36">
        <f>ROUND(Table1389584567991011121314456267891011121314151617181920213456789101112131415161718192021222334567891011121314151617181920345678910111213141516171819[[#This Row],[Target Quantity]],0)</f>
        <v>33253</v>
      </c>
      <c r="J11" s="40">
        <f t="shared" si="0"/>
        <v>883</v>
      </c>
      <c r="K11" s="41">
        <f>'Dec 29'!$F11*'Dec 29'!$I11</f>
        <v>1290881.049088662</v>
      </c>
      <c r="L11" s="42">
        <f>'Dec 29'!$K11/$K$2</f>
        <v>8.5738403105006956E-3</v>
      </c>
      <c r="M11" s="36"/>
      <c r="O11" s="44"/>
    </row>
    <row r="12" spans="1:17" s="45" customFormat="1" ht="12.75" customHeight="1" x14ac:dyDescent="0.25">
      <c r="A12" s="36" t="s">
        <v>119</v>
      </c>
      <c r="B12" s="36" t="s">
        <v>19</v>
      </c>
      <c r="C12" s="36" t="s">
        <v>20</v>
      </c>
      <c r="D12" s="37">
        <v>8.5559999999999994E-3</v>
      </c>
      <c r="E12" s="38">
        <f>'Dec 29'!$D12*$C$6*$C$2</f>
        <v>1290899.468911008</v>
      </c>
      <c r="F12" s="38">
        <v>520.86013400335003</v>
      </c>
      <c r="G12" s="39">
        <f>'Dec 29'!$E12/'Dec 29'!$F12</f>
        <v>2478.3994485988155</v>
      </c>
      <c r="H12" s="36">
        <v>2388</v>
      </c>
      <c r="I12" s="36">
        <f>ROUND(Table1389584567991011121314456267891011121314151617181920213456789101112131415161718192021222334567891011121314151617181920345678910111213141516171819[[#This Row],[Target Quantity]],0)</f>
        <v>2478</v>
      </c>
      <c r="J12" s="40">
        <f t="shared" si="0"/>
        <v>90</v>
      </c>
      <c r="K12" s="41">
        <f>'Dec 29'!$F12*'Dec 29'!$I12</f>
        <v>1290691.4120603013</v>
      </c>
      <c r="L12" s="42">
        <f>'Dec 29'!$K12/$K$2</f>
        <v>8.5725807695079207E-3</v>
      </c>
      <c r="M12" s="36"/>
      <c r="O12" s="92"/>
    </row>
    <row r="13" spans="1:17" s="45" customFormat="1" ht="12.75" customHeight="1" x14ac:dyDescent="0.25">
      <c r="A13" s="36" t="s">
        <v>119</v>
      </c>
      <c r="B13" s="36" t="s">
        <v>29</v>
      </c>
      <c r="C13" s="36" t="s">
        <v>30</v>
      </c>
      <c r="D13" s="37">
        <v>8.5559999999999994E-3</v>
      </c>
      <c r="E13" s="38">
        <f>'Dec 29'!$D13*$C$6*$C$2</f>
        <v>1290899.468911008</v>
      </c>
      <c r="F13" s="38">
        <v>20.3099951401264</v>
      </c>
      <c r="G13" s="39">
        <f>'Dec 29'!$E13/'Dec 29'!$F13</f>
        <v>63559.811807171805</v>
      </c>
      <c r="H13" s="36">
        <v>61730</v>
      </c>
      <c r="I13" s="36">
        <f>ROUND(Table1389584567991011121314456267891011121314151617181920213456789101112131415161718192021222334567891011121314151617181920345678910111213141516171819[[#This Row],[Target Quantity]],0)</f>
        <v>63560</v>
      </c>
      <c r="J13" s="40">
        <f t="shared" si="0"/>
        <v>1830</v>
      </c>
      <c r="K13" s="41">
        <f>'Dec 29'!$F13*'Dec 29'!$I13</f>
        <v>1290903.2911064341</v>
      </c>
      <c r="L13" s="42">
        <f>'Dec 29'!$K13/$K$2</f>
        <v>8.5739880386811462E-3</v>
      </c>
      <c r="M13" s="36"/>
      <c r="O13" s="44"/>
    </row>
    <row r="14" spans="1:17" s="45" customFormat="1" ht="12.75" customHeight="1" x14ac:dyDescent="0.25">
      <c r="A14" s="36" t="s">
        <v>119</v>
      </c>
      <c r="B14" s="36" t="s">
        <v>21</v>
      </c>
      <c r="C14" s="36" t="s">
        <v>22</v>
      </c>
      <c r="D14" s="37">
        <v>8.5559999999999994E-3</v>
      </c>
      <c r="E14" s="38">
        <f>'Dec 29'!$D14*$C$6*$C$2</f>
        <v>1290899.468911008</v>
      </c>
      <c r="F14" s="38">
        <v>37.760004807114498</v>
      </c>
      <c r="G14" s="39">
        <f>'Dec 29'!$E14/'Dec 29'!$F14</f>
        <v>34186.951921886008</v>
      </c>
      <c r="H14" s="36">
        <v>33284</v>
      </c>
      <c r="I14" s="36">
        <f>ROUND(Table1389584567991011121314456267891011121314151617181920213456789101112131415161718192021222334567891011121314151617181920345678910111213141516171819[[#This Row],[Target Quantity]],0)</f>
        <v>34187</v>
      </c>
      <c r="J14" s="40">
        <f t="shared" si="0"/>
        <v>903</v>
      </c>
      <c r="K14" s="41">
        <f>'Dec 29'!$F14*'Dec 29'!$I14</f>
        <v>1290901.2843408233</v>
      </c>
      <c r="L14" s="42">
        <f>'Dec 29'!$K14/$K$2</f>
        <v>8.5739747100418429E-3</v>
      </c>
      <c r="M14" s="36"/>
      <c r="O14" s="44"/>
    </row>
    <row r="15" spans="1:17" s="45" customFormat="1" ht="12.75" customHeight="1" x14ac:dyDescent="0.25">
      <c r="A15" s="36" t="s">
        <v>119</v>
      </c>
      <c r="B15" s="36" t="s">
        <v>37</v>
      </c>
      <c r="C15" s="36" t="s">
        <v>38</v>
      </c>
      <c r="D15" s="37">
        <v>8.5559999999999994E-3</v>
      </c>
      <c r="E15" s="38">
        <f>'Dec 29'!$D15*$C$6*$C$2</f>
        <v>1290899.468911008</v>
      </c>
      <c r="F15" s="38">
        <v>70.710011248593901</v>
      </c>
      <c r="G15" s="39">
        <f>'Dec 29'!$E15/'Dec 29'!$F15</f>
        <v>18256.247540006974</v>
      </c>
      <c r="H15" s="36">
        <v>17780</v>
      </c>
      <c r="I15" s="36">
        <f>ROUND(Table1389584567991011121314456267891011121314151617181920213456789101112131415161718192021222334567891011121314151617181920345678910111213141516171819[[#This Row],[Target Quantity]],0)</f>
        <v>18256</v>
      </c>
      <c r="J15" s="40">
        <f t="shared" si="0"/>
        <v>476</v>
      </c>
      <c r="K15" s="41">
        <f>'Dec 29'!$F15*'Dec 29'!$I15</f>
        <v>1290881.9653543301</v>
      </c>
      <c r="L15" s="42">
        <f>'Dec 29'!$K15/$K$2</f>
        <v>8.5738463962012536E-3</v>
      </c>
      <c r="M15" s="36"/>
      <c r="O15" s="44"/>
    </row>
    <row r="16" spans="1:17" s="45" customFormat="1" ht="12.75" customHeight="1" x14ac:dyDescent="0.25">
      <c r="A16" s="36" t="s">
        <v>119</v>
      </c>
      <c r="B16" s="36" t="s">
        <v>23</v>
      </c>
      <c r="C16" s="36" t="s">
        <v>24</v>
      </c>
      <c r="D16" s="37">
        <v>8.5559999999999994E-3</v>
      </c>
      <c r="E16" s="38">
        <f>'Dec 29'!$D16*$C$6*$C$2</f>
        <v>1290899.468911008</v>
      </c>
      <c r="F16" s="38">
        <v>267.50010672358599</v>
      </c>
      <c r="G16" s="39">
        <f>'Dec 29'!$E16/'Dec 29'!$F16</f>
        <v>4825.7904818143643</v>
      </c>
      <c r="H16" s="36">
        <v>4685</v>
      </c>
      <c r="I16" s="36">
        <f>ROUND(Table1389584567991011121314456267891011121314151617181920213456789101112131415161718192021222334567891011121314151617181920345678910111213141516171819[[#This Row],[Target Quantity]],0)</f>
        <v>4826</v>
      </c>
      <c r="J16" s="40">
        <f t="shared" si="0"/>
        <v>141</v>
      </c>
      <c r="K16" s="41">
        <f>'Dec 29'!$F16*'Dec 29'!$I16</f>
        <v>1290955.5150480259</v>
      </c>
      <c r="L16" s="42">
        <f>'Dec 29'!$K16/$K$2</f>
        <v>8.5743349023491115E-3</v>
      </c>
      <c r="M16" s="36"/>
      <c r="O16" s="44"/>
    </row>
    <row r="17" spans="1:15" s="45" customFormat="1" ht="12.75" customHeight="1" x14ac:dyDescent="0.25">
      <c r="A17" s="36" t="s">
        <v>119</v>
      </c>
      <c r="B17" s="36" t="s">
        <v>15</v>
      </c>
      <c r="C17" s="36" t="s">
        <v>16</v>
      </c>
      <c r="D17" s="37">
        <v>8.5559999999999994E-3</v>
      </c>
      <c r="E17" s="38">
        <f>'Dec 29'!$D17*$C$6*$C$2</f>
        <v>1290899.468911008</v>
      </c>
      <c r="F17" s="38">
        <v>150.429947668887</v>
      </c>
      <c r="G17" s="39">
        <f>'Dec 29'!$E17/'Dec 29'!$F17</f>
        <v>8581.3994415023062</v>
      </c>
      <c r="H17" s="36">
        <v>8408</v>
      </c>
      <c r="I17" s="36">
        <f>ROUND(Table1389584567991011121314456267891011121314151617181920213456789101112131415161718192021222334567891011121314151617181920345678910111213141516171819[[#This Row],[Target Quantity]],0)</f>
        <v>8581</v>
      </c>
      <c r="J17" s="40">
        <f t="shared" si="0"/>
        <v>173</v>
      </c>
      <c r="K17" s="41">
        <f>'Dec 29'!$F17*'Dec 29'!$I17</f>
        <v>1290839.3809467193</v>
      </c>
      <c r="L17" s="42">
        <f>'Dec 29'!$K17/$K$2</f>
        <v>8.5735635568871035E-3</v>
      </c>
      <c r="M17" s="36"/>
      <c r="O17" s="44"/>
    </row>
    <row r="18" spans="1:15" s="45" customFormat="1" ht="12.75" customHeight="1" x14ac:dyDescent="0.25">
      <c r="A18" s="36" t="s">
        <v>119</v>
      </c>
      <c r="B18" s="36" t="s">
        <v>27</v>
      </c>
      <c r="C18" s="36" t="s">
        <v>28</v>
      </c>
      <c r="D18" s="37">
        <v>8.5559999999999994E-3</v>
      </c>
      <c r="E18" s="38">
        <f>'Dec 29'!$D18*$C$6*$C$2</f>
        <v>1290899.468911008</v>
      </c>
      <c r="F18" s="38">
        <v>41.779998001798397</v>
      </c>
      <c r="G18" s="39">
        <f>'Dec 29'!$E18/'Dec 29'!$F18</f>
        <v>30897.547406666748</v>
      </c>
      <c r="H18" s="36">
        <v>30027</v>
      </c>
      <c r="I18" s="36">
        <f>ROUND(Table1389584567991011121314456267891011121314151617181920213456789101112131415161718192021222334567891011121314151617181920345678910111213141516171819[[#This Row],[Target Quantity]],0)</f>
        <v>30898</v>
      </c>
      <c r="J18" s="40">
        <f t="shared" si="0"/>
        <v>871</v>
      </c>
      <c r="K18" s="41">
        <f>'Dec 29'!$F18*'Dec 29'!$I18</f>
        <v>1290918.3782595668</v>
      </c>
      <c r="L18" s="42">
        <f>'Dec 29'!$K18/$K$2</f>
        <v>8.5740882453127273E-3</v>
      </c>
      <c r="M18" s="36"/>
      <c r="O18" s="91"/>
    </row>
    <row r="19" spans="1:15" s="45" customFormat="1" ht="12.75" customHeight="1" x14ac:dyDescent="0.25">
      <c r="A19" s="36" t="s">
        <v>119</v>
      </c>
      <c r="B19" s="36" t="s">
        <v>41</v>
      </c>
      <c r="C19" s="36" t="s">
        <v>42</v>
      </c>
      <c r="D19" s="37">
        <v>8.5559999999999994E-3</v>
      </c>
      <c r="E19" s="38">
        <f>'Dec 29'!$D19*$C$6*$C$2</f>
        <v>1290899.468911008</v>
      </c>
      <c r="F19" s="38">
        <v>36.730001997659897</v>
      </c>
      <c r="G19" s="39">
        <f>'Dec 29'!$E19/'Dec 29'!$F19</f>
        <v>35145.64112992023</v>
      </c>
      <c r="H19" s="36">
        <v>35041</v>
      </c>
      <c r="I19" s="36">
        <f>ROUND(Table1389584567991011121314456267891011121314151617181920213456789101112131415161718192021222334567891011121314151617181920345678910111213141516171819[[#This Row],[Target Quantity]],0)</f>
        <v>35146</v>
      </c>
      <c r="J19" s="40">
        <f t="shared" si="0"/>
        <v>105</v>
      </c>
      <c r="K19" s="41">
        <f>'Dec 29'!$F19*'Dec 29'!$I19</f>
        <v>1290912.6502097547</v>
      </c>
      <c r="L19" s="42">
        <f>'Dec 29'!$K19/$K$2</f>
        <v>8.5740502004561427E-3</v>
      </c>
      <c r="M19" s="36"/>
      <c r="O19" s="91"/>
    </row>
    <row r="20" spans="1:15" s="45" customFormat="1" ht="12.75" customHeight="1" x14ac:dyDescent="0.25">
      <c r="A20" s="36" t="s">
        <v>119</v>
      </c>
      <c r="B20" s="36" t="s">
        <v>35</v>
      </c>
      <c r="C20" s="36" t="s">
        <v>36</v>
      </c>
      <c r="D20" s="37">
        <v>8.5559999999999994E-3</v>
      </c>
      <c r="E20" s="38">
        <f>'Dec 29'!$D20*$C$6*$C$2</f>
        <v>1290899.468911008</v>
      </c>
      <c r="F20" s="38">
        <v>106.899970665884</v>
      </c>
      <c r="G20" s="39">
        <f>'Dec 29'!$E20/'Dec 29'!$F20</f>
        <v>12075.770094883525</v>
      </c>
      <c r="H20" s="36">
        <v>10227</v>
      </c>
      <c r="I20" s="36">
        <f>ROUND(Table1389584567991011121314456267891011121314151617181920213456789101112131415161718192021222334567891011121314151617181920345678910111213141516171819[[#This Row],[Target Quantity]],0)</f>
        <v>12076</v>
      </c>
      <c r="J20" s="40">
        <f t="shared" si="0"/>
        <v>1849</v>
      </c>
      <c r="K20" s="41">
        <f>'Dec 29'!$F20*'Dec 29'!$I20</f>
        <v>1290924.0457612153</v>
      </c>
      <c r="L20" s="42">
        <f>'Dec 29'!$K20/$K$2</f>
        <v>8.5741258880173959E-3</v>
      </c>
      <c r="M20" s="36"/>
      <c r="O20" s="91"/>
    </row>
    <row r="21" spans="1:15" s="45" customFormat="1" ht="12.75" customHeight="1" x14ac:dyDescent="0.25">
      <c r="A21" s="36" t="s">
        <v>119</v>
      </c>
      <c r="B21" s="36" t="s">
        <v>39</v>
      </c>
      <c r="C21" s="36" t="s">
        <v>40</v>
      </c>
      <c r="D21" s="37">
        <v>0.23957500000000001</v>
      </c>
      <c r="E21" s="38">
        <f>'Dec 29'!$D21*$C$6*$C$2</f>
        <v>36146241.265118606</v>
      </c>
      <c r="F21" s="38">
        <v>313.83999717870302</v>
      </c>
      <c r="G21" s="39">
        <f>'Dec 29'!$E21/'Dec 29'!$F21</f>
        <v>115174.10651943336</v>
      </c>
      <c r="H21" s="36">
        <v>113423</v>
      </c>
      <c r="I21" s="36">
        <f>ROUND(Table1389584567991011121314456267891011121314151617181920213456789101112131415161718192021222334567891011121314151617181920345678910111213141516171819[[#This Row],[Target Quantity]],0)</f>
        <v>115174</v>
      </c>
      <c r="J21" s="40">
        <f t="shared" si="0"/>
        <v>1751</v>
      </c>
      <c r="K21" s="41">
        <f>'Dec 29'!$F21*'Dec 29'!$I21</f>
        <v>36146207.835059941</v>
      </c>
      <c r="L21" s="42">
        <f>'Dec 29'!$K21/$K$2</f>
        <v>0.2400777469208065</v>
      </c>
      <c r="M21" s="36"/>
      <c r="O21" s="93"/>
    </row>
    <row r="22" spans="1:15" s="45" customFormat="1" ht="12.75" customHeight="1" x14ac:dyDescent="0.25">
      <c r="A22" s="36" t="s">
        <v>119</v>
      </c>
      <c r="B22" s="45" t="s">
        <v>11</v>
      </c>
      <c r="C22" s="36" t="s">
        <v>12</v>
      </c>
      <c r="D22" s="37">
        <v>2.775E-2</v>
      </c>
      <c r="E22" s="38">
        <f>'Dec 29'!$D22*$C$6*$C$2</f>
        <v>4186823.312562</v>
      </c>
      <c r="F22" s="38">
        <v>2.5085754740211801</v>
      </c>
      <c r="G22" s="39">
        <f>'Dec 29'!$E22/'Dec 29'!$F22</f>
        <v>1669004.3237370225</v>
      </c>
      <c r="H22" s="36">
        <v>1624400</v>
      </c>
      <c r="I22" s="36">
        <f>ROUND(Table1389584567991011121314456267891011121314151617181920213456789101112131415161718192021222334567891011121314151617181920345678910111213141516171819[[#This Row],[Target Quantity]],-2)</f>
        <v>1669000</v>
      </c>
      <c r="J22" s="40">
        <f t="shared" si="0"/>
        <v>44600</v>
      </c>
      <c r="K22" s="41">
        <f>'Dec 29'!$F22*'Dec 29'!$I22</f>
        <v>4186812.4661413496</v>
      </c>
      <c r="L22" s="42">
        <f>'Dec 29'!$K22/$K$2</f>
        <v>2.7808186912382196E-2</v>
      </c>
      <c r="M22" s="36"/>
    </row>
    <row r="23" spans="1:15" s="45" customFormat="1" ht="12.75" customHeight="1" x14ac:dyDescent="0.25">
      <c r="A23" s="36"/>
      <c r="B23" s="36"/>
      <c r="C23" s="36"/>
      <c r="D23" s="37"/>
      <c r="E23" s="38"/>
      <c r="F23" s="38"/>
      <c r="G23" s="39"/>
      <c r="H23" s="36"/>
      <c r="I23" s="36"/>
      <c r="J23" s="46"/>
      <c r="K23" s="38"/>
      <c r="L23" s="47"/>
      <c r="M23" s="36"/>
      <c r="O23" s="91"/>
    </row>
    <row r="24" spans="1:15" s="54" customFormat="1" ht="12.75" customHeight="1" x14ac:dyDescent="0.25">
      <c r="A24" s="48" t="s">
        <v>136</v>
      </c>
      <c r="B24" s="48"/>
      <c r="C24" s="48"/>
      <c r="D24" s="49">
        <f>SUM(D9:D23)</f>
        <v>0.36999699999999996</v>
      </c>
      <c r="E24" s="50">
        <f>'Dec 29'!$D24*$C$6*$C$2</f>
        <v>55823858.204612695</v>
      </c>
      <c r="F24" s="51"/>
      <c r="G24" s="51"/>
      <c r="H24" s="48"/>
      <c r="I24" s="48"/>
      <c r="J24" s="52"/>
      <c r="K24" s="50">
        <f>SUM(K9:K23)</f>
        <v>55823505.024070658</v>
      </c>
      <c r="L24" s="53">
        <f>'Dec 29'!$K24/$K$2</f>
        <v>0.37077143396497547</v>
      </c>
      <c r="M24" s="48"/>
      <c r="O24" s="90"/>
    </row>
    <row r="25" spans="1:15" s="45" customFormat="1" ht="12.75" customHeight="1" x14ac:dyDescent="0.25">
      <c r="A25" s="36"/>
      <c r="B25" s="36"/>
      <c r="C25" s="36"/>
      <c r="D25" s="37"/>
      <c r="E25" s="38"/>
      <c r="F25" s="38"/>
      <c r="G25" s="39"/>
      <c r="H25" s="36"/>
      <c r="I25" s="36"/>
      <c r="J25" s="46"/>
      <c r="K25" s="38"/>
      <c r="L25" s="42"/>
      <c r="M25" s="36"/>
      <c r="O25" s="89"/>
    </row>
    <row r="26" spans="1:15" s="44" customFormat="1" ht="12.75" customHeight="1" x14ac:dyDescent="0.25">
      <c r="A26" s="55"/>
      <c r="B26" s="48" t="s">
        <v>31</v>
      </c>
      <c r="C26" s="55" t="s">
        <v>32</v>
      </c>
      <c r="D26" s="56">
        <v>0.04</v>
      </c>
      <c r="E26" s="57">
        <f>'Dec 29'!$D26*$C$6*$C$2</f>
        <v>6035060.6307200007</v>
      </c>
      <c r="F26" s="51">
        <v>17.8999996952139</v>
      </c>
      <c r="G26" s="58">
        <f>'Dec 29'!$E26/'Dec 29'!$F26</f>
        <v>337154.23092066613</v>
      </c>
      <c r="H26" s="55">
        <v>328099</v>
      </c>
      <c r="I26" s="55">
        <f>ROUND(Table1389584567991011121314456267891011121314151617181920213456789101112131415161718192021222334567891011121314151617181920345678910111213141516171819[[#This Row],[Target Quantity]],0)</f>
        <v>337154</v>
      </c>
      <c r="J26" s="59">
        <f>I26-H26</f>
        <v>9055</v>
      </c>
      <c r="K26" s="60">
        <f>'Dec 29'!$F26*'Dec 29'!$I26</f>
        <v>6035056.4972401476</v>
      </c>
      <c r="L26" s="53">
        <f>'Dec 29'!$K26/$K$2</f>
        <v>4.0083949414794443E-2</v>
      </c>
      <c r="M26" s="48"/>
      <c r="O26" s="61"/>
    </row>
    <row r="27" spans="1:15" s="44" customFormat="1" ht="12.75" customHeight="1" x14ac:dyDescent="0.25">
      <c r="A27" s="36"/>
      <c r="B27" s="36"/>
      <c r="C27" s="36"/>
      <c r="D27" s="37"/>
      <c r="E27" s="38"/>
      <c r="F27" s="38"/>
      <c r="G27" s="39"/>
      <c r="H27" s="36"/>
      <c r="I27" s="36"/>
      <c r="J27" s="46"/>
      <c r="K27" s="41"/>
      <c r="L27" s="42"/>
      <c r="M27" s="36"/>
      <c r="O27" s="61"/>
    </row>
    <row r="28" spans="1:15" s="4" customFormat="1" ht="25.5" x14ac:dyDescent="0.2">
      <c r="A28" s="36" t="s">
        <v>137</v>
      </c>
      <c r="B28" s="62" t="s">
        <v>75</v>
      </c>
      <c r="C28" s="63" t="s">
        <v>76</v>
      </c>
      <c r="D28" s="37">
        <v>5.7950000000000002E-2</v>
      </c>
      <c r="E28" s="38">
        <f>'Dec 29'!$D28*$C$6*$C$2</f>
        <v>8743294.0887556002</v>
      </c>
      <c r="F28" s="38">
        <v>155884.636363636</v>
      </c>
      <c r="G28" s="39">
        <f>'Dec 29'!$E28/'Dec 29'!$F28</f>
        <v>56.08823481718813</v>
      </c>
      <c r="H28" s="36">
        <v>55</v>
      </c>
      <c r="I28" s="36">
        <f>ROUND(Table1389584567991011121314456267891011121314151617181920213456789101112131415161718192021222334567891011121314151617181920345678910111213141516171819[[#This Row],[Target Quantity]],0)</f>
        <v>56</v>
      </c>
      <c r="J28" s="40">
        <f t="shared" ref="J28:J37" si="1">I28-H28</f>
        <v>1</v>
      </c>
      <c r="K28" s="41">
        <f>'Dec 29'!$F28*'Dec 29'!$I28</f>
        <v>8729539.6363636162</v>
      </c>
      <c r="L28" s="42">
        <f>'Dec 29'!$K28/$K$2</f>
        <v>5.798030645752187E-2</v>
      </c>
      <c r="M28" s="64"/>
    </row>
    <row r="29" spans="1:15" s="4" customFormat="1" ht="25.5" x14ac:dyDescent="0.2">
      <c r="A29" s="36" t="s">
        <v>137</v>
      </c>
      <c r="B29" s="62" t="s">
        <v>80</v>
      </c>
      <c r="C29" s="63" t="s">
        <v>81</v>
      </c>
      <c r="D29" s="37">
        <v>5.7950000000000002E-2</v>
      </c>
      <c r="E29" s="38">
        <f>'Dec 29'!$D29*$C$6*$C$2</f>
        <v>8743294.0887556002</v>
      </c>
      <c r="F29" s="38">
        <v>211988.8</v>
      </c>
      <c r="G29" s="39">
        <f>'Dec 29'!$E29/'Dec 29'!$F29</f>
        <v>41.244132184132376</v>
      </c>
      <c r="H29" s="36">
        <v>40</v>
      </c>
      <c r="I29" s="36">
        <f>ROUND(Table1389584567991011121314456267891011121314151617181920213456789101112131415161718192021222334567891011121314151617181920345678910111213141516171819[[#This Row],[Target Quantity]],0)</f>
        <v>41</v>
      </c>
      <c r="J29" s="40">
        <f t="shared" si="1"/>
        <v>1</v>
      </c>
      <c r="K29" s="41">
        <f>'Dec 29'!$F29*'Dec 29'!$I29</f>
        <v>8691540.7999999989</v>
      </c>
      <c r="L29" s="42">
        <f>'Dec 29'!$K29/$K$2</f>
        <v>5.7727923826917361E-2</v>
      </c>
      <c r="M29" s="64"/>
    </row>
    <row r="30" spans="1:15" s="4" customFormat="1" ht="25.5" x14ac:dyDescent="0.2">
      <c r="A30" s="36" t="s">
        <v>137</v>
      </c>
      <c r="B30" s="62" t="s">
        <v>82</v>
      </c>
      <c r="C30" s="63" t="s">
        <v>83</v>
      </c>
      <c r="D30" s="37">
        <v>5.7950000000000002E-2</v>
      </c>
      <c r="E30" s="38">
        <f>'Dec 29'!$D30*$C$6*$C$2</f>
        <v>8743294.0887556002</v>
      </c>
      <c r="F30" s="38">
        <v>172418.22</v>
      </c>
      <c r="G30" s="39">
        <f>'Dec 29'!$E30/'Dec 29'!$F30</f>
        <v>50.709803689862937</v>
      </c>
      <c r="H30" s="36">
        <v>50</v>
      </c>
      <c r="I30" s="36">
        <f>ROUND(Table1389584567991011121314456267891011121314151617181920213456789101112131415161718192021222334567891011121314151617181920345678910111213141516171819[[#This Row],[Target Quantity]],0)</f>
        <v>51</v>
      </c>
      <c r="J30" s="40">
        <f t="shared" si="1"/>
        <v>1</v>
      </c>
      <c r="K30" s="41">
        <f>'Dec 29'!$F30*'Dec 29'!$I30</f>
        <v>8793329.2200000007</v>
      </c>
      <c r="L30" s="42">
        <f>'Dec 29'!$K30/$K$2</f>
        <v>5.8403987403150288E-2</v>
      </c>
      <c r="M30" s="64"/>
    </row>
    <row r="31" spans="1:15" s="4" customFormat="1" ht="25.5" x14ac:dyDescent="0.2">
      <c r="A31" s="36" t="s">
        <v>137</v>
      </c>
      <c r="B31" s="62" t="s">
        <v>84</v>
      </c>
      <c r="C31" s="63" t="s">
        <v>85</v>
      </c>
      <c r="D31" s="37">
        <v>5.7950000000000002E-2</v>
      </c>
      <c r="E31" s="38">
        <f>'Dec 29'!$D31*$C$6*$C$2</f>
        <v>8743294.0887556002</v>
      </c>
      <c r="F31" s="38">
        <v>126059.44117647099</v>
      </c>
      <c r="G31" s="39">
        <f>'Dec 29'!$E31/'Dec 29'!$F31</f>
        <v>69.358502680619026</v>
      </c>
      <c r="H31" s="36">
        <v>68</v>
      </c>
      <c r="I31" s="36">
        <f>ROUND(Table1389584567991011121314456267891011121314151617181920213456789101112131415161718192021222334567891011121314151617181920345678910111213141516171819[[#This Row],[Target Quantity]],0)</f>
        <v>69</v>
      </c>
      <c r="J31" s="40">
        <f t="shared" si="1"/>
        <v>1</v>
      </c>
      <c r="K31" s="41">
        <f>'Dec 29'!$F31*'Dec 29'!$I31</f>
        <v>8698101.4411764983</v>
      </c>
      <c r="L31" s="42">
        <f>'Dec 29'!$K31/$K$2</f>
        <v>5.7771498631754348E-2</v>
      </c>
      <c r="M31" s="64"/>
    </row>
    <row r="32" spans="1:15" s="4" customFormat="1" ht="25.5" x14ac:dyDescent="0.2">
      <c r="A32" s="36" t="s">
        <v>137</v>
      </c>
      <c r="B32" s="62" t="s">
        <v>86</v>
      </c>
      <c r="C32" s="63" t="s">
        <v>87</v>
      </c>
      <c r="D32" s="37">
        <v>5.7950000000000002E-2</v>
      </c>
      <c r="E32" s="38">
        <f>'Dec 29'!$D32*$C$6*$C$2</f>
        <v>8743294.0887556002</v>
      </c>
      <c r="F32" s="38">
        <v>137859.370967742</v>
      </c>
      <c r="G32" s="39">
        <f>'Dec 29'!$E32/'Dec 29'!$F32</f>
        <v>63.421833622042726</v>
      </c>
      <c r="H32" s="36">
        <v>62</v>
      </c>
      <c r="I32" s="36">
        <f>ROUND(Table1389584567991011121314456267891011121314151617181920213456789101112131415161718192021222334567891011121314151617181920345678910111213141516171819[[#This Row],[Target Quantity]],0)</f>
        <v>63</v>
      </c>
      <c r="J32" s="40">
        <f t="shared" si="1"/>
        <v>1</v>
      </c>
      <c r="K32" s="41">
        <f>'Dec 29'!$F32*'Dec 29'!$I32</f>
        <v>8685140.3709677458</v>
      </c>
      <c r="L32" s="42">
        <f>'Dec 29'!$K32/$K$2</f>
        <v>5.7685413127360675E-2</v>
      </c>
      <c r="M32" s="64"/>
    </row>
    <row r="33" spans="1:16" s="4" customFormat="1" ht="25.5" x14ac:dyDescent="0.2">
      <c r="A33" s="36" t="s">
        <v>137</v>
      </c>
      <c r="B33" s="62" t="s">
        <v>92</v>
      </c>
      <c r="C33" s="63" t="s">
        <v>93</v>
      </c>
      <c r="D33" s="37">
        <v>5.7950000000000002E-2</v>
      </c>
      <c r="E33" s="38">
        <f>'Dec 29'!$D33*$C$6*$C$2</f>
        <v>8743294.0887556002</v>
      </c>
      <c r="F33" s="38">
        <v>220950</v>
      </c>
      <c r="G33" s="39">
        <f>'Dec 29'!$E33/'Dec 29'!$F33</f>
        <v>39.571369489728902</v>
      </c>
      <c r="H33" s="36">
        <v>39</v>
      </c>
      <c r="I33" s="36">
        <f>ROUND(Table1389584567991011121314456267891011121314151617181920213456789101112131415161718192021222334567891011121314151617181920345678910111213141516171819[[#This Row],[Target Quantity]],0)</f>
        <v>40</v>
      </c>
      <c r="J33" s="40">
        <f t="shared" si="1"/>
        <v>1</v>
      </c>
      <c r="K33" s="41">
        <f>'Dec 29'!$F33*'Dec 29'!$I33</f>
        <v>8838000</v>
      </c>
      <c r="L33" s="42">
        <f>'Dec 29'!$K33/$K$2</f>
        <v>5.8700684093008652E-2</v>
      </c>
      <c r="M33" s="64"/>
    </row>
    <row r="34" spans="1:16" s="44" customFormat="1" ht="25.5" customHeight="1" x14ac:dyDescent="0.2">
      <c r="A34" s="36" t="s">
        <v>138</v>
      </c>
      <c r="B34" s="36" t="s">
        <v>54</v>
      </c>
      <c r="C34" s="36" t="s">
        <v>55</v>
      </c>
      <c r="D34" s="37">
        <v>5.7950000000000002E-2</v>
      </c>
      <c r="E34" s="38">
        <f>'Dec 29'!$D34*$C$6*$C$2</f>
        <v>8743294.0887556002</v>
      </c>
      <c r="F34" s="38">
        <v>115975.863013699</v>
      </c>
      <c r="G34" s="39">
        <f>'Dec 29'!$E34/'Dec 29'!$F34</f>
        <v>75.388911636922657</v>
      </c>
      <c r="H34" s="36">
        <v>73</v>
      </c>
      <c r="I34" s="36">
        <f>ROUND(Table1389584567991011121314456267891011121314151617181920213456789101112131415161718192021222334567891011121314151617181920345678910111213141516171819[[#This Row],[Target Quantity]],0)</f>
        <v>75</v>
      </c>
      <c r="J34" s="40">
        <f t="shared" si="1"/>
        <v>2</v>
      </c>
      <c r="K34" s="41">
        <f>'Dec 29'!$F34*'Dec 29'!$I34</f>
        <v>8698189.7260274254</v>
      </c>
      <c r="L34" s="42">
        <f>'Dec 29'!$K34/$K$2</f>
        <v>5.777208500662926E-2</v>
      </c>
      <c r="M34" s="43"/>
      <c r="O34" s="4"/>
    </row>
    <row r="35" spans="1:16" s="44" customFormat="1" ht="25.5" x14ac:dyDescent="0.2">
      <c r="A35" s="36" t="s">
        <v>138</v>
      </c>
      <c r="B35" s="36" t="s">
        <v>52</v>
      </c>
      <c r="C35" s="36" t="s">
        <v>53</v>
      </c>
      <c r="D35" s="37">
        <v>5.7950000000000002E-2</v>
      </c>
      <c r="E35" s="38">
        <f>'Dec 29'!$D35*$C$6*$C$2</f>
        <v>8743294.0887556002</v>
      </c>
      <c r="F35" s="38">
        <v>138695.564516129</v>
      </c>
      <c r="G35" s="39">
        <f>'Dec 29'!$E35/'Dec 29'!$F35</f>
        <v>63.03946430629248</v>
      </c>
      <c r="H35" s="36">
        <v>62</v>
      </c>
      <c r="I35" s="36">
        <f>ROUND(Table1389584567991011121314456267891011121314151617181920213456789101112131415161718192021222334567891011121314151617181920345678910111213141516171819[[#This Row],[Target Quantity]],0)</f>
        <v>63</v>
      </c>
      <c r="J35" s="40">
        <f t="shared" si="1"/>
        <v>1</v>
      </c>
      <c r="K35" s="41">
        <f>'Dec 29'!$F35*'Dec 29'!$I35</f>
        <v>8737820.5645161271</v>
      </c>
      <c r="L35" s="42">
        <f>'Dec 29'!$K35/$K$2</f>
        <v>5.8035307153095239E-2</v>
      </c>
      <c r="M35" s="43"/>
      <c r="O35" s="4"/>
    </row>
    <row r="36" spans="1:16" s="44" customFormat="1" ht="24.95" customHeight="1" x14ac:dyDescent="0.2">
      <c r="A36" s="36" t="s">
        <v>138</v>
      </c>
      <c r="B36" s="36" t="s">
        <v>48</v>
      </c>
      <c r="C36" s="36" t="s">
        <v>49</v>
      </c>
      <c r="D36" s="37">
        <v>5.7950000000000002E-2</v>
      </c>
      <c r="E36" s="38">
        <f>'Dec 29'!$D36*$C$6*$C$2</f>
        <v>8743294.0887556002</v>
      </c>
      <c r="F36" s="38">
        <v>186211.32608695701</v>
      </c>
      <c r="G36" s="39">
        <f>'Dec 29'!$E36/'Dec 29'!$F36</f>
        <v>46.953610569706456</v>
      </c>
      <c r="H36" s="36">
        <v>46</v>
      </c>
      <c r="I36" s="36">
        <f>ROUND(Table1389584567991011121314456267891011121314151617181920213456789101112131415161718192021222334567891011121314151617181920345678910111213141516171819[[#This Row],[Target Quantity]],0)</f>
        <v>47</v>
      </c>
      <c r="J36" s="40">
        <f t="shared" si="1"/>
        <v>1</v>
      </c>
      <c r="K36" s="41">
        <f>'Dec 29'!$F36*'Dec 29'!$I36</f>
        <v>8751932.3260869794</v>
      </c>
      <c r="L36" s="42">
        <f>'Dec 29'!$K36/$K$2</f>
        <v>5.8129035378708102E-2</v>
      </c>
      <c r="M36" s="43"/>
      <c r="O36" s="4"/>
    </row>
    <row r="37" spans="1:16" s="44" customFormat="1" ht="24.95" customHeight="1" x14ac:dyDescent="0.2">
      <c r="A37" s="36" t="s">
        <v>138</v>
      </c>
      <c r="B37" s="36" t="s">
        <v>58</v>
      </c>
      <c r="C37" s="36" t="s">
        <v>59</v>
      </c>
      <c r="D37" s="37">
        <v>4.845E-2</v>
      </c>
      <c r="E37" s="38">
        <f>'Dec 29'!$D37*$C$6*$C$2</f>
        <v>7309967.1889596004</v>
      </c>
      <c r="F37" s="38">
        <v>276069.61538461503</v>
      </c>
      <c r="G37" s="39">
        <f>'Dec 29'!$E37/'Dec 29'!$F37</f>
        <v>26.478709650011613</v>
      </c>
      <c r="H37" s="36">
        <v>26</v>
      </c>
      <c r="I37" s="36">
        <f>ROUND(Table1389584567991011121314456267891011121314151617181920213456789101112131415161718192021222334567891011121314151617181920345678910111213141516171819[[#This Row],[Target Quantity]],0)</f>
        <v>26</v>
      </c>
      <c r="J37" s="40">
        <f t="shared" si="1"/>
        <v>0</v>
      </c>
      <c r="K37" s="41">
        <f>'Dec 29'!$F37*'Dec 29'!$I37</f>
        <v>7177809.9999999907</v>
      </c>
      <c r="L37" s="42">
        <f>'Dec 29'!$K37/$K$2</f>
        <v>4.7673948550536083E-2</v>
      </c>
      <c r="M37" s="43"/>
      <c r="O37" s="4"/>
    </row>
    <row r="38" spans="1:16" s="66" customFormat="1" ht="12.75" x14ac:dyDescent="0.2">
      <c r="A38" s="36"/>
      <c r="B38" s="63"/>
      <c r="C38" s="63"/>
      <c r="D38" s="37"/>
      <c r="E38" s="65"/>
      <c r="F38" s="38"/>
      <c r="G38" s="39"/>
      <c r="H38" s="36"/>
      <c r="I38" s="36"/>
      <c r="J38" s="46"/>
      <c r="K38" s="38"/>
      <c r="L38" s="47"/>
      <c r="M38" s="64"/>
    </row>
    <row r="39" spans="1:16" s="17" customFormat="1" ht="12.75" x14ac:dyDescent="0.2">
      <c r="A39" s="48" t="s">
        <v>142</v>
      </c>
      <c r="B39" s="67"/>
      <c r="C39" s="67"/>
      <c r="D39" s="56">
        <f>SUBTOTAL(9,D28:D38)</f>
        <v>0.56999999999999995</v>
      </c>
      <c r="E39" s="68">
        <f>'Dec 29'!$D39*$C$6*$C$2</f>
        <v>85999613.987759992</v>
      </c>
      <c r="F39" s="69"/>
      <c r="G39" s="70"/>
      <c r="H39" s="55"/>
      <c r="I39" s="55"/>
      <c r="J39" s="59"/>
      <c r="K39" s="68">
        <f>SUM(K28:K38)</f>
        <v>85801404.085138381</v>
      </c>
      <c r="L39" s="71">
        <f>'Dec 29'!$K39/$K$2</f>
        <v>0.56988018962868192</v>
      </c>
      <c r="M39" s="72"/>
    </row>
    <row r="40" spans="1:16" s="44" customFormat="1" ht="12.75" x14ac:dyDescent="0.25">
      <c r="A40" s="36"/>
      <c r="B40" s="36"/>
      <c r="C40" s="36"/>
      <c r="D40" s="37"/>
      <c r="E40" s="38"/>
      <c r="F40" s="38"/>
      <c r="G40" s="74"/>
      <c r="H40" s="36"/>
      <c r="I40" s="36"/>
      <c r="J40" s="40"/>
      <c r="K40" s="41"/>
      <c r="L40" s="42"/>
      <c r="M40" s="43"/>
    </row>
    <row r="41" spans="1:16" s="44" customFormat="1" ht="25.5" x14ac:dyDescent="0.25">
      <c r="A41" s="36" t="s">
        <v>154</v>
      </c>
      <c r="B41" s="36" t="s">
        <v>45</v>
      </c>
      <c r="C41" s="36" t="s">
        <v>46</v>
      </c>
      <c r="D41" s="37">
        <v>2E-3</v>
      </c>
      <c r="E41" s="38">
        <f>'Dec 29'!$D41*$C$6*$C$2</f>
        <v>301753.03153600002</v>
      </c>
      <c r="F41" s="38">
        <v>50152</v>
      </c>
      <c r="G41" s="74">
        <f>'Dec 29'!$E41/'Dec 29'!$F41</f>
        <v>6.0167696509810185</v>
      </c>
      <c r="H41" s="36">
        <v>6</v>
      </c>
      <c r="I41" s="36">
        <v>6</v>
      </c>
      <c r="J41" s="40">
        <f t="shared" ref="J41:J50" si="2">I41-H41</f>
        <v>0</v>
      </c>
      <c r="K41" s="41">
        <f>'Dec 29'!$F41*'Dec 29'!$I41</f>
        <v>300912</v>
      </c>
      <c r="L41" s="42">
        <f>'Dec 29'!$K41/$K$2</f>
        <v>1.9986128368177664E-3</v>
      </c>
      <c r="M41" s="43"/>
    </row>
    <row r="42" spans="1:16" s="44" customFormat="1" ht="25.5" x14ac:dyDescent="0.25">
      <c r="A42" s="36" t="s">
        <v>154</v>
      </c>
      <c r="B42" s="36" t="s">
        <v>60</v>
      </c>
      <c r="C42" s="36" t="s">
        <v>61</v>
      </c>
      <c r="D42" s="37">
        <v>2E-3</v>
      </c>
      <c r="E42" s="38">
        <f>'Dec 29'!$D42*$C$6*$C$2</f>
        <v>301753.03153600002</v>
      </c>
      <c r="F42" s="38">
        <v>89200.666666666701</v>
      </c>
      <c r="G42" s="74">
        <f>'Dec 29'!$E42/'Dec 29'!$F42</f>
        <v>3.3828562365303689</v>
      </c>
      <c r="H42" s="36">
        <v>3</v>
      </c>
      <c r="I42" s="36">
        <v>3</v>
      </c>
      <c r="J42" s="40">
        <f t="shared" si="2"/>
        <v>0</v>
      </c>
      <c r="K42" s="41">
        <f>'Dec 29'!$F42*'Dec 29'!$I42</f>
        <v>267602.00000000012</v>
      </c>
      <c r="L42" s="42">
        <f>'Dec 29'!$K42/$K$2</f>
        <v>1.7773727613325763E-3</v>
      </c>
      <c r="M42" s="43"/>
      <c r="P42" s="44" t="s">
        <v>157</v>
      </c>
    </row>
    <row r="43" spans="1:16" s="44" customFormat="1" ht="25.5" x14ac:dyDescent="0.25">
      <c r="A43" s="36" t="s">
        <v>154</v>
      </c>
      <c r="B43" s="36" t="s">
        <v>68</v>
      </c>
      <c r="C43" s="36" t="s">
        <v>69</v>
      </c>
      <c r="D43" s="37">
        <v>2E-3</v>
      </c>
      <c r="E43" s="38">
        <f>'Dec 29'!$D43*$C$6*$C$2</f>
        <v>301753.03153600002</v>
      </c>
      <c r="F43" s="38">
        <v>102405.33333333299</v>
      </c>
      <c r="G43" s="74">
        <f>'Dec 29'!$E43/'Dec 29'!$F43</f>
        <v>2.9466534770584967</v>
      </c>
      <c r="H43" s="36">
        <v>3</v>
      </c>
      <c r="I43" s="36">
        <v>3</v>
      </c>
      <c r="J43" s="40">
        <f t="shared" si="2"/>
        <v>0</v>
      </c>
      <c r="K43" s="41">
        <f>'Dec 29'!$F43*'Dec 29'!$I43</f>
        <v>307215.99999999895</v>
      </c>
      <c r="L43" s="42">
        <f>'Dec 29'!$K43/$K$2</f>
        <v>2.0404830690560856E-3</v>
      </c>
      <c r="M43" s="43"/>
    </row>
    <row r="44" spans="1:16" s="44" customFormat="1" ht="25.5" x14ac:dyDescent="0.25">
      <c r="A44" s="36" t="s">
        <v>154</v>
      </c>
      <c r="B44" s="36" t="s">
        <v>70</v>
      </c>
      <c r="C44" s="36" t="s">
        <v>71</v>
      </c>
      <c r="D44" s="37">
        <v>2E-3</v>
      </c>
      <c r="E44" s="38">
        <f>'Dec 29'!$D44*$C$6*$C$2</f>
        <v>301753.03153600002</v>
      </c>
      <c r="F44" s="38">
        <v>236186</v>
      </c>
      <c r="G44" s="74">
        <f>'Dec 29'!$E44/'Dec 29'!$F44</f>
        <v>1.2776076123732991</v>
      </c>
      <c r="H44" s="36">
        <v>1</v>
      </c>
      <c r="I44" s="36">
        <v>1</v>
      </c>
      <c r="J44" s="40">
        <f t="shared" si="2"/>
        <v>0</v>
      </c>
      <c r="K44" s="41">
        <f>'Dec 29'!$F44*'Dec 29'!$I44</f>
        <v>236186</v>
      </c>
      <c r="L44" s="42">
        <f>'Dec 29'!$K44/$K$2</f>
        <v>1.5687123527032521E-3</v>
      </c>
      <c r="M44" s="43"/>
    </row>
    <row r="45" spans="1:16" s="44" customFormat="1" ht="25.5" x14ac:dyDescent="0.25">
      <c r="A45" s="36" t="s">
        <v>154</v>
      </c>
      <c r="B45" s="36" t="s">
        <v>72</v>
      </c>
      <c r="C45" s="36" t="s">
        <v>73</v>
      </c>
      <c r="D45" s="37">
        <v>2E-3</v>
      </c>
      <c r="E45" s="38">
        <f>'Dec 29'!$D45*$C$6*$C$2</f>
        <v>301753.03153600002</v>
      </c>
      <c r="F45" s="38">
        <v>16080.333333333299</v>
      </c>
      <c r="G45" s="74">
        <f>'Dec 29'!$E45/'Dec 29'!$F45</f>
        <v>18.765346792313633</v>
      </c>
      <c r="H45" s="36">
        <v>18</v>
      </c>
      <c r="I45" s="36">
        <v>19</v>
      </c>
      <c r="J45" s="40">
        <f t="shared" si="2"/>
        <v>1</v>
      </c>
      <c r="K45" s="41">
        <f>'Dec 29'!$F45*'Dec 29'!$I45</f>
        <v>305526.33333333267</v>
      </c>
      <c r="L45" s="42">
        <f>'Dec 29'!$K45/$K$2</f>
        <v>2.0292605538691131E-3</v>
      </c>
      <c r="M45" s="43"/>
    </row>
    <row r="46" spans="1:16" s="4" customFormat="1" ht="25.5" x14ac:dyDescent="0.2">
      <c r="A46" s="36" t="s">
        <v>154</v>
      </c>
      <c r="B46" s="63" t="s">
        <v>90</v>
      </c>
      <c r="C46" s="63" t="s">
        <v>91</v>
      </c>
      <c r="D46" s="37">
        <v>2E-3</v>
      </c>
      <c r="E46" s="38">
        <f>'Dec 29'!$D46*$C$6*$C$2</f>
        <v>301753.03153600002</v>
      </c>
      <c r="F46" s="38">
        <v>69402.5</v>
      </c>
      <c r="G46" s="74">
        <f>'Dec 29'!$E46/'Dec 29'!$F46</f>
        <v>4.3478697674579445</v>
      </c>
      <c r="H46" s="36">
        <v>4</v>
      </c>
      <c r="I46" s="36">
        <v>4</v>
      </c>
      <c r="J46" s="40">
        <f t="shared" si="2"/>
        <v>0</v>
      </c>
      <c r="K46" s="41">
        <f>'Dec 29'!$F46*'Dec 29'!$I46</f>
        <v>277610</v>
      </c>
      <c r="L46" s="42">
        <f>'Dec 29'!$K46/$K$2</f>
        <v>1.8438444117515424E-3</v>
      </c>
      <c r="M46" s="64"/>
    </row>
    <row r="47" spans="1:16" s="44" customFormat="1" ht="25.5" x14ac:dyDescent="0.25">
      <c r="A47" s="36" t="s">
        <v>154</v>
      </c>
      <c r="B47" s="36" t="s">
        <v>66</v>
      </c>
      <c r="C47" s="36" t="s">
        <v>67</v>
      </c>
      <c r="D47" s="37">
        <v>2E-3</v>
      </c>
      <c r="E47" s="38">
        <f>'Dec 29'!$D47*$C$6*$C$2</f>
        <v>301753.03153600002</v>
      </c>
      <c r="F47" s="38">
        <v>23400</v>
      </c>
      <c r="G47" s="74">
        <f>'Dec 29'!$E47/'Dec 29'!$F47</f>
        <v>12.895428698119659</v>
      </c>
      <c r="H47" s="36">
        <v>13</v>
      </c>
      <c r="I47" s="36">
        <v>13</v>
      </c>
      <c r="J47" s="40">
        <f t="shared" si="2"/>
        <v>0</v>
      </c>
      <c r="K47" s="41">
        <f>'Dec 29'!$F47*'Dec 29'!$I47</f>
        <v>304200</v>
      </c>
      <c r="L47" s="42">
        <f>'Dec 29'!$K47/$K$2</f>
        <v>2.0204512447491779E-3</v>
      </c>
      <c r="M47" s="43"/>
    </row>
    <row r="48" spans="1:16" s="44" customFormat="1" ht="25.5" x14ac:dyDescent="0.25">
      <c r="A48" s="36" t="s">
        <v>154</v>
      </c>
      <c r="B48" s="36" t="s">
        <v>79</v>
      </c>
      <c r="C48" s="36" t="s">
        <v>78</v>
      </c>
      <c r="D48" s="37">
        <v>2E-3</v>
      </c>
      <c r="E48" s="38">
        <f>'Dec 29'!$D48*$C$6*$C$2</f>
        <v>301753.03153600002</v>
      </c>
      <c r="F48" s="38">
        <v>7472</v>
      </c>
      <c r="G48" s="74">
        <f>'Dec 29'!$E48/'Dec 29'!$F48</f>
        <v>40.38450636188437</v>
      </c>
      <c r="H48" s="36">
        <v>40</v>
      </c>
      <c r="I48" s="36">
        <v>40</v>
      </c>
      <c r="J48" s="40">
        <f t="shared" si="2"/>
        <v>0</v>
      </c>
      <c r="K48" s="41">
        <f>'Dec 29'!$F48*'Dec 29'!$I48</f>
        <v>298880</v>
      </c>
      <c r="L48" s="42">
        <f>'Dec 29'!$K48/$K$2</f>
        <v>1.9851165944465292E-3</v>
      </c>
      <c r="M48" s="43"/>
    </row>
    <row r="49" spans="1:13" s="44" customFormat="1" ht="25.5" x14ac:dyDescent="0.25">
      <c r="A49" s="36" t="s">
        <v>154</v>
      </c>
      <c r="B49" s="36" t="s">
        <v>63</v>
      </c>
      <c r="C49" s="36" t="s">
        <v>64</v>
      </c>
      <c r="D49" s="37">
        <v>2E-3</v>
      </c>
      <c r="E49" s="38">
        <f>'Dec 29'!$D49*$C$6*$C$2</f>
        <v>301753.03153600002</v>
      </c>
      <c r="F49" s="38">
        <v>28869.7</v>
      </c>
      <c r="G49" s="74">
        <f>'Dec 29'!$E49/'Dec 29'!$F49</f>
        <v>10.45223994485568</v>
      </c>
      <c r="H49" s="36">
        <v>10</v>
      </c>
      <c r="I49" s="36">
        <v>10</v>
      </c>
      <c r="J49" s="40">
        <f t="shared" si="2"/>
        <v>0</v>
      </c>
      <c r="K49" s="41">
        <f>'Dec 29'!$F49*'Dec 29'!$I49</f>
        <v>288697</v>
      </c>
      <c r="L49" s="42">
        <f>'Dec 29'!$K49/$K$2</f>
        <v>1.9174826200044489E-3</v>
      </c>
      <c r="M49" s="43"/>
    </row>
    <row r="50" spans="1:13" s="44" customFormat="1" ht="25.5" x14ac:dyDescent="0.25">
      <c r="A50" s="36" t="s">
        <v>154</v>
      </c>
      <c r="B50" s="36" t="s">
        <v>88</v>
      </c>
      <c r="C50" s="36" t="s">
        <v>89</v>
      </c>
      <c r="D50" s="37">
        <v>2E-3</v>
      </c>
      <c r="E50" s="38">
        <f>'Dec 29'!$D50*$C$6*$C$2</f>
        <v>301753.03153600002</v>
      </c>
      <c r="F50" s="38">
        <v>62726.2</v>
      </c>
      <c r="G50" s="74">
        <f>'Dec 29'!$E50/'Dec 29'!$F50</f>
        <v>4.8106378440906674</v>
      </c>
      <c r="H50" s="36">
        <v>5</v>
      </c>
      <c r="I50" s="36">
        <v>5</v>
      </c>
      <c r="J50" s="40">
        <f t="shared" si="2"/>
        <v>0</v>
      </c>
      <c r="K50" s="41">
        <f>'Dec 29'!$F50*'Dec 29'!$I50</f>
        <v>313631</v>
      </c>
      <c r="L50" s="42">
        <f>'Dec 29'!$K50/$K$2</f>
        <v>2.0830905468176507E-3</v>
      </c>
      <c r="M50" s="43"/>
    </row>
    <row r="51" spans="1:13" s="44" customFormat="1" ht="12.75" x14ac:dyDescent="0.25">
      <c r="A51" s="36"/>
      <c r="B51" s="36"/>
      <c r="C51" s="36"/>
      <c r="D51" s="37"/>
      <c r="E51" s="38"/>
      <c r="F51" s="38"/>
      <c r="G51" s="39"/>
      <c r="H51" s="36"/>
      <c r="I51" s="36"/>
      <c r="J51" s="43"/>
      <c r="K51" s="41"/>
      <c r="L51" s="42"/>
      <c r="M51" s="43"/>
    </row>
    <row r="52" spans="1:13" s="17" customFormat="1" ht="12.75" x14ac:dyDescent="0.2">
      <c r="A52" s="48" t="s">
        <v>164</v>
      </c>
      <c r="B52" s="67"/>
      <c r="C52" s="67"/>
      <c r="D52" s="75">
        <f>SUM(D41:D51)</f>
        <v>2.0000000000000004E-2</v>
      </c>
      <c r="E52" s="50">
        <f>SUM(E40:E51)</f>
        <v>3017530.3153599999</v>
      </c>
      <c r="F52" s="70"/>
      <c r="G52" s="70"/>
      <c r="H52" s="67"/>
      <c r="I52" s="67"/>
      <c r="J52" s="48"/>
      <c r="K52" s="50">
        <f>SUM(K40:K51)</f>
        <v>2900460.3333333316</v>
      </c>
      <c r="L52" s="53">
        <f>'Dec 29'!$K52/$K$2</f>
        <v>1.9264426991548143E-2</v>
      </c>
      <c r="M52" s="60"/>
    </row>
    <row r="53" spans="1:13" s="4" customFormat="1" ht="12.75" x14ac:dyDescent="0.2">
      <c r="A53" s="36"/>
      <c r="B53" s="63"/>
      <c r="C53" s="63"/>
      <c r="D53" s="76"/>
      <c r="E53" s="38"/>
      <c r="F53" s="38"/>
      <c r="G53" s="39"/>
      <c r="H53" s="63"/>
      <c r="I53" s="63"/>
      <c r="J53" s="36"/>
      <c r="K53" s="36"/>
      <c r="L53" s="42"/>
      <c r="M53" s="64"/>
    </row>
    <row r="54" spans="1:13" s="44" customFormat="1" ht="25.5" x14ac:dyDescent="0.25">
      <c r="A54" s="48" t="s">
        <v>165</v>
      </c>
      <c r="B54" s="55" t="s">
        <v>166</v>
      </c>
      <c r="C54" s="55" t="s">
        <v>167</v>
      </c>
      <c r="D54" s="56">
        <v>0</v>
      </c>
      <c r="E54" s="57">
        <f>'Dec 29'!$D54*$C$6*$C$2</f>
        <v>0</v>
      </c>
      <c r="F54" s="57">
        <v>0</v>
      </c>
      <c r="G54" s="58" t="s">
        <v>168</v>
      </c>
      <c r="H54" s="55">
        <v>0</v>
      </c>
      <c r="I54" s="55">
        <v>0</v>
      </c>
      <c r="J54" s="77">
        <f>I54-H54</f>
        <v>0</v>
      </c>
      <c r="K54" s="57">
        <f>'Dec 29'!$F54*'Dec 29'!$I54</f>
        <v>0</v>
      </c>
      <c r="L54" s="78">
        <f>'Dec 29'!$K54/$K$2</f>
        <v>0</v>
      </c>
      <c r="M54" s="55"/>
    </row>
    <row r="55" spans="1:13" s="4" customFormat="1" ht="12.75" x14ac:dyDescent="0.2">
      <c r="A55" s="36"/>
      <c r="B55" s="63"/>
      <c r="C55" s="63"/>
      <c r="D55" s="76"/>
      <c r="E55" s="38"/>
      <c r="F55" s="38"/>
      <c r="G55" s="39"/>
      <c r="H55" s="63"/>
      <c r="I55" s="63"/>
      <c r="J55" s="36"/>
      <c r="K55" s="36"/>
      <c r="L55" s="42"/>
      <c r="M55" s="64"/>
    </row>
    <row r="56" spans="1:13" s="4" customFormat="1" ht="12.75" x14ac:dyDescent="0.2">
      <c r="A56" s="36"/>
      <c r="B56" s="63"/>
      <c r="C56" s="63"/>
      <c r="D56" s="79"/>
      <c r="E56" s="65"/>
      <c r="F56" s="38"/>
      <c r="G56" s="39"/>
      <c r="H56" s="63"/>
      <c r="I56" s="63"/>
      <c r="J56" s="36"/>
      <c r="K56" s="36"/>
      <c r="L56" s="42"/>
      <c r="M56" s="64"/>
    </row>
    <row r="57" spans="1:13" s="17" customFormat="1" ht="12.75" x14ac:dyDescent="0.2">
      <c r="A57" s="48" t="s">
        <v>169</v>
      </c>
      <c r="B57" s="67"/>
      <c r="C57" s="67"/>
      <c r="D57" s="67"/>
      <c r="E57" s="80"/>
      <c r="F57" s="80"/>
      <c r="G57" s="48"/>
      <c r="H57" s="67"/>
      <c r="I57" s="67"/>
      <c r="J57" s="67"/>
      <c r="K57" s="80">
        <f>SUM(K24,K26,K39,K52,K54:K54)</f>
        <v>150560425.93978253</v>
      </c>
      <c r="L57" s="53">
        <f>'Dec 29'!$K57/$K$2</f>
        <v>1</v>
      </c>
      <c r="M57" s="67"/>
    </row>
    <row r="58" spans="1:13" s="4" customFormat="1" ht="12.75" x14ac:dyDescent="0.2">
      <c r="A58" s="64"/>
      <c r="B58" s="64"/>
      <c r="C58" s="64"/>
      <c r="D58" s="81"/>
      <c r="E58" s="82"/>
      <c r="F58" s="38"/>
      <c r="G58" s="83"/>
      <c r="H58" s="64"/>
      <c r="I58" s="64"/>
      <c r="J58" s="64"/>
      <c r="K58" s="64"/>
      <c r="L58" s="42"/>
      <c r="M58" s="64"/>
    </row>
    <row r="59" spans="1:13" s="4" customFormat="1" ht="12.75" x14ac:dyDescent="0.2">
      <c r="A59" s="64"/>
      <c r="B59" s="64"/>
      <c r="C59" s="64"/>
      <c r="D59" s="81"/>
      <c r="E59" s="82"/>
      <c r="F59" s="38"/>
      <c r="G59" s="83"/>
      <c r="H59" s="64"/>
      <c r="I59" s="64"/>
      <c r="J59" s="64"/>
      <c r="K59" s="64"/>
      <c r="L59" s="42"/>
      <c r="M59" s="64"/>
    </row>
    <row r="60" spans="1:13" s="4" customFormat="1" ht="12.75" x14ac:dyDescent="0.2">
      <c r="A60" s="64"/>
      <c r="B60" s="64"/>
      <c r="C60" s="64"/>
      <c r="D60" s="81"/>
      <c r="E60" s="82"/>
      <c r="F60" s="38"/>
      <c r="G60" s="83"/>
      <c r="H60" s="64"/>
      <c r="I60" s="64"/>
      <c r="J60" s="64"/>
      <c r="K60" s="64"/>
      <c r="L60" s="42"/>
      <c r="M60" s="64"/>
    </row>
    <row r="61" spans="1:13" s="4" customFormat="1" ht="12.75" x14ac:dyDescent="0.2">
      <c r="A61" s="64"/>
      <c r="B61" s="64"/>
      <c r="C61" s="64"/>
      <c r="D61" s="81"/>
      <c r="E61" s="82"/>
      <c r="F61" s="38"/>
      <c r="G61" s="83"/>
      <c r="H61" s="64"/>
      <c r="I61" s="64"/>
      <c r="J61" s="64"/>
      <c r="K61" s="64"/>
      <c r="L61" s="42"/>
      <c r="M61" s="64"/>
    </row>
    <row r="62" spans="1:13" s="4" customFormat="1" ht="12.75" x14ac:dyDescent="0.2">
      <c r="A62" s="64"/>
      <c r="B62" s="64"/>
      <c r="C62" s="64"/>
      <c r="D62" s="81"/>
      <c r="E62" s="82"/>
      <c r="F62" s="38"/>
      <c r="G62" s="83"/>
      <c r="H62" s="64"/>
      <c r="I62" s="64"/>
      <c r="J62" s="64"/>
      <c r="K62" s="64"/>
      <c r="L62" s="42"/>
      <c r="M62" s="64"/>
    </row>
    <row r="63" spans="1:13" s="4" customFormat="1" ht="12.75" x14ac:dyDescent="0.2">
      <c r="A63" s="64"/>
      <c r="B63" s="64"/>
      <c r="C63" s="64"/>
      <c r="D63" s="81"/>
      <c r="E63" s="82"/>
      <c r="F63" s="38"/>
      <c r="G63" s="83"/>
      <c r="H63" s="64"/>
      <c r="I63" s="64"/>
      <c r="J63" s="64"/>
      <c r="K63" s="64"/>
      <c r="L63" s="42"/>
      <c r="M63" s="64"/>
    </row>
    <row r="64" spans="1:13" s="4" customFormat="1" ht="12.75" x14ac:dyDescent="0.2">
      <c r="A64" s="64"/>
      <c r="B64" s="64"/>
      <c r="C64" s="64"/>
      <c r="D64" s="81"/>
      <c r="E64" s="82"/>
      <c r="F64" s="38"/>
      <c r="G64" s="83"/>
      <c r="H64" s="64"/>
      <c r="I64" s="64"/>
      <c r="J64" s="64"/>
      <c r="K64" s="64"/>
      <c r="L64" s="42"/>
      <c r="M64" s="64"/>
    </row>
    <row r="65" spans="1:13" s="4" customFormat="1" ht="12.75" x14ac:dyDescent="0.2">
      <c r="A65" s="64"/>
      <c r="B65" s="64"/>
      <c r="C65" s="64"/>
      <c r="D65" s="81"/>
      <c r="E65" s="82"/>
      <c r="F65" s="38"/>
      <c r="G65" s="83"/>
      <c r="H65" s="64"/>
      <c r="I65" s="64"/>
      <c r="J65" s="64"/>
      <c r="K65" s="64"/>
      <c r="L65" s="42"/>
      <c r="M65" s="64"/>
    </row>
    <row r="66" spans="1:13" s="4" customFormat="1" ht="12.75" x14ac:dyDescent="0.2">
      <c r="A66" s="64"/>
      <c r="B66" s="64"/>
      <c r="C66" s="64"/>
      <c r="D66" s="81"/>
      <c r="E66" s="82"/>
      <c r="F66" s="38"/>
      <c r="G66" s="83"/>
      <c r="H66" s="64"/>
      <c r="I66" s="64"/>
      <c r="J66" s="64"/>
      <c r="K66" s="64"/>
      <c r="L66" s="42"/>
      <c r="M66" s="64"/>
    </row>
    <row r="67" spans="1:13" s="4" customFormat="1" ht="12.75" x14ac:dyDescent="0.2"/>
    <row r="68" spans="1:13" s="4" customFormat="1" ht="12.75" x14ac:dyDescent="0.2"/>
    <row r="70" spans="1:13" s="4" customFormat="1" ht="12.75" x14ac:dyDescent="0.2">
      <c r="A70" s="84"/>
      <c r="B70" s="84"/>
      <c r="E70" s="84"/>
      <c r="F70" s="84"/>
      <c r="G70" s="84"/>
      <c r="H70" s="85"/>
      <c r="M70" s="84"/>
    </row>
    <row r="71" spans="1:13" s="4" customFormat="1" ht="12.75" x14ac:dyDescent="0.2">
      <c r="A71" s="84"/>
      <c r="B71" s="84"/>
      <c r="E71" s="84"/>
      <c r="F71" s="84"/>
      <c r="G71" s="84"/>
      <c r="H71" s="85"/>
      <c r="M71" s="84"/>
    </row>
    <row r="72" spans="1:13" s="4" customFormat="1" ht="12.75" x14ac:dyDescent="0.2">
      <c r="A72" s="86"/>
      <c r="B72" s="86"/>
    </row>
    <row r="73" spans="1:13" s="4" customFormat="1" ht="12.75" x14ac:dyDescent="0.2">
      <c r="A73" s="87"/>
      <c r="B73" s="87"/>
      <c r="E73" s="87"/>
      <c r="F73" s="86"/>
      <c r="G73" s="86"/>
      <c r="M73" s="88"/>
    </row>
    <row r="74" spans="1:13" s="4" customFormat="1" ht="12.75" x14ac:dyDescent="0.2"/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H90"/>
  <sheetViews>
    <sheetView zoomScale="140" zoomScaleNormal="140" workbookViewId="0">
      <pane xSplit="2" topLeftCell="C1" activePane="topRight" state="frozen"/>
      <selection pane="topRight" activeCell="H5" sqref="H5"/>
    </sheetView>
  </sheetViews>
  <sheetFormatPr defaultColWidth="9.140625" defaultRowHeight="15" x14ac:dyDescent="0.25"/>
  <cols>
    <col min="1" max="2" width="15.140625" style="4" customWidth="1"/>
    <col min="3" max="3" width="29.28515625" style="4" customWidth="1"/>
    <col min="4" max="4" width="14.85546875" style="4" customWidth="1"/>
    <col min="5" max="5" width="27.42578125" style="4" customWidth="1"/>
    <col min="6" max="7" width="13.7109375" style="4" customWidth="1"/>
    <col min="8" max="8" width="16.42578125" style="4" customWidth="1"/>
    <col min="9" max="9" width="15.42578125" style="4" customWidth="1"/>
    <col min="10" max="10" width="13.42578125" customWidth="1"/>
    <col min="11" max="11" width="23.42578125" customWidth="1"/>
    <col min="12" max="12" width="13.42578125" customWidth="1"/>
    <col min="13" max="13" width="22.42578125" style="4" customWidth="1"/>
    <col min="14" max="16" width="10.85546875" style="4" customWidth="1"/>
    <col min="17" max="17" width="11.28515625" style="4" customWidth="1"/>
    <col min="18" max="1022" width="9.140625" style="4"/>
  </cols>
  <sheetData>
    <row r="1" spans="1:17" s="4" customFormat="1" ht="25.5" x14ac:dyDescent="0.2">
      <c r="A1" s="5"/>
      <c r="B1" s="5" t="s">
        <v>95</v>
      </c>
      <c r="C1" s="6">
        <v>44166</v>
      </c>
      <c r="D1" s="7"/>
      <c r="E1" s="8" t="s">
        <v>96</v>
      </c>
      <c r="F1" s="9"/>
      <c r="G1" s="10"/>
      <c r="K1" s="11" t="s">
        <v>97</v>
      </c>
      <c r="L1" s="11" t="s">
        <v>98</v>
      </c>
      <c r="M1" s="12" t="s">
        <v>99</v>
      </c>
    </row>
    <row r="2" spans="1:17" x14ac:dyDescent="0.25">
      <c r="A2" s="5"/>
      <c r="B2" s="5" t="s">
        <v>100</v>
      </c>
      <c r="C2" s="13">
        <v>7.7</v>
      </c>
      <c r="D2" s="14"/>
      <c r="E2" s="15">
        <f>SUM(E30,E45,E53,E68,E32,E70)</f>
        <v>216744897.831</v>
      </c>
      <c r="F2" s="16"/>
      <c r="G2" s="17"/>
      <c r="H2" s="14"/>
      <c r="I2" s="14"/>
      <c r="J2" s="14"/>
      <c r="K2" s="15">
        <f>SUM(K30,K45,K53,K68,K32,K70:K70)</f>
        <v>208888799.35534325</v>
      </c>
      <c r="L2" s="18">
        <f>SUM(L53,L68,L45,L30,L32,L70)</f>
        <v>1</v>
      </c>
      <c r="M2" s="19">
        <f>K2/$C$6</f>
        <v>7.4209071176857702</v>
      </c>
      <c r="N2" s="20"/>
    </row>
    <row r="3" spans="1:17" ht="26.25" x14ac:dyDescent="0.25">
      <c r="A3" s="5"/>
      <c r="B3" s="5" t="s">
        <v>101</v>
      </c>
      <c r="C3" s="21">
        <v>28148688.030000001</v>
      </c>
      <c r="D3" s="22"/>
      <c r="E3" s="8" t="s">
        <v>102</v>
      </c>
      <c r="F3" s="16"/>
      <c r="H3" s="14"/>
      <c r="I3" s="14"/>
      <c r="J3" s="14"/>
      <c r="K3" s="8" t="s">
        <v>102</v>
      </c>
      <c r="L3" s="14"/>
      <c r="M3" s="12" t="s">
        <v>103</v>
      </c>
      <c r="N3" s="23"/>
    </row>
    <row r="4" spans="1:17" x14ac:dyDescent="0.25">
      <c r="A4" s="5"/>
      <c r="B4" s="5" t="s">
        <v>104</v>
      </c>
      <c r="C4" s="21">
        <v>0</v>
      </c>
      <c r="D4" s="22"/>
      <c r="E4" s="15">
        <f>SUM(E30,E68,E32)</f>
        <v>44432704.055355005</v>
      </c>
      <c r="F4" s="16"/>
      <c r="G4" s="17"/>
      <c r="H4" s="14"/>
      <c r="I4" s="14"/>
      <c r="J4" s="14"/>
      <c r="K4" s="15">
        <f>SUM(K30,K32,K68)</f>
        <v>44466688.442353249</v>
      </c>
      <c r="L4" s="14"/>
      <c r="M4" s="19">
        <f>K4/$C$6</f>
        <v>1.5797073169080573</v>
      </c>
      <c r="N4" s="23"/>
    </row>
    <row r="5" spans="1:17" x14ac:dyDescent="0.25">
      <c r="A5" s="5"/>
      <c r="B5" s="5" t="s">
        <v>105</v>
      </c>
      <c r="C5" s="21">
        <v>0</v>
      </c>
      <c r="D5" s="22"/>
      <c r="E5" s="16"/>
      <c r="F5" s="16"/>
      <c r="G5" s="24">
        <f>SUM(D30,D32,D45,D53,D68,D70:D70)</f>
        <v>1</v>
      </c>
      <c r="H5" s="14"/>
      <c r="I5" s="14"/>
      <c r="J5" s="14"/>
      <c r="K5" s="14"/>
      <c r="L5" s="14"/>
      <c r="M5" s="14"/>
      <c r="N5" s="23"/>
    </row>
    <row r="6" spans="1:17" x14ac:dyDescent="0.25">
      <c r="A6" s="5"/>
      <c r="B6" s="5" t="s">
        <v>106</v>
      </c>
      <c r="C6" s="21">
        <f>C3+C4-C5</f>
        <v>28148688.030000001</v>
      </c>
      <c r="D6" s="22"/>
      <c r="E6" s="16"/>
      <c r="F6" s="16"/>
      <c r="G6" s="17"/>
      <c r="H6" s="14"/>
      <c r="I6" s="14"/>
      <c r="J6" s="14"/>
      <c r="K6" s="14"/>
      <c r="L6" s="14"/>
      <c r="M6" s="14"/>
      <c r="N6" s="23"/>
    </row>
    <row r="7" spans="1:17" x14ac:dyDescent="0.25">
      <c r="A7" s="25"/>
      <c r="B7" s="26"/>
      <c r="C7" s="26"/>
      <c r="D7" s="27"/>
      <c r="E7" s="28"/>
      <c r="F7" s="28"/>
      <c r="G7" s="28"/>
      <c r="H7" s="29"/>
      <c r="I7" s="29"/>
      <c r="J7" s="29"/>
      <c r="K7" s="14"/>
      <c r="L7" s="14"/>
      <c r="M7" s="14"/>
      <c r="N7" s="23"/>
    </row>
    <row r="8" spans="1:17" s="34" customFormat="1" ht="38.25" x14ac:dyDescent="0.2">
      <c r="A8" s="30" t="s">
        <v>107</v>
      </c>
      <c r="B8" s="30" t="s">
        <v>108</v>
      </c>
      <c r="C8" s="31" t="s">
        <v>1</v>
      </c>
      <c r="D8" s="31" t="s">
        <v>109</v>
      </c>
      <c r="E8" s="31" t="s">
        <v>110</v>
      </c>
      <c r="F8" s="31" t="s">
        <v>111</v>
      </c>
      <c r="G8" s="31" t="s">
        <v>112</v>
      </c>
      <c r="H8" s="31" t="s">
        <v>113</v>
      </c>
      <c r="I8" s="31" t="s">
        <v>114</v>
      </c>
      <c r="J8" s="31" t="s">
        <v>115</v>
      </c>
      <c r="K8" s="32" t="s">
        <v>116</v>
      </c>
      <c r="L8" s="32" t="s">
        <v>117</v>
      </c>
      <c r="M8" s="32" t="s">
        <v>118</v>
      </c>
      <c r="N8" s="33"/>
      <c r="Q8" s="35"/>
    </row>
    <row r="9" spans="1:17" s="44" customFormat="1" ht="12.75" customHeight="1" x14ac:dyDescent="0.25">
      <c r="A9" s="36" t="s">
        <v>119</v>
      </c>
      <c r="B9" s="36" t="s">
        <v>120</v>
      </c>
      <c r="C9" s="36" t="s">
        <v>121</v>
      </c>
      <c r="D9" s="37">
        <v>0.01</v>
      </c>
      <c r="E9" s="38">
        <f>'Dec 01'!$D9*$C$6*$C$2</f>
        <v>2167448.9783100002</v>
      </c>
      <c r="F9" s="38">
        <v>589.20004095004094</v>
      </c>
      <c r="G9" s="39">
        <f>'Dec 01'!$E9/'Dec 01'!$F9</f>
        <v>3678.6300537507618</v>
      </c>
      <c r="H9" s="36">
        <v>4884</v>
      </c>
      <c r="I9" s="36">
        <f>ROUND(Table1389584567991011121314456267891011121314151617181920213456789101112131415161718192021222334567891011121314151617181920[[#This Row],[Target Quantity]],0)</f>
        <v>3679</v>
      </c>
      <c r="J9" s="40">
        <f t="shared" ref="J9:J28" si="0">I9-H9</f>
        <v>-1205</v>
      </c>
      <c r="K9" s="41">
        <f>'Dec 01'!$F9*'Dec 01'!$I9</f>
        <v>2167666.9506552005</v>
      </c>
      <c r="L9" s="42">
        <f>'Dec 01'!$K9/$K$2</f>
        <v>1.0377133466920627E-2</v>
      </c>
      <c r="M9" s="43"/>
    </row>
    <row r="10" spans="1:17" s="44" customFormat="1" ht="12.75" customHeight="1" x14ac:dyDescent="0.25">
      <c r="A10" s="36" t="s">
        <v>119</v>
      </c>
      <c r="B10" s="36" t="s">
        <v>122</v>
      </c>
      <c r="C10" s="36" t="s">
        <v>123</v>
      </c>
      <c r="D10" s="37">
        <v>0.01</v>
      </c>
      <c r="E10" s="38">
        <f>'Dec 01'!$D10*$C$6*$C$2</f>
        <v>2167448.9783100002</v>
      </c>
      <c r="F10" s="38">
        <v>86.220007678034406</v>
      </c>
      <c r="G10" s="39">
        <f>'Dec 01'!$E10/'Dec 01'!$F10</f>
        <v>25138.584844526569</v>
      </c>
      <c r="H10" s="36">
        <v>31258</v>
      </c>
      <c r="I10" s="36">
        <f>ROUND(Table1389584567991011121314456267891011121314151617181920213456789101112131415161718192021222334567891011121314151617181920[[#This Row],[Target Quantity]],0)</f>
        <v>25139</v>
      </c>
      <c r="J10" s="40">
        <f t="shared" si="0"/>
        <v>-6119</v>
      </c>
      <c r="K10" s="41">
        <f>'Dec 01'!$F10*'Dec 01'!$I10</f>
        <v>2167484.7730181068</v>
      </c>
      <c r="L10" s="42">
        <f>'Dec 01'!$K10/$K$2</f>
        <v>1.0376261339560731E-2</v>
      </c>
      <c r="M10" s="43"/>
    </row>
    <row r="11" spans="1:17" s="45" customFormat="1" ht="12.75" customHeight="1" x14ac:dyDescent="0.25">
      <c r="A11" s="36" t="s">
        <v>119</v>
      </c>
      <c r="B11" s="36" t="s">
        <v>124</v>
      </c>
      <c r="C11" s="36" t="s">
        <v>125</v>
      </c>
      <c r="D11" s="37">
        <v>0.01</v>
      </c>
      <c r="E11" s="38">
        <f>'Dec 01'!$D11*$C$6*$C$2</f>
        <v>2167448.9783100002</v>
      </c>
      <c r="F11" s="38">
        <v>224.24998028546599</v>
      </c>
      <c r="G11" s="39">
        <f>'Dec 01'!$E11/'Dec 01'!$F11</f>
        <v>9665.3251677029293</v>
      </c>
      <c r="H11" s="36">
        <v>12681</v>
      </c>
      <c r="I11" s="36">
        <f>ROUND(Table1389584567991011121314456267891011121314151617181920213456789101112131415161718192021222334567891011121314151617181920[[#This Row],[Target Quantity]],0)</f>
        <v>9665</v>
      </c>
      <c r="J11" s="40">
        <f t="shared" si="0"/>
        <v>-3016</v>
      </c>
      <c r="K11" s="41">
        <f>'Dec 01'!$F11*'Dec 01'!$I11</f>
        <v>2167376.0594590288</v>
      </c>
      <c r="L11" s="42">
        <f>'Dec 01'!$K11/$K$2</f>
        <v>1.0375740902086757E-2</v>
      </c>
      <c r="M11" s="36"/>
    </row>
    <row r="12" spans="1:17" s="45" customFormat="1" ht="12.75" customHeight="1" x14ac:dyDescent="0.25">
      <c r="A12" s="36" t="s">
        <v>119</v>
      </c>
      <c r="B12" s="36" t="s">
        <v>43</v>
      </c>
      <c r="C12" s="36" t="s">
        <v>44</v>
      </c>
      <c r="D12" s="37">
        <v>0.01</v>
      </c>
      <c r="E12" s="38">
        <f>'Dec 01'!$D12*$C$6*$C$2</f>
        <v>2167448.9783100002</v>
      </c>
      <c r="F12" s="38">
        <v>453</v>
      </c>
      <c r="G12" s="39">
        <f>'Dec 01'!$E12/'Dec 01'!$F12</f>
        <v>4784.6555812582783</v>
      </c>
      <c r="H12" s="36">
        <v>6364</v>
      </c>
      <c r="I12" s="36">
        <f>ROUND(Table1389584567991011121314456267891011121314151617181920213456789101112131415161718192021222334567891011121314151617181920[[#This Row],[Target Quantity]],0)</f>
        <v>4785</v>
      </c>
      <c r="J12" s="40">
        <f t="shared" si="0"/>
        <v>-1579</v>
      </c>
      <c r="K12" s="41">
        <f>'Dec 01'!$F12*'Dec 01'!$I12</f>
        <v>2167605</v>
      </c>
      <c r="L12" s="42">
        <f>'Dec 01'!$K12/$K$2</f>
        <v>1.0376836894507977E-2</v>
      </c>
      <c r="M12" s="36"/>
    </row>
    <row r="13" spans="1:17" s="45" customFormat="1" ht="12.75" customHeight="1" x14ac:dyDescent="0.25">
      <c r="A13" s="36" t="s">
        <v>119</v>
      </c>
      <c r="B13" s="36" t="s">
        <v>126</v>
      </c>
      <c r="C13" s="36" t="s">
        <v>127</v>
      </c>
      <c r="D13" s="37">
        <v>0.01</v>
      </c>
      <c r="E13" s="38">
        <f>'Dec 01'!$D13*$C$6*$C$2</f>
        <v>2167448.9783100002</v>
      </c>
      <c r="F13" s="38">
        <v>1553.32982640715</v>
      </c>
      <c r="G13" s="39">
        <f>'Dec 01'!$E13/'Dec 01'!$F13</f>
        <v>1395.356569778427</v>
      </c>
      <c r="H13" s="36">
        <v>1901</v>
      </c>
      <c r="I13" s="36">
        <f>ROUND(Table1389584567991011121314456267891011121314151617181920213456789101112131415161718192021222334567891011121314151617181920[[#This Row],[Target Quantity]],0)</f>
        <v>1395</v>
      </c>
      <c r="J13" s="40">
        <f t="shared" si="0"/>
        <v>-506</v>
      </c>
      <c r="K13" s="41">
        <f>'Dec 01'!$F13*'Dec 01'!$I13</f>
        <v>2166895.1078379741</v>
      </c>
      <c r="L13" s="42">
        <f>'Dec 01'!$K13/$K$2</f>
        <v>1.037343847312676E-2</v>
      </c>
      <c r="M13" s="36"/>
    </row>
    <row r="14" spans="1:17" s="45" customFormat="1" ht="12.75" customHeight="1" x14ac:dyDescent="0.25">
      <c r="A14" s="36" t="s">
        <v>119</v>
      </c>
      <c r="B14" s="36" t="s">
        <v>25</v>
      </c>
      <c r="C14" s="36" t="s">
        <v>26</v>
      </c>
      <c r="D14" s="37">
        <v>0.01</v>
      </c>
      <c r="E14" s="38">
        <f>'Dec 01'!$D14*$C$6*$C$2</f>
        <v>2167448.9783100002</v>
      </c>
      <c r="F14" s="38">
        <v>291.36996376039201</v>
      </c>
      <c r="G14" s="39">
        <f>'Dec 01'!$E14/'Dec 01'!$F14</f>
        <v>7438.820907746006</v>
      </c>
      <c r="H14" s="36">
        <v>9382</v>
      </c>
      <c r="I14" s="36">
        <f>ROUND(Table1389584567991011121314456267891011121314151617181920213456789101112131415161718192021222334567891011121314151617181920[[#This Row],[Target Quantity]],0)</f>
        <v>7439</v>
      </c>
      <c r="J14" s="40">
        <f t="shared" si="0"/>
        <v>-1943</v>
      </c>
      <c r="K14" s="41">
        <f>'Dec 01'!$F14*'Dec 01'!$I14</f>
        <v>2167501.1604135563</v>
      </c>
      <c r="L14" s="42">
        <f>'Dec 01'!$K14/$K$2</f>
        <v>1.0376339789891722E-2</v>
      </c>
      <c r="M14" s="36"/>
    </row>
    <row r="15" spans="1:17" s="45" customFormat="1" ht="12.75" customHeight="1" x14ac:dyDescent="0.25">
      <c r="A15" s="36" t="s">
        <v>119</v>
      </c>
      <c r="B15" s="36" t="s">
        <v>128</v>
      </c>
      <c r="C15" s="36" t="s">
        <v>129</v>
      </c>
      <c r="D15" s="37">
        <v>0.01</v>
      </c>
      <c r="E15" s="38">
        <f>'Dec 01'!$D15*$C$6*$C$2</f>
        <v>2167448.9783100002</v>
      </c>
      <c r="F15" s="38">
        <v>23.9800025356041</v>
      </c>
      <c r="G15" s="39">
        <f>'Dec 01'!$E15/'Dec 01'!$F15</f>
        <v>90385.685951946798</v>
      </c>
      <c r="H15" s="36">
        <v>118315</v>
      </c>
      <c r="I15" s="36">
        <f>ROUND(Table1389584567991011121314456267891011121314151617181920213456789101112131415161718192021222334567891011121314151617181920[[#This Row],[Target Quantity]],0)</f>
        <v>90386</v>
      </c>
      <c r="J15" s="40">
        <f t="shared" si="0"/>
        <v>-27929</v>
      </c>
      <c r="K15" s="41">
        <f>'Dec 01'!$F15*'Dec 01'!$I15</f>
        <v>2167456.5091831121</v>
      </c>
      <c r="L15" s="42">
        <f>'Dec 01'!$K15/$K$2</f>
        <v>1.0376126033909677E-2</v>
      </c>
      <c r="M15" s="36"/>
    </row>
    <row r="16" spans="1:17" s="45" customFormat="1" ht="12.75" customHeight="1" x14ac:dyDescent="0.25">
      <c r="A16" s="36" t="s">
        <v>119</v>
      </c>
      <c r="B16" s="36" t="s">
        <v>33</v>
      </c>
      <c r="C16" s="36" t="s">
        <v>34</v>
      </c>
      <c r="D16" s="37">
        <v>5.0000000000000001E-3</v>
      </c>
      <c r="E16" s="38">
        <f>'Dec 01'!$D16*$C$6*$C$2</f>
        <v>1083724.4891550001</v>
      </c>
      <c r="F16" s="38">
        <v>38.810007251631603</v>
      </c>
      <c r="G16" s="39">
        <f>'Dec 01'!$E16/'Dec 01'!$F16</f>
        <v>27923.841449667325</v>
      </c>
      <c r="H16" s="36">
        <v>34475</v>
      </c>
      <c r="I16" s="36">
        <f>ROUND(Table1389584567991011121314456267891011121314151617181920213456789101112131415161718192021222334567891011121314151617181920[[#This Row],[Target Quantity]],0)</f>
        <v>27924</v>
      </c>
      <c r="J16" s="40">
        <f t="shared" si="0"/>
        <v>-6551</v>
      </c>
      <c r="K16" s="41">
        <f>'Dec 01'!$F16*'Dec 01'!$I16</f>
        <v>1083730.6424945609</v>
      </c>
      <c r="L16" s="42">
        <f>'Dec 01'!$K16/$K$2</f>
        <v>5.1880744484102933E-3</v>
      </c>
      <c r="M16" s="36"/>
    </row>
    <row r="17" spans="1:15" s="45" customFormat="1" ht="12.75" customHeight="1" x14ac:dyDescent="0.25">
      <c r="A17" s="36" t="s">
        <v>119</v>
      </c>
      <c r="B17" s="36" t="s">
        <v>19</v>
      </c>
      <c r="C17" s="36" t="s">
        <v>20</v>
      </c>
      <c r="D17" s="37">
        <v>0.01</v>
      </c>
      <c r="E17" s="38">
        <f>'Dec 01'!$D17*$C$6*$C$2</f>
        <v>2167448.9783100002</v>
      </c>
      <c r="F17" s="38">
        <v>481.289930555556</v>
      </c>
      <c r="G17" s="39">
        <f>'Dec 01'!$E17/'Dec 01'!$F17</f>
        <v>4503.4164247070366</v>
      </c>
      <c r="H17" s="36">
        <v>5760</v>
      </c>
      <c r="I17" s="36">
        <f>ROUND(Table1389584567991011121314456267891011121314151617181920213456789101112131415161718192021222334567891011121314151617181920[[#This Row],[Target Quantity]],0)</f>
        <v>4503</v>
      </c>
      <c r="J17" s="40">
        <f t="shared" si="0"/>
        <v>-1257</v>
      </c>
      <c r="K17" s="41">
        <f>'Dec 01'!$F17*'Dec 01'!$I17</f>
        <v>2167248.5572916688</v>
      </c>
      <c r="L17" s="42">
        <f>'Dec 01'!$K17/$K$2</f>
        <v>1.0375130519109051E-2</v>
      </c>
      <c r="M17" s="36"/>
    </row>
    <row r="18" spans="1:15" s="45" customFormat="1" ht="12.75" customHeight="1" x14ac:dyDescent="0.25">
      <c r="A18" s="36" t="s">
        <v>119</v>
      </c>
      <c r="B18" s="36" t="s">
        <v>29</v>
      </c>
      <c r="C18" s="36" t="s">
        <v>30</v>
      </c>
      <c r="D18" s="37">
        <v>5.0000000000000001E-3</v>
      </c>
      <c r="E18" s="38">
        <f>'Dec 01'!$D18*$C$6*$C$2</f>
        <v>1083724.4891550001</v>
      </c>
      <c r="F18" s="38">
        <v>21</v>
      </c>
      <c r="G18" s="39">
        <f>'Dec 01'!$E18/'Dec 01'!$F18</f>
        <v>51605.928055000004</v>
      </c>
      <c r="H18" s="36">
        <v>57228</v>
      </c>
      <c r="I18" s="36">
        <f>ROUND(Table1389584567991011121314456267891011121314151617181920213456789101112131415161718192021222334567891011121314151617181920[[#This Row],[Target Quantity]],0)</f>
        <v>51606</v>
      </c>
      <c r="J18" s="40">
        <f t="shared" si="0"/>
        <v>-5622</v>
      </c>
      <c r="K18" s="41">
        <f>'Dec 01'!$F18*'Dec 01'!$I18</f>
        <v>1083726</v>
      </c>
      <c r="L18" s="42">
        <f>'Dec 01'!$K18/$K$2</f>
        <v>5.1880522236927634E-3</v>
      </c>
      <c r="M18" s="36"/>
    </row>
    <row r="19" spans="1:15" s="45" customFormat="1" ht="12.75" customHeight="1" x14ac:dyDescent="0.25">
      <c r="A19" s="36" t="s">
        <v>119</v>
      </c>
      <c r="B19" s="36" t="s">
        <v>21</v>
      </c>
      <c r="C19" s="36" t="s">
        <v>22</v>
      </c>
      <c r="D19" s="37">
        <v>0.01</v>
      </c>
      <c r="E19" s="38">
        <f>'Dec 01'!$D19*$C$6*$C$2</f>
        <v>2167448.9783100002</v>
      </c>
      <c r="F19" s="38">
        <v>38.160003452690901</v>
      </c>
      <c r="G19" s="39">
        <f>'Dec 01'!$E19/'Dec 01'!$F19</f>
        <v>56798.972279892696</v>
      </c>
      <c r="H19" s="36">
        <v>69511</v>
      </c>
      <c r="I19" s="36">
        <f>ROUND(Table1389584567991011121314456267891011121314151617181920213456789101112131415161718192021222334567891011121314151617181920[[#This Row],[Target Quantity]],0)</f>
        <v>56799</v>
      </c>
      <c r="J19" s="40">
        <f t="shared" si="0"/>
        <v>-12712</v>
      </c>
      <c r="K19" s="41">
        <f>'Dec 01'!$F19*'Dec 01'!$I19</f>
        <v>2167450.0361093907</v>
      </c>
      <c r="L19" s="42">
        <f>'Dec 01'!$K19/$K$2</f>
        <v>1.0376095045777516E-2</v>
      </c>
      <c r="M19" s="36"/>
    </row>
    <row r="20" spans="1:15" s="45" customFormat="1" ht="12.75" customHeight="1" x14ac:dyDescent="0.25">
      <c r="A20" s="36" t="s">
        <v>119</v>
      </c>
      <c r="B20" s="36" t="s">
        <v>37</v>
      </c>
      <c r="C20" s="36" t="s">
        <v>38</v>
      </c>
      <c r="D20" s="37">
        <v>5.0000000000000001E-3</v>
      </c>
      <c r="E20" s="38">
        <f>'Dec 01'!$D20*$C$6*$C$2</f>
        <v>1083724.4891550001</v>
      </c>
      <c r="F20" s="38">
        <v>68.340009291281703</v>
      </c>
      <c r="G20" s="39">
        <f>'Dec 01'!$E20/'Dec 01'!$F20</f>
        <v>15857.833506224784</v>
      </c>
      <c r="H20" s="36">
        <v>19373</v>
      </c>
      <c r="I20" s="36">
        <f>ROUND(Table1389584567991011121314456267891011121314151617181920213456789101112131415161718192021222334567891011121314151617181920[[#This Row],[Target Quantity]],0)</f>
        <v>15858</v>
      </c>
      <c r="J20" s="40">
        <f t="shared" si="0"/>
        <v>-3515</v>
      </c>
      <c r="K20" s="41">
        <f>'Dec 01'!$F20*'Dec 01'!$I20</f>
        <v>1083735.8673411452</v>
      </c>
      <c r="L20" s="42">
        <f>'Dec 01'!$K20/$K$2</f>
        <v>5.1880994609844492E-3</v>
      </c>
      <c r="M20" s="36"/>
    </row>
    <row r="21" spans="1:15" s="45" customFormat="1" ht="12.75" customHeight="1" x14ac:dyDescent="0.25">
      <c r="A21" s="36" t="s">
        <v>119</v>
      </c>
      <c r="B21" s="36" t="s">
        <v>23</v>
      </c>
      <c r="C21" s="36" t="s">
        <v>24</v>
      </c>
      <c r="D21" s="37">
        <v>0.01</v>
      </c>
      <c r="E21" s="38">
        <f>'Dec 01'!$D21*$C$6*$C$2</f>
        <v>2167448.9783100002</v>
      </c>
      <c r="F21" s="38">
        <v>261.61997133301497</v>
      </c>
      <c r="G21" s="39">
        <f>'Dec 01'!$E21/'Dec 01'!$F21</f>
        <v>8284.7229409373467</v>
      </c>
      <c r="H21" s="36">
        <v>10465</v>
      </c>
      <c r="I21" s="36">
        <f>ROUND(Table1389584567991011121314456267891011121314151617181920213456789101112131415161718192021222334567891011121314151617181920[[#This Row],[Target Quantity]],0)</f>
        <v>8285</v>
      </c>
      <c r="J21" s="40">
        <f t="shared" si="0"/>
        <v>-2180</v>
      </c>
      <c r="K21" s="41">
        <f>'Dec 01'!$F21*'Dec 01'!$I21</f>
        <v>2167521.4624940292</v>
      </c>
      <c r="L21" s="42">
        <f>'Dec 01'!$K21/$K$2</f>
        <v>1.0376436980744154E-2</v>
      </c>
      <c r="M21" s="36"/>
    </row>
    <row r="22" spans="1:15" s="45" customFormat="1" ht="12.75" customHeight="1" x14ac:dyDescent="0.25">
      <c r="A22" s="36" t="s">
        <v>119</v>
      </c>
      <c r="B22" s="36" t="s">
        <v>130</v>
      </c>
      <c r="C22" s="36" t="s">
        <v>131</v>
      </c>
      <c r="D22" s="37">
        <v>0</v>
      </c>
      <c r="E22" s="38">
        <f>'Dec 01'!$D22*$C$6*$C$2</f>
        <v>0</v>
      </c>
      <c r="F22" s="38">
        <v>348.30988894764698</v>
      </c>
      <c r="G22" s="39">
        <f>'Dec 01'!$E22/'Dec 01'!$F22</f>
        <v>0</v>
      </c>
      <c r="H22" s="36">
        <v>3782</v>
      </c>
      <c r="I22" s="36">
        <f>ROUND(Table1389584567991011121314456267891011121314151617181920213456789101112131415161718192021222334567891011121314151617181920[[#This Row],[Target Quantity]],0)</f>
        <v>0</v>
      </c>
      <c r="J22" s="40">
        <f t="shared" si="0"/>
        <v>-3782</v>
      </c>
      <c r="K22" s="41">
        <f>'Dec 01'!$F22*'Dec 01'!$I22</f>
        <v>0</v>
      </c>
      <c r="L22" s="42">
        <f>'Dec 01'!$K22/$K$2</f>
        <v>0</v>
      </c>
      <c r="M22" s="36"/>
    </row>
    <row r="23" spans="1:15" s="45" customFormat="1" ht="12.75" customHeight="1" x14ac:dyDescent="0.25">
      <c r="A23" s="36" t="s">
        <v>119</v>
      </c>
      <c r="B23" s="36" t="s">
        <v>15</v>
      </c>
      <c r="C23" s="36" t="s">
        <v>16</v>
      </c>
      <c r="D23" s="37">
        <v>5.0000000000000001E-3</v>
      </c>
      <c r="E23" s="38">
        <f>'Dec 01'!$D23*$C$6*$C$2</f>
        <v>1083724.4891550001</v>
      </c>
      <c r="F23" s="38">
        <v>135.970007021768</v>
      </c>
      <c r="G23" s="39">
        <f>'Dec 01'!$E23/'Dec 01'!$F23</f>
        <v>7970.3201676050676</v>
      </c>
      <c r="H23" s="36">
        <v>9969</v>
      </c>
      <c r="I23" s="36">
        <f>ROUND(Table1389584567991011121314456267891011121314151617181920213456789101112131415161718192021222334567891011121314151617181920[[#This Row],[Target Quantity]],0)</f>
        <v>7970</v>
      </c>
      <c r="J23" s="40">
        <f t="shared" si="0"/>
        <v>-1999</v>
      </c>
      <c r="K23" s="41">
        <f>'Dec 01'!$F23*'Dec 01'!$I23</f>
        <v>1083680.955963491</v>
      </c>
      <c r="L23" s="42">
        <f>'Dec 01'!$K23/$K$2</f>
        <v>5.187836587255348E-3</v>
      </c>
      <c r="M23" s="36"/>
    </row>
    <row r="24" spans="1:15" s="45" customFormat="1" ht="12.75" customHeight="1" x14ac:dyDescent="0.25">
      <c r="A24" s="36" t="s">
        <v>119</v>
      </c>
      <c r="B24" s="36" t="s">
        <v>132</v>
      </c>
      <c r="C24" s="36" t="s">
        <v>133</v>
      </c>
      <c r="D24" s="37">
        <v>0</v>
      </c>
      <c r="E24" s="38">
        <f>'Dec 01'!$D24*$C$6*$C$2</f>
        <v>0</v>
      </c>
      <c r="F24" s="38">
        <v>267.260047039575</v>
      </c>
      <c r="G24" s="39">
        <f>'Dec 01'!$E24/'Dec 01'!$F24</f>
        <v>0</v>
      </c>
      <c r="H24" s="36">
        <v>9779</v>
      </c>
      <c r="I24" s="36">
        <f>ROUND(Table1389584567991011121314456267891011121314151617181920213456789101112131415161718192021222334567891011121314151617181920[[#This Row],[Target Quantity]],0)</f>
        <v>0</v>
      </c>
      <c r="J24" s="40">
        <f t="shared" si="0"/>
        <v>-9779</v>
      </c>
      <c r="K24" s="41">
        <f>'Dec 01'!$F24*'Dec 01'!$I24</f>
        <v>0</v>
      </c>
      <c r="L24" s="42">
        <f>'Dec 01'!$K24/$K$2</f>
        <v>0</v>
      </c>
      <c r="M24" s="36"/>
    </row>
    <row r="25" spans="1:15" s="45" customFormat="1" ht="12.75" customHeight="1" x14ac:dyDescent="0.25">
      <c r="A25" s="36" t="s">
        <v>119</v>
      </c>
      <c r="B25" s="36" t="s">
        <v>134</v>
      </c>
      <c r="C25" s="36" t="s">
        <v>135</v>
      </c>
      <c r="D25" s="37">
        <v>0</v>
      </c>
      <c r="E25" s="38">
        <f>'Dec 01'!$D25*$C$6*$C$2</f>
        <v>0</v>
      </c>
      <c r="F25" s="38">
        <v>77.729977935476199</v>
      </c>
      <c r="G25" s="39">
        <f>'Dec 01'!$E25/'Dec 01'!$F25</f>
        <v>0</v>
      </c>
      <c r="H25" s="36">
        <v>16769</v>
      </c>
      <c r="I25" s="36">
        <f>ROUND(Table1389584567991011121314456267891011121314151617181920213456789101112131415161718192021222334567891011121314151617181920[[#This Row],[Target Quantity]],0)</f>
        <v>0</v>
      </c>
      <c r="J25" s="40">
        <f t="shared" si="0"/>
        <v>-16769</v>
      </c>
      <c r="K25" s="41">
        <f>'Dec 01'!$F25*'Dec 01'!$I25</f>
        <v>0</v>
      </c>
      <c r="L25" s="42">
        <f>'Dec 01'!$K25/$K$2</f>
        <v>0</v>
      </c>
      <c r="M25" s="36"/>
    </row>
    <row r="26" spans="1:15" s="45" customFormat="1" ht="12.75" customHeight="1" x14ac:dyDescent="0.25">
      <c r="A26" s="36" t="s">
        <v>119</v>
      </c>
      <c r="B26" s="36" t="s">
        <v>27</v>
      </c>
      <c r="C26" s="36" t="s">
        <v>28</v>
      </c>
      <c r="D26" s="37">
        <v>0.01</v>
      </c>
      <c r="E26" s="38">
        <f>'Dec 01'!$D26*$C$6*$C$2</f>
        <v>2167448.9783100002</v>
      </c>
      <c r="F26" s="38">
        <v>44.4</v>
      </c>
      <c r="G26" s="39">
        <f>'Dec 01'!$E26/'Dec 01'!$F26</f>
        <v>48816.418430405407</v>
      </c>
      <c r="H26" s="36">
        <v>0</v>
      </c>
      <c r="I26" s="36">
        <f>ROUND(Table1389584567991011121314456267891011121314151617181920213456789101112131415161718192021222334567891011121314151617181920[[#This Row],[Target Quantity]],0)</f>
        <v>48816</v>
      </c>
      <c r="J26" s="40">
        <f t="shared" si="0"/>
        <v>48816</v>
      </c>
      <c r="K26" s="41">
        <f>'Dec 01'!$F26*'Dec 01'!$I26</f>
        <v>2167430.4</v>
      </c>
      <c r="L26" s="42">
        <f>'Dec 01'!$K26/$K$2</f>
        <v>1.0376001043085887E-2</v>
      </c>
      <c r="M26" s="36"/>
    </row>
    <row r="27" spans="1:15" s="45" customFormat="1" ht="12.75" customHeight="1" x14ac:dyDescent="0.25">
      <c r="A27" s="36" t="s">
        <v>119</v>
      </c>
      <c r="B27" s="36" t="s">
        <v>39</v>
      </c>
      <c r="C27" s="36" t="s">
        <v>40</v>
      </c>
      <c r="D27" s="37">
        <v>3.5000000000000003E-2</v>
      </c>
      <c r="E27" s="38">
        <f>'Dec 01'!$D27*$C$6*$C$2</f>
        <v>7586071.4240850015</v>
      </c>
      <c r="F27" s="38">
        <v>301.63</v>
      </c>
      <c r="G27" s="39">
        <f>'Dec 01'!$E27/'Dec 01'!$F27</f>
        <v>25150.255027964729</v>
      </c>
      <c r="H27" s="36">
        <v>0</v>
      </c>
      <c r="I27" s="36">
        <f>ROUND(Table1389584567991011121314456267891011121314151617181920213456789101112131415161718192021222334567891011121314151617181920[[#This Row],[Target Quantity]],0)</f>
        <v>25150</v>
      </c>
      <c r="J27" s="40">
        <f t="shared" si="0"/>
        <v>25150</v>
      </c>
      <c r="K27" s="41">
        <f>'Dec 01'!$F27*'Dec 01'!$I27</f>
        <v>7585994.5</v>
      </c>
      <c r="L27" s="42">
        <f>'Dec 01'!$K27/$K$2</f>
        <v>3.6315946682691079E-2</v>
      </c>
      <c r="M27" s="36"/>
    </row>
    <row r="28" spans="1:15" s="45" customFormat="1" ht="12.75" customHeight="1" x14ac:dyDescent="0.25">
      <c r="A28" s="36" t="s">
        <v>119</v>
      </c>
      <c r="B28" s="45" t="s">
        <v>11</v>
      </c>
      <c r="C28" s="36" t="s">
        <v>12</v>
      </c>
      <c r="D28" s="37">
        <v>0.01</v>
      </c>
      <c r="E28" s="38">
        <f>'Dec 01'!$D28*$C$6*$C$2</f>
        <v>2167448.9783100002</v>
      </c>
      <c r="F28" s="38">
        <v>2.5179041010586198</v>
      </c>
      <c r="G28" s="39">
        <f>'Dec 01'!$E28/'Dec 01'!$F28</f>
        <v>860814.74564449245</v>
      </c>
      <c r="H28" s="36">
        <v>1124100</v>
      </c>
      <c r="I28" s="36">
        <f>ROUND(Table1389584567991011121314456267891011121314151617181920213456789101112131415161718192021222334567891011121314151617181920[[#This Row],[Target Quantity]],-2)</f>
        <v>860800</v>
      </c>
      <c r="J28" s="40">
        <f t="shared" si="0"/>
        <v>-263300</v>
      </c>
      <c r="K28" s="41">
        <f>'Dec 01'!$F28*'Dec 01'!$I28</f>
        <v>2167411.8501912598</v>
      </c>
      <c r="L28" s="42">
        <f>'Dec 01'!$K28/$K$2</f>
        <v>1.037591224077194E-2</v>
      </c>
      <c r="M28" s="36"/>
    </row>
    <row r="29" spans="1:15" s="45" customFormat="1" ht="12.75" customHeight="1" x14ac:dyDescent="0.25">
      <c r="A29" s="36"/>
      <c r="B29" s="36"/>
      <c r="C29" s="36"/>
      <c r="D29" s="37"/>
      <c r="E29" s="38"/>
      <c r="F29" s="38"/>
      <c r="G29" s="39"/>
      <c r="H29" s="36"/>
      <c r="I29" s="36"/>
      <c r="J29" s="46"/>
      <c r="K29" s="38"/>
      <c r="L29" s="47"/>
      <c r="M29" s="36"/>
    </row>
    <row r="30" spans="1:15" s="54" customFormat="1" ht="12.75" customHeight="1" x14ac:dyDescent="0.25">
      <c r="A30" s="48" t="s">
        <v>136</v>
      </c>
      <c r="B30" s="48"/>
      <c r="C30" s="48"/>
      <c r="D30" s="49">
        <f>SUM(D9:D29)</f>
        <v>0.17500000000000002</v>
      </c>
      <c r="E30" s="50">
        <f>'Dec 01'!$D30*$C$6*$C$2</f>
        <v>37930357.120425008</v>
      </c>
      <c r="F30" s="51"/>
      <c r="G30" s="51"/>
      <c r="H30" s="48"/>
      <c r="I30" s="48"/>
      <c r="J30" s="52"/>
      <c r="K30" s="50">
        <f>SUM(K9:K29)</f>
        <v>37929915.832452528</v>
      </c>
      <c r="L30" s="53">
        <f>'Dec 01'!$K30/$K$2</f>
        <v>0.18157946213252674</v>
      </c>
      <c r="M30" s="48"/>
    </row>
    <row r="31" spans="1:15" s="45" customFormat="1" ht="12.75" customHeight="1" x14ac:dyDescent="0.25">
      <c r="A31" s="36"/>
      <c r="B31" s="36"/>
      <c r="C31" s="36"/>
      <c r="D31" s="37"/>
      <c r="E31" s="38"/>
      <c r="F31" s="38"/>
      <c r="G31" s="39"/>
      <c r="H31" s="36"/>
      <c r="I31" s="36"/>
      <c r="J31" s="46"/>
      <c r="K31" s="38"/>
      <c r="L31" s="42"/>
      <c r="M31" s="36"/>
    </row>
    <row r="32" spans="1:15" s="44" customFormat="1" ht="12.75" customHeight="1" x14ac:dyDescent="0.25">
      <c r="A32" s="55"/>
      <c r="B32" s="48" t="s">
        <v>31</v>
      </c>
      <c r="C32" s="55" t="s">
        <v>32</v>
      </c>
      <c r="D32" s="56">
        <v>0.02</v>
      </c>
      <c r="E32" s="57">
        <f>'Dec 01'!$D32*$C$6*$C$2</f>
        <v>4334897.9566200003</v>
      </c>
      <c r="F32" s="51">
        <v>17.119999091260201</v>
      </c>
      <c r="G32" s="58">
        <f>'Dec 01'!$E32/'Dec 01'!$F32</f>
        <v>253206.66978498705</v>
      </c>
      <c r="H32" s="55">
        <v>264102</v>
      </c>
      <c r="I32" s="55">
        <f>ROUND(Table1389584567991011121314456267891011121314151617181920213456789101112131415161718192021222334567891011121314151617181920[[#This Row],[Target Quantity]],0)</f>
        <v>253207</v>
      </c>
      <c r="J32" s="59">
        <f>I32-H32</f>
        <v>-10895</v>
      </c>
      <c r="K32" s="60">
        <f>'Dec 01'!$F32*'Dec 01'!$I32</f>
        <v>4334903.6099007213</v>
      </c>
      <c r="L32" s="53">
        <f>'Dec 01'!$K32/$K$2</f>
        <v>2.0752207027273706E-2</v>
      </c>
      <c r="M32" s="48"/>
      <c r="O32" s="61"/>
    </row>
    <row r="33" spans="1:15" s="44" customFormat="1" ht="12.75" customHeight="1" x14ac:dyDescent="0.25">
      <c r="A33" s="36"/>
      <c r="B33" s="36"/>
      <c r="C33" s="36"/>
      <c r="D33" s="37"/>
      <c r="E33" s="38"/>
      <c r="F33" s="38"/>
      <c r="G33" s="39"/>
      <c r="H33" s="36"/>
      <c r="I33" s="36"/>
      <c r="J33" s="46"/>
      <c r="K33" s="41"/>
      <c r="L33" s="42"/>
      <c r="M33" s="36"/>
      <c r="O33" s="61"/>
    </row>
    <row r="34" spans="1:15" s="4" customFormat="1" ht="25.5" x14ac:dyDescent="0.2">
      <c r="A34" s="36" t="s">
        <v>137</v>
      </c>
      <c r="B34" s="62" t="s">
        <v>75</v>
      </c>
      <c r="C34" s="63" t="s">
        <v>76</v>
      </c>
      <c r="D34" s="37">
        <v>2.9499999999999998E-2</v>
      </c>
      <c r="E34" s="38">
        <f>'Dec 01'!$D34*$C$6*$C$2</f>
        <v>6393974.4860145003</v>
      </c>
      <c r="F34" s="38">
        <v>156879.02380952399</v>
      </c>
      <c r="G34" s="39">
        <f>'Dec 01'!$E34/'Dec 01'!$F34</f>
        <v>40.757357680768074</v>
      </c>
      <c r="H34" s="36">
        <v>42</v>
      </c>
      <c r="I34" s="36">
        <f>ROUND(Table1389584567991011121314456267891011121314151617181920213456789101112131415161718192021222334567891011121314151617181920[[#This Row],[Target Quantity]],0)</f>
        <v>41</v>
      </c>
      <c r="J34" s="40">
        <f t="shared" ref="J34:J43" si="1">I34-H34</f>
        <v>-1</v>
      </c>
      <c r="K34" s="41">
        <f>'Dec 01'!$F34*'Dec 01'!$I34</f>
        <v>6432039.9761904832</v>
      </c>
      <c r="L34" s="42">
        <f>'Dec 01'!$K34/$K$2</f>
        <v>3.079169393495753E-2</v>
      </c>
      <c r="M34" s="64"/>
    </row>
    <row r="35" spans="1:15" s="4" customFormat="1" ht="25.5" x14ac:dyDescent="0.2">
      <c r="A35" s="36" t="s">
        <v>137</v>
      </c>
      <c r="B35" s="62" t="s">
        <v>80</v>
      </c>
      <c r="C35" s="63" t="s">
        <v>81</v>
      </c>
      <c r="D35" s="37">
        <v>2.9499999999999998E-2</v>
      </c>
      <c r="E35" s="38">
        <f>'Dec 01'!$D35*$C$6*$C$2</f>
        <v>6393974.4860145003</v>
      </c>
      <c r="F35" s="38">
        <v>215131.25806451601</v>
      </c>
      <c r="G35" s="39">
        <f>'Dec 01'!$E35/'Dec 01'!$F35</f>
        <v>29.721271299854539</v>
      </c>
      <c r="H35" s="36">
        <v>31</v>
      </c>
      <c r="I35" s="36">
        <f>ROUND(Table1389584567991011121314456267891011121314151617181920213456789101112131415161718192021222334567891011121314151617181920[[#This Row],[Target Quantity]],0)</f>
        <v>30</v>
      </c>
      <c r="J35" s="40">
        <f t="shared" si="1"/>
        <v>-1</v>
      </c>
      <c r="K35" s="41">
        <f>'Dec 01'!$F35*'Dec 01'!$I35</f>
        <v>6453937.7419354804</v>
      </c>
      <c r="L35" s="42">
        <f>'Dec 01'!$K35/$K$2</f>
        <v>3.0896523709519768E-2</v>
      </c>
      <c r="M35" s="64"/>
    </row>
    <row r="36" spans="1:15" s="4" customFormat="1" ht="25.5" x14ac:dyDescent="0.2">
      <c r="A36" s="36" t="s">
        <v>137</v>
      </c>
      <c r="B36" s="62" t="s">
        <v>82</v>
      </c>
      <c r="C36" s="63" t="s">
        <v>83</v>
      </c>
      <c r="D36" s="37">
        <v>2.9499999999999998E-2</v>
      </c>
      <c r="E36" s="38">
        <f>'Dec 01'!$D36*$C$6*$C$2</f>
        <v>6393974.4860145003</v>
      </c>
      <c r="F36" s="38">
        <v>174416.684210526</v>
      </c>
      <c r="G36" s="39">
        <f>'Dec 01'!$E36/'Dec 01'!$F36</f>
        <v>36.659190690133677</v>
      </c>
      <c r="H36" s="36">
        <v>38</v>
      </c>
      <c r="I36" s="36">
        <f>ROUND(Table1389584567991011121314456267891011121314151617181920213456789101112131415161718192021222334567891011121314151617181920[[#This Row],[Target Quantity]],0)</f>
        <v>37</v>
      </c>
      <c r="J36" s="40">
        <f t="shared" si="1"/>
        <v>-1</v>
      </c>
      <c r="K36" s="41">
        <f>'Dec 01'!$F36*'Dec 01'!$I36</f>
        <v>6453417.3157894621</v>
      </c>
      <c r="L36" s="42">
        <f>'Dec 01'!$K36/$K$2</f>
        <v>3.0894032306689054E-2</v>
      </c>
      <c r="M36" s="64"/>
    </row>
    <row r="37" spans="1:15" s="4" customFormat="1" ht="25.5" x14ac:dyDescent="0.2">
      <c r="A37" s="36" t="s">
        <v>137</v>
      </c>
      <c r="B37" s="62" t="s">
        <v>84</v>
      </c>
      <c r="C37" s="63" t="s">
        <v>85</v>
      </c>
      <c r="D37" s="37">
        <v>2.9499999999999998E-2</v>
      </c>
      <c r="E37" s="38">
        <f>'Dec 01'!$D37*$C$6*$C$2</f>
        <v>6393974.4860145003</v>
      </c>
      <c r="F37" s="38">
        <v>125981.566037736</v>
      </c>
      <c r="G37" s="39">
        <f>'Dec 01'!$E37/'Dec 01'!$F37</f>
        <v>50.753254520580221</v>
      </c>
      <c r="H37" s="36">
        <v>53</v>
      </c>
      <c r="I37" s="36">
        <f>ROUND(Table1389584567991011121314456267891011121314151617181920213456789101112131415161718192021222334567891011121314151617181920[[#This Row],[Target Quantity]],0)</f>
        <v>51</v>
      </c>
      <c r="J37" s="40">
        <f t="shared" si="1"/>
        <v>-2</v>
      </c>
      <c r="K37" s="41">
        <f>'Dec 01'!$F37*'Dec 01'!$I37</f>
        <v>6425059.8679245366</v>
      </c>
      <c r="L37" s="42">
        <f>'Dec 01'!$K37/$K$2</f>
        <v>3.0758278508723629E-2</v>
      </c>
      <c r="M37" s="64"/>
    </row>
    <row r="38" spans="1:15" s="4" customFormat="1" ht="25.5" x14ac:dyDescent="0.2">
      <c r="A38" s="36" t="s">
        <v>137</v>
      </c>
      <c r="B38" s="62" t="s">
        <v>86</v>
      </c>
      <c r="C38" s="63" t="s">
        <v>87</v>
      </c>
      <c r="D38" s="37">
        <v>2.9499999999999998E-2</v>
      </c>
      <c r="E38" s="38">
        <f>'Dec 01'!$D38*$C$6*$C$2</f>
        <v>6393974.4860145003</v>
      </c>
      <c r="F38" s="38">
        <v>138062.5</v>
      </c>
      <c r="G38" s="39">
        <f>'Dec 01'!$E38/'Dec 01'!$F38</f>
        <v>46.312173733015847</v>
      </c>
      <c r="H38" s="36">
        <v>48</v>
      </c>
      <c r="I38" s="36">
        <f>ROUND(Table1389584567991011121314456267891011121314151617181920213456789101112131415161718192021222334567891011121314151617181920[[#This Row],[Target Quantity]],0)</f>
        <v>46</v>
      </c>
      <c r="J38" s="40">
        <f t="shared" si="1"/>
        <v>-2</v>
      </c>
      <c r="K38" s="41">
        <f>'Dec 01'!$F38*'Dec 01'!$I38</f>
        <v>6350875</v>
      </c>
      <c r="L38" s="42">
        <f>'Dec 01'!$K38/$K$2</f>
        <v>3.0403138031333359E-2</v>
      </c>
      <c r="M38" s="64"/>
    </row>
    <row r="39" spans="1:15" s="4" customFormat="1" ht="25.5" x14ac:dyDescent="0.2">
      <c r="A39" s="36" t="s">
        <v>137</v>
      </c>
      <c r="B39" s="62" t="s">
        <v>92</v>
      </c>
      <c r="C39" s="63" t="s">
        <v>93</v>
      </c>
      <c r="D39" s="37">
        <v>2.9499999999999998E-2</v>
      </c>
      <c r="E39" s="38">
        <f>'Dec 01'!$D39*$C$6*$C$2</f>
        <v>6393974.4860145003</v>
      </c>
      <c r="F39" s="38">
        <v>220844.23333333299</v>
      </c>
      <c r="G39" s="39">
        <f>'Dec 01'!$E39/'Dec 01'!$F39</f>
        <v>28.952417681487315</v>
      </c>
      <c r="H39" s="36">
        <v>30</v>
      </c>
      <c r="I39" s="36">
        <f>ROUND(Table1389584567991011121314456267891011121314151617181920213456789101112131415161718192021222334567891011121314151617181920[[#This Row],[Target Quantity]],0)</f>
        <v>29</v>
      </c>
      <c r="J39" s="40">
        <f t="shared" si="1"/>
        <v>-1</v>
      </c>
      <c r="K39" s="41">
        <f>'Dec 01'!$F39*'Dec 01'!$I39</f>
        <v>6404482.7666666564</v>
      </c>
      <c r="L39" s="42">
        <f>'Dec 01'!$K39/$K$2</f>
        <v>3.0659771066862775E-2</v>
      </c>
      <c r="M39" s="64"/>
    </row>
    <row r="40" spans="1:15" s="44" customFormat="1" ht="25.5" customHeight="1" x14ac:dyDescent="0.2">
      <c r="A40" s="36" t="s">
        <v>138</v>
      </c>
      <c r="B40" s="36" t="s">
        <v>54</v>
      </c>
      <c r="C40" s="36" t="s">
        <v>55</v>
      </c>
      <c r="D40" s="37">
        <v>2.9499999999999998E-2</v>
      </c>
      <c r="E40" s="38">
        <f>'Dec 01'!$D40*$C$6*$C$2</f>
        <v>6393974.4860145003</v>
      </c>
      <c r="F40" s="38">
        <v>114619.551724138</v>
      </c>
      <c r="G40" s="39">
        <f>'Dec 01'!$E40/'Dec 01'!$F40</f>
        <v>55.784326407097424</v>
      </c>
      <c r="H40" s="36">
        <v>58</v>
      </c>
      <c r="I40" s="36">
        <f>ROUND(Table1389584567991011121314456267891011121314151617181920213456789101112131415161718192021222334567891011121314151617181920[[#This Row],[Target Quantity]],0)</f>
        <v>56</v>
      </c>
      <c r="J40" s="40">
        <f t="shared" si="1"/>
        <v>-2</v>
      </c>
      <c r="K40" s="41">
        <f>'Dec 01'!$F40*'Dec 01'!$I40</f>
        <v>6418694.8965517282</v>
      </c>
      <c r="L40" s="42">
        <f>'Dec 01'!$K40/$K$2</f>
        <v>3.0727807888027588E-2</v>
      </c>
      <c r="M40" s="43"/>
      <c r="O40" s="4"/>
    </row>
    <row r="41" spans="1:15" s="44" customFormat="1" ht="25.5" x14ac:dyDescent="0.2">
      <c r="A41" s="36" t="s">
        <v>138</v>
      </c>
      <c r="B41" s="36" t="s">
        <v>139</v>
      </c>
      <c r="C41" s="36" t="s">
        <v>53</v>
      </c>
      <c r="D41" s="37">
        <v>2.9499999999999998E-2</v>
      </c>
      <c r="E41" s="38">
        <f>'Dec 01'!$D41*$C$6*$C$2</f>
        <v>6393974.4860145003</v>
      </c>
      <c r="F41" s="38">
        <v>136471.65306122499</v>
      </c>
      <c r="G41" s="39">
        <f>'Dec 01'!$E41/'Dec 01'!$F41</f>
        <v>46.85203368311209</v>
      </c>
      <c r="H41" s="36">
        <v>49</v>
      </c>
      <c r="I41" s="36">
        <f>ROUND(Table1389584567991011121314456267891011121314151617181920213456789101112131415161718192021222334567891011121314151617181920[[#This Row],[Target Quantity]],0)</f>
        <v>47</v>
      </c>
      <c r="J41" s="40">
        <f t="shared" si="1"/>
        <v>-2</v>
      </c>
      <c r="K41" s="41">
        <f>'Dec 01'!$F41*'Dec 01'!$I41</f>
        <v>6414167.693877575</v>
      </c>
      <c r="L41" s="42">
        <f>'Dec 01'!$K41/$K$2</f>
        <v>3.0706135099978993E-2</v>
      </c>
      <c r="M41" s="43"/>
      <c r="O41" s="4"/>
    </row>
    <row r="42" spans="1:15" s="44" customFormat="1" ht="25.5" x14ac:dyDescent="0.2">
      <c r="A42" s="36" t="s">
        <v>138</v>
      </c>
      <c r="B42" s="36" t="s">
        <v>140</v>
      </c>
      <c r="C42" s="36" t="s">
        <v>49</v>
      </c>
      <c r="D42" s="37">
        <v>2.9499999999999998E-2</v>
      </c>
      <c r="E42" s="38">
        <f>'Dec 01'!$D42*$C$6*$C$2</f>
        <v>6393974.4860145003</v>
      </c>
      <c r="F42" s="38">
        <v>180612.97297297299</v>
      </c>
      <c r="G42" s="39">
        <f>'Dec 01'!$E42/'Dec 01'!$F42</f>
        <v>35.401523936884075</v>
      </c>
      <c r="H42" s="36">
        <v>37</v>
      </c>
      <c r="I42" s="36">
        <f>ROUND(Table1389584567991011121314456267891011121314151617181920213456789101112131415161718192021222334567891011121314151617181920[[#This Row],[Target Quantity]],0)</f>
        <v>35</v>
      </c>
      <c r="J42" s="40">
        <f t="shared" si="1"/>
        <v>-2</v>
      </c>
      <c r="K42" s="41">
        <f>'Dec 01'!$F42*'Dec 01'!$I42</f>
        <v>6321454.0540540544</v>
      </c>
      <c r="L42" s="42">
        <f>'Dec 01'!$K42/$K$2</f>
        <v>3.02622930169681E-2</v>
      </c>
      <c r="M42" s="43"/>
      <c r="O42" s="4"/>
    </row>
    <row r="43" spans="1:15" s="44" customFormat="1" ht="25.5" x14ac:dyDescent="0.2">
      <c r="A43" s="36" t="s">
        <v>138</v>
      </c>
      <c r="B43" s="36" t="s">
        <v>141</v>
      </c>
      <c r="C43" s="36" t="s">
        <v>59</v>
      </c>
      <c r="D43" s="37">
        <v>2.9499999999999998E-2</v>
      </c>
      <c r="E43" s="38">
        <f>'Dec 01'!$D43*$C$6*$C$2</f>
        <v>6393974.4860145003</v>
      </c>
      <c r="F43" s="38">
        <v>270508.40000000002</v>
      </c>
      <c r="G43" s="39">
        <f>'Dec 01'!$E43/'Dec 01'!$F43</f>
        <v>23.636879616361266</v>
      </c>
      <c r="H43" s="36">
        <v>25</v>
      </c>
      <c r="I43" s="36">
        <f>ROUND(Table1389584567991011121314456267891011121314151617181920213456789101112131415161718192021222334567891011121314151617181920[[#This Row],[Target Quantity]],0)</f>
        <v>24</v>
      </c>
      <c r="J43" s="40">
        <f t="shared" si="1"/>
        <v>-1</v>
      </c>
      <c r="K43" s="41">
        <f>'Dec 01'!$F43*'Dec 01'!$I43</f>
        <v>6492201.6000000006</v>
      </c>
      <c r="L43" s="42">
        <f>'Dec 01'!$K43/$K$2</f>
        <v>3.107970183195911E-2</v>
      </c>
      <c r="M43" s="43"/>
      <c r="O43" s="4"/>
    </row>
    <row r="44" spans="1:15" s="66" customFormat="1" ht="12.75" x14ac:dyDescent="0.2">
      <c r="A44" s="36"/>
      <c r="B44" s="63"/>
      <c r="C44" s="63"/>
      <c r="D44" s="37"/>
      <c r="E44" s="65"/>
      <c r="F44" s="38"/>
      <c r="G44" s="39"/>
      <c r="H44" s="36"/>
      <c r="I44" s="36"/>
      <c r="J44" s="46"/>
      <c r="K44" s="38"/>
      <c r="L44" s="47"/>
      <c r="M44" s="64"/>
    </row>
    <row r="45" spans="1:15" s="17" customFormat="1" ht="12.75" x14ac:dyDescent="0.2">
      <c r="A45" s="48" t="s">
        <v>142</v>
      </c>
      <c r="B45" s="67"/>
      <c r="C45" s="67"/>
      <c r="D45" s="56">
        <f>SUBTOTAL(9,D34:D44)</f>
        <v>0.29499999999999993</v>
      </c>
      <c r="E45" s="68">
        <f>'Dec 01'!$D45*$C$6*$C$2</f>
        <v>63939744.860144988</v>
      </c>
      <c r="F45" s="69"/>
      <c r="G45" s="70"/>
      <c r="H45" s="55"/>
      <c r="I45" s="55"/>
      <c r="J45" s="59"/>
      <c r="K45" s="68">
        <f>SUM(K34:K44)</f>
        <v>64166330.912989981</v>
      </c>
      <c r="L45" s="71">
        <f>'Dec 01'!$K45/$K$2</f>
        <v>0.30717937539501994</v>
      </c>
      <c r="M45" s="72"/>
    </row>
    <row r="46" spans="1:15" s="66" customFormat="1" ht="12.75" x14ac:dyDescent="0.2">
      <c r="A46" s="36"/>
      <c r="B46" s="63"/>
      <c r="C46" s="63"/>
      <c r="D46" s="37"/>
      <c r="E46" s="65"/>
      <c r="F46" s="38"/>
      <c r="G46" s="39"/>
      <c r="H46" s="36"/>
      <c r="I46" s="36"/>
      <c r="J46" s="46"/>
      <c r="K46" s="38"/>
      <c r="L46" s="42"/>
      <c r="M46" s="64"/>
    </row>
    <row r="47" spans="1:15" s="4" customFormat="1" ht="24.75" customHeight="1" x14ac:dyDescent="0.2">
      <c r="A47" s="36" t="s">
        <v>137</v>
      </c>
      <c r="B47" s="63" t="s">
        <v>143</v>
      </c>
      <c r="C47" s="63" t="s">
        <v>144</v>
      </c>
      <c r="D47" s="37">
        <v>0.1</v>
      </c>
      <c r="E47" s="38">
        <f>'Dec 01'!$D47*$C$6*$C$2</f>
        <v>21674489.783100002</v>
      </c>
      <c r="F47" s="38">
        <v>416340.375</v>
      </c>
      <c r="G47" s="39">
        <f>'Dec 01'!$E47/'Dec 01'!$F47</f>
        <v>52.059543307804347</v>
      </c>
      <c r="H47" s="36">
        <v>48</v>
      </c>
      <c r="I47" s="36">
        <v>48</v>
      </c>
      <c r="J47" s="40">
        <f>I47-H47</f>
        <v>0</v>
      </c>
      <c r="K47" s="41">
        <f>'Dec 01'!$F47*'Dec 01'!$I47</f>
        <v>19984338</v>
      </c>
      <c r="L47" s="42">
        <f>'Dec 01'!$K47/$K$2</f>
        <v>9.5669744197267384E-2</v>
      </c>
      <c r="M47" s="64"/>
    </row>
    <row r="48" spans="1:15" s="44" customFormat="1" ht="25.5" x14ac:dyDescent="0.25">
      <c r="A48" s="36" t="s">
        <v>138</v>
      </c>
      <c r="B48" s="36" t="s">
        <v>145</v>
      </c>
      <c r="C48" s="36" t="s">
        <v>146</v>
      </c>
      <c r="D48" s="37">
        <v>0.1</v>
      </c>
      <c r="E48" s="38">
        <f>'Dec 01'!$D48*$C$6*$C$2</f>
        <v>21674489.783100002</v>
      </c>
      <c r="F48" s="38">
        <v>249368.75</v>
      </c>
      <c r="G48" s="39">
        <f>'Dec 01'!$E48/'Dec 01'!$F48</f>
        <v>86.917425632121109</v>
      </c>
      <c r="H48" s="36">
        <v>80</v>
      </c>
      <c r="I48" s="36">
        <v>80</v>
      </c>
      <c r="J48" s="40">
        <f>I48-H48</f>
        <v>0</v>
      </c>
      <c r="K48" s="41">
        <f>'Dec 01'!$F48*'Dec 01'!$I48</f>
        <v>19949500</v>
      </c>
      <c r="L48" s="42">
        <f>'Dec 01'!$K48/$K$2</f>
        <v>9.5502966466208969E-2</v>
      </c>
      <c r="M48" s="43"/>
    </row>
    <row r="49" spans="1:16" s="44" customFormat="1" ht="25.5" x14ac:dyDescent="0.25">
      <c r="A49" s="36" t="s">
        <v>138</v>
      </c>
      <c r="B49" s="36" t="s">
        <v>147</v>
      </c>
      <c r="C49" s="36" t="s">
        <v>148</v>
      </c>
      <c r="D49" s="37">
        <v>0.1</v>
      </c>
      <c r="E49" s="38">
        <f>'Dec 01'!$D49*$C$6*$C$2</f>
        <v>21674489.783100002</v>
      </c>
      <c r="F49" s="38">
        <v>416341.64583333302</v>
      </c>
      <c r="G49" s="39">
        <f>'Dec 01'!$E49/'Dec 01'!$F49</f>
        <v>52.059384402243012</v>
      </c>
      <c r="H49" s="36">
        <v>48</v>
      </c>
      <c r="I49" s="36">
        <v>48</v>
      </c>
      <c r="J49" s="40">
        <f>I49-H49</f>
        <v>0</v>
      </c>
      <c r="K49" s="41">
        <f>'Dec 01'!$F49*'Dec 01'!$I49</f>
        <v>19984398.999999985</v>
      </c>
      <c r="L49" s="42">
        <f>'Dec 01'!$K49/$K$2</f>
        <v>9.5670036218669069E-2</v>
      </c>
      <c r="M49" s="43"/>
    </row>
    <row r="50" spans="1:16" s="44" customFormat="1" ht="25.5" x14ac:dyDescent="0.25">
      <c r="A50" s="36" t="s">
        <v>138</v>
      </c>
      <c r="B50" s="36" t="s">
        <v>149</v>
      </c>
      <c r="C50" s="36" t="s">
        <v>150</v>
      </c>
      <c r="D50" s="37">
        <v>0.1</v>
      </c>
      <c r="E50" s="38">
        <f>'Dec 01'!$D50*$C$6*$C$2</f>
        <v>21674489.783100002</v>
      </c>
      <c r="F50" s="38">
        <v>249790.02499999999</v>
      </c>
      <c r="G50" s="39">
        <f>'Dec 01'!$E50/'Dec 01'!$F50</f>
        <v>86.770837959201941</v>
      </c>
      <c r="H50" s="36">
        <v>80</v>
      </c>
      <c r="I50" s="36">
        <v>80</v>
      </c>
      <c r="J50" s="40">
        <f>I50-H50</f>
        <v>0</v>
      </c>
      <c r="K50" s="41">
        <f>'Dec 01'!$F50*'Dec 01'!$I50</f>
        <v>19983202</v>
      </c>
      <c r="L50" s="42">
        <f>'Dec 01'!$K50/$K$2</f>
        <v>9.5664305897064081E-2</v>
      </c>
      <c r="M50" s="43"/>
    </row>
    <row r="51" spans="1:16" s="44" customFormat="1" ht="25.5" x14ac:dyDescent="0.25">
      <c r="A51" s="36" t="s">
        <v>138</v>
      </c>
      <c r="B51" s="36" t="s">
        <v>151</v>
      </c>
      <c r="C51" s="36" t="s">
        <v>152</v>
      </c>
      <c r="D51" s="37">
        <v>0.1</v>
      </c>
      <c r="E51" s="38">
        <f>'Dec 01'!$D51*$C$6*$C$2</f>
        <v>21674489.783100002</v>
      </c>
      <c r="F51" s="38">
        <v>166838.86065573801</v>
      </c>
      <c r="G51" s="39">
        <f>'Dec 01'!$E51/'Dec 01'!$F51</f>
        <v>129.91271756418914</v>
      </c>
      <c r="H51" s="36">
        <v>122</v>
      </c>
      <c r="I51" s="36">
        <v>122</v>
      </c>
      <c r="J51" s="40">
        <f>I51-H51</f>
        <v>0</v>
      </c>
      <c r="K51" s="41">
        <f>'Dec 01'!$F51*'Dec 01'!$I51</f>
        <v>20354341.000000037</v>
      </c>
      <c r="L51" s="42">
        <f>'Dec 01'!$K51/$K$2</f>
        <v>9.7441035913921947E-2</v>
      </c>
      <c r="M51" s="43"/>
    </row>
    <row r="52" spans="1:16" s="45" customFormat="1" ht="12.75" x14ac:dyDescent="0.25">
      <c r="A52" s="36"/>
      <c r="B52" s="36"/>
      <c r="C52" s="36"/>
      <c r="D52" s="37"/>
      <c r="E52" s="38"/>
      <c r="F52" s="38"/>
      <c r="G52" s="39"/>
      <c r="H52" s="36"/>
      <c r="I52" s="36"/>
      <c r="J52" s="46"/>
      <c r="K52" s="38"/>
      <c r="L52" s="42"/>
      <c r="M52" s="36"/>
    </row>
    <row r="53" spans="1:16" s="54" customFormat="1" ht="25.5" x14ac:dyDescent="0.25">
      <c r="A53" s="48" t="s">
        <v>153</v>
      </c>
      <c r="B53" s="48"/>
      <c r="C53" s="48"/>
      <c r="D53" s="56">
        <f>SUBTOTAL(9,D47:D52)</f>
        <v>0.5</v>
      </c>
      <c r="E53" s="50">
        <f>'Dec 01'!$D53*$C$6*$C$2</f>
        <v>108372448.9155</v>
      </c>
      <c r="F53" s="70"/>
      <c r="G53" s="70"/>
      <c r="H53" s="55"/>
      <c r="I53" s="55"/>
      <c r="J53" s="59"/>
      <c r="K53" s="50">
        <f>SUM(K47:K52)</f>
        <v>100255780.00000003</v>
      </c>
      <c r="L53" s="73">
        <f>'Dec 01'!$K53/$K$2</f>
        <v>0.47994808869313149</v>
      </c>
      <c r="M53" s="48"/>
    </row>
    <row r="54" spans="1:16" s="45" customFormat="1" ht="12.75" x14ac:dyDescent="0.25">
      <c r="A54" s="36"/>
      <c r="B54" s="36"/>
      <c r="C54" s="36"/>
      <c r="D54" s="37"/>
      <c r="E54" s="38"/>
      <c r="F54" s="38"/>
      <c r="G54" s="39"/>
      <c r="H54" s="36"/>
      <c r="I54" s="36"/>
      <c r="J54" s="46"/>
      <c r="K54" s="38"/>
      <c r="L54" s="42"/>
      <c r="M54" s="36"/>
    </row>
    <row r="55" spans="1:16" s="44" customFormat="1" ht="12.75" x14ac:dyDescent="0.25">
      <c r="A55" s="36"/>
      <c r="B55" s="36"/>
      <c r="C55" s="36"/>
      <c r="D55" s="37"/>
      <c r="E55" s="38"/>
      <c r="F55" s="38"/>
      <c r="G55" s="74"/>
      <c r="H55" s="36"/>
      <c r="I55" s="36"/>
      <c r="J55" s="40"/>
      <c r="K55" s="41"/>
      <c r="L55" s="42"/>
      <c r="M55" s="43"/>
    </row>
    <row r="56" spans="1:16" s="44" customFormat="1" ht="25.5" x14ac:dyDescent="0.25">
      <c r="A56" s="36" t="s">
        <v>154</v>
      </c>
      <c r="B56" s="36" t="s">
        <v>155</v>
      </c>
      <c r="C56" s="36" t="s">
        <v>46</v>
      </c>
      <c r="D56" s="37">
        <v>1E-3</v>
      </c>
      <c r="E56" s="38">
        <f>'Dec 01'!$D56*$C$6*$C$2</f>
        <v>216744.89783100001</v>
      </c>
      <c r="F56" s="38">
        <v>51363.5</v>
      </c>
      <c r="G56" s="74">
        <f>'Dec 01'!$E56/'Dec 01'!$F56</f>
        <v>4.2198233732319643</v>
      </c>
      <c r="H56" s="36">
        <v>4</v>
      </c>
      <c r="I56" s="36">
        <v>4</v>
      </c>
      <c r="J56" s="40">
        <f t="shared" ref="J56:J66" si="2">I56-H56</f>
        <v>0</v>
      </c>
      <c r="K56" s="41">
        <f>'Dec 01'!$F56*'Dec 01'!$I56</f>
        <v>205454</v>
      </c>
      <c r="L56" s="42">
        <f>'Dec 01'!$K56/$K$2</f>
        <v>9.835568045489108E-4</v>
      </c>
      <c r="M56" s="43"/>
    </row>
    <row r="57" spans="1:16" s="44" customFormat="1" ht="25.5" x14ac:dyDescent="0.25">
      <c r="A57" s="36" t="s">
        <v>154</v>
      </c>
      <c r="B57" s="36" t="s">
        <v>156</v>
      </c>
      <c r="C57" s="36" t="s">
        <v>61</v>
      </c>
      <c r="D57" s="37">
        <v>1E-3</v>
      </c>
      <c r="E57" s="38">
        <f>'Dec 01'!$D57*$C$6*$C$2</f>
        <v>216744.89783100001</v>
      </c>
      <c r="F57" s="38">
        <v>86821.333333333299</v>
      </c>
      <c r="G57" s="74">
        <f>'Dec 01'!$E57/'Dec 01'!$F57</f>
        <v>2.4964474687212062</v>
      </c>
      <c r="H57" s="36">
        <v>3</v>
      </c>
      <c r="I57" s="36">
        <v>3</v>
      </c>
      <c r="J57" s="40">
        <f t="shared" si="2"/>
        <v>0</v>
      </c>
      <c r="K57" s="41">
        <f>'Dec 01'!$F57*'Dec 01'!$I57</f>
        <v>260463.99999999988</v>
      </c>
      <c r="L57" s="42">
        <f>'Dec 01'!$K57/$K$2</f>
        <v>1.2469026621045461E-3</v>
      </c>
      <c r="M57" s="43"/>
      <c r="P57" s="44" t="s">
        <v>157</v>
      </c>
    </row>
    <row r="58" spans="1:16" s="44" customFormat="1" ht="25.5" x14ac:dyDescent="0.25">
      <c r="A58" s="36" t="s">
        <v>154</v>
      </c>
      <c r="B58" s="36" t="s">
        <v>158</v>
      </c>
      <c r="C58" s="36" t="s">
        <v>69</v>
      </c>
      <c r="D58" s="37">
        <v>1E-3</v>
      </c>
      <c r="E58" s="38">
        <f>'Dec 01'!$D58*$C$6*$C$2</f>
        <v>216744.89783100001</v>
      </c>
      <c r="F58" s="38">
        <v>96377</v>
      </c>
      <c r="G58" s="74">
        <f>'Dec 01'!$E58/'Dec 01'!$F58</f>
        <v>2.2489276262074975</v>
      </c>
      <c r="H58" s="36">
        <v>2</v>
      </c>
      <c r="I58" s="36">
        <v>2</v>
      </c>
      <c r="J58" s="40">
        <f t="shared" si="2"/>
        <v>0</v>
      </c>
      <c r="K58" s="41">
        <f>'Dec 01'!$F58*'Dec 01'!$I58</f>
        <v>192754</v>
      </c>
      <c r="L58" s="42">
        <f>'Dec 01'!$K58/$K$2</f>
        <v>9.2275890614940939E-4</v>
      </c>
      <c r="M58" s="43"/>
    </row>
    <row r="59" spans="1:16" s="44" customFormat="1" ht="25.5" x14ac:dyDescent="0.25">
      <c r="A59" s="36" t="s">
        <v>154</v>
      </c>
      <c r="B59" s="36" t="s">
        <v>70</v>
      </c>
      <c r="C59" s="36" t="s">
        <v>71</v>
      </c>
      <c r="D59" s="37">
        <v>1E-3</v>
      </c>
      <c r="E59" s="38">
        <f>'Dec 01'!$D59*$C$6*$C$2</f>
        <v>216744.89783100001</v>
      </c>
      <c r="F59" s="38">
        <v>241007</v>
      </c>
      <c r="G59" s="74">
        <f>'Dec 01'!$E59/'Dec 01'!$F59</f>
        <v>0.89933030090827237</v>
      </c>
      <c r="H59" s="36">
        <v>1</v>
      </c>
      <c r="I59" s="36">
        <v>1</v>
      </c>
      <c r="J59" s="40">
        <f t="shared" si="2"/>
        <v>0</v>
      </c>
      <c r="K59" s="41">
        <f>'Dec 01'!$F59*'Dec 01'!$I59</f>
        <v>241007</v>
      </c>
      <c r="L59" s="42">
        <f>'Dec 01'!$K59/$K$2</f>
        <v>1.1537574094148536E-3</v>
      </c>
      <c r="M59" s="43"/>
    </row>
    <row r="60" spans="1:16" s="44" customFormat="1" ht="25.5" x14ac:dyDescent="0.25">
      <c r="A60" s="36" t="s">
        <v>154</v>
      </c>
      <c r="B60" s="36" t="s">
        <v>159</v>
      </c>
      <c r="C60" s="36" t="s">
        <v>73</v>
      </c>
      <c r="D60" s="37">
        <v>1E-3</v>
      </c>
      <c r="E60" s="38">
        <f>'Dec 01'!$D60*$C$6*$C$2</f>
        <v>216744.89783100001</v>
      </c>
      <c r="F60" s="38">
        <v>13070</v>
      </c>
      <c r="G60" s="74">
        <f>'Dec 01'!$E60/'Dec 01'!$F60</f>
        <v>16.583389275516449</v>
      </c>
      <c r="H60" s="36">
        <v>18</v>
      </c>
      <c r="I60" s="36">
        <v>17</v>
      </c>
      <c r="J60" s="40">
        <f t="shared" si="2"/>
        <v>-1</v>
      </c>
      <c r="K60" s="41">
        <f>'Dec 01'!$F60*'Dec 01'!$I60</f>
        <v>222190</v>
      </c>
      <c r="L60" s="42">
        <f>'Dec 01'!$K60/$K$2</f>
        <v>1.0636759878256082E-3</v>
      </c>
      <c r="M60" s="43"/>
    </row>
    <row r="61" spans="1:16" s="44" customFormat="1" ht="25.5" x14ac:dyDescent="0.25">
      <c r="A61" s="36" t="s">
        <v>154</v>
      </c>
      <c r="B61" s="36" t="s">
        <v>160</v>
      </c>
      <c r="C61" s="36" t="s">
        <v>161</v>
      </c>
      <c r="D61" s="37">
        <v>0</v>
      </c>
      <c r="E61" s="38">
        <f>'Dec 01'!$D61*$C$6*$C$2</f>
        <v>0</v>
      </c>
      <c r="F61" s="38">
        <v>93543</v>
      </c>
      <c r="G61" s="74">
        <f>'Dec 01'!$E61/'Dec 01'!$F61</f>
        <v>0</v>
      </c>
      <c r="H61" s="36">
        <v>2</v>
      </c>
      <c r="I61" s="36">
        <v>0</v>
      </c>
      <c r="J61" s="40">
        <f t="shared" si="2"/>
        <v>-2</v>
      </c>
      <c r="K61" s="41">
        <f>'Dec 01'!$F61*'Dec 01'!$I61</f>
        <v>0</v>
      </c>
      <c r="L61" s="42">
        <f>'Dec 01'!$K61/$K$2</f>
        <v>0</v>
      </c>
      <c r="M61" s="43"/>
    </row>
    <row r="62" spans="1:16" s="4" customFormat="1" ht="25.5" x14ac:dyDescent="0.2">
      <c r="A62" s="36" t="s">
        <v>154</v>
      </c>
      <c r="B62" s="63" t="s">
        <v>162</v>
      </c>
      <c r="C62" s="63" t="s">
        <v>91</v>
      </c>
      <c r="D62" s="37">
        <v>1E-3</v>
      </c>
      <c r="E62" s="38">
        <f>'Dec 01'!$D62*$C$6*$C$2</f>
        <v>216744.89783100001</v>
      </c>
      <c r="F62" s="38">
        <v>69609.333333333299</v>
      </c>
      <c r="G62" s="74">
        <f>'Dec 01'!$E62/'Dec 01'!$F62</f>
        <v>3.1137332804652651</v>
      </c>
      <c r="H62" s="36">
        <v>3</v>
      </c>
      <c r="I62" s="36">
        <v>3</v>
      </c>
      <c r="J62" s="40">
        <f t="shared" si="2"/>
        <v>0</v>
      </c>
      <c r="K62" s="41">
        <f>'Dec 01'!$F62*'Dec 01'!$I62</f>
        <v>208827.99999999988</v>
      </c>
      <c r="L62" s="42">
        <f>'Dec 01'!$K62/$K$2</f>
        <v>9.9970893913158107E-4</v>
      </c>
      <c r="M62" s="64"/>
    </row>
    <row r="63" spans="1:16" s="44" customFormat="1" ht="25.5" x14ac:dyDescent="0.25">
      <c r="A63" s="36" t="s">
        <v>154</v>
      </c>
      <c r="B63" s="36" t="s">
        <v>163</v>
      </c>
      <c r="C63" s="36" t="s">
        <v>67</v>
      </c>
      <c r="D63" s="37">
        <v>1E-3</v>
      </c>
      <c r="E63" s="38">
        <f>'Dec 01'!$D63*$C$6*$C$2</f>
        <v>216744.89783100001</v>
      </c>
      <c r="F63" s="38">
        <v>28830</v>
      </c>
      <c r="G63" s="74">
        <f>'Dec 01'!$E63/'Dec 01'!$F63</f>
        <v>7.518033223413112</v>
      </c>
      <c r="H63" s="36">
        <v>8</v>
      </c>
      <c r="I63" s="36">
        <v>8</v>
      </c>
      <c r="J63" s="40">
        <f t="shared" si="2"/>
        <v>0</v>
      </c>
      <c r="K63" s="41">
        <f>'Dec 01'!$F63*'Dec 01'!$I63</f>
        <v>230640</v>
      </c>
      <c r="L63" s="42">
        <f>'Dec 01'!$K63/$K$2</f>
        <v>1.1041281328237017E-3</v>
      </c>
      <c r="M63" s="43"/>
    </row>
    <row r="64" spans="1:16" s="44" customFormat="1" ht="25.5" x14ac:dyDescent="0.25">
      <c r="A64" s="36" t="s">
        <v>154</v>
      </c>
      <c r="B64" s="36" t="s">
        <v>77</v>
      </c>
      <c r="C64" s="36" t="s">
        <v>78</v>
      </c>
      <c r="D64" s="37">
        <v>1E-3</v>
      </c>
      <c r="E64" s="38">
        <f>'Dec 01'!$D64*$C$6*$C$2</f>
        <v>216744.89783100001</v>
      </c>
      <c r="F64" s="38">
        <v>8230</v>
      </c>
      <c r="G64" s="74">
        <f>'Dec 01'!$E64/'Dec 01'!$F64</f>
        <v>26.335953563912515</v>
      </c>
      <c r="H64" s="36">
        <v>28</v>
      </c>
      <c r="I64" s="36">
        <v>26</v>
      </c>
      <c r="J64" s="40">
        <f t="shared" si="2"/>
        <v>-2</v>
      </c>
      <c r="K64" s="41">
        <f>'Dec 01'!$F64*'Dec 01'!$I64</f>
        <v>213980</v>
      </c>
      <c r="L64" s="42">
        <f>'Dec 01'!$K64/$K$2</f>
        <v>1.0243727794901824E-3</v>
      </c>
      <c r="M64" s="43"/>
    </row>
    <row r="65" spans="1:13" s="44" customFormat="1" ht="25.5" x14ac:dyDescent="0.25">
      <c r="A65" s="36" t="s">
        <v>154</v>
      </c>
      <c r="B65" s="36" t="s">
        <v>63</v>
      </c>
      <c r="C65" s="36" t="s">
        <v>64</v>
      </c>
      <c r="D65" s="37">
        <v>1E-3</v>
      </c>
      <c r="E65" s="38">
        <f>'Dec 01'!$D65*$C$6*$C$2</f>
        <v>216744.89783100001</v>
      </c>
      <c r="F65" s="38">
        <v>27471.714285714301</v>
      </c>
      <c r="G65" s="74">
        <f>'Dec 01'!$E65/'Dec 01'!$F65</f>
        <v>7.8897478175837961</v>
      </c>
      <c r="H65" s="36">
        <v>7</v>
      </c>
      <c r="I65" s="36">
        <v>7</v>
      </c>
      <c r="J65" s="40">
        <f t="shared" si="2"/>
        <v>0</v>
      </c>
      <c r="K65" s="41">
        <f>'Dec 01'!$F65*'Dec 01'!$I65</f>
        <v>192302.00000000012</v>
      </c>
      <c r="L65" s="42">
        <f>'Dec 01'!$K65/$K$2</f>
        <v>9.2059507543471909E-4</v>
      </c>
      <c r="M65" s="43"/>
    </row>
    <row r="66" spans="1:13" s="44" customFormat="1" ht="25.5" x14ac:dyDescent="0.25">
      <c r="A66" s="36" t="s">
        <v>154</v>
      </c>
      <c r="B66" s="36" t="s">
        <v>88</v>
      </c>
      <c r="C66" s="36" t="s">
        <v>89</v>
      </c>
      <c r="D66" s="37">
        <v>1E-3</v>
      </c>
      <c r="E66" s="38">
        <f>'Dec 01'!$D66*$C$6*$C$2</f>
        <v>216744.89783100001</v>
      </c>
      <c r="F66" s="38">
        <v>58562.5</v>
      </c>
      <c r="G66" s="74">
        <f>'Dec 01'!$E66/'Dec 01'!$F66</f>
        <v>3.7010868359615796</v>
      </c>
      <c r="H66" s="36">
        <v>0</v>
      </c>
      <c r="I66" s="36">
        <v>4</v>
      </c>
      <c r="J66" s="40">
        <f t="shared" si="2"/>
        <v>4</v>
      </c>
      <c r="K66" s="41">
        <f>'Dec 01'!$F66*'Dec 01'!$I66</f>
        <v>234250</v>
      </c>
      <c r="L66" s="42">
        <f>'Dec 01'!$K66/$K$2</f>
        <v>1.1214100551246622E-3</v>
      </c>
      <c r="M66" s="43"/>
    </row>
    <row r="67" spans="1:13" s="44" customFormat="1" ht="12.75" x14ac:dyDescent="0.25">
      <c r="A67" s="36"/>
      <c r="B67" s="36"/>
      <c r="C67" s="36"/>
      <c r="D67" s="37"/>
      <c r="E67" s="38"/>
      <c r="F67" s="38"/>
      <c r="G67" s="39"/>
      <c r="H67" s="36"/>
      <c r="I67" s="36"/>
      <c r="J67" s="43"/>
      <c r="K67" s="41"/>
      <c r="L67" s="42"/>
      <c r="M67" s="43"/>
    </row>
    <row r="68" spans="1:13" s="17" customFormat="1" ht="12.75" x14ac:dyDescent="0.2">
      <c r="A68" s="48" t="s">
        <v>164</v>
      </c>
      <c r="B68" s="67"/>
      <c r="C68" s="67"/>
      <c r="D68" s="75">
        <f>SUM(D56:D67)</f>
        <v>1.0000000000000002E-2</v>
      </c>
      <c r="E68" s="50">
        <f>SUM(E55:E67)</f>
        <v>2167448.9783099997</v>
      </c>
      <c r="F68" s="70"/>
      <c r="G68" s="70"/>
      <c r="H68" s="67"/>
      <c r="I68" s="67"/>
      <c r="J68" s="48"/>
      <c r="K68" s="50">
        <f>SUM(K55:K67)</f>
        <v>2201869</v>
      </c>
      <c r="L68" s="53">
        <f>'Dec 01'!$K68/$K$2</f>
        <v>1.0540866752048175E-2</v>
      </c>
      <c r="M68" s="60"/>
    </row>
    <row r="69" spans="1:13" s="4" customFormat="1" ht="12.75" x14ac:dyDescent="0.2">
      <c r="A69" s="36"/>
      <c r="B69" s="63"/>
      <c r="C69" s="63"/>
      <c r="D69" s="76"/>
      <c r="E69" s="38"/>
      <c r="F69" s="38"/>
      <c r="G69" s="39"/>
      <c r="H69" s="63"/>
      <c r="I69" s="63"/>
      <c r="J69" s="36"/>
      <c r="K69" s="36"/>
      <c r="L69" s="42"/>
      <c r="M69" s="64"/>
    </row>
    <row r="70" spans="1:13" s="44" customFormat="1" ht="25.5" x14ac:dyDescent="0.25">
      <c r="A70" s="48" t="s">
        <v>165</v>
      </c>
      <c r="B70" s="55" t="s">
        <v>166</v>
      </c>
      <c r="C70" s="55" t="s">
        <v>167</v>
      </c>
      <c r="D70" s="56">
        <v>0</v>
      </c>
      <c r="E70" s="57">
        <f>'Dec 01'!$D70*$C$6*$C$2</f>
        <v>0</v>
      </c>
      <c r="F70" s="57">
        <v>0</v>
      </c>
      <c r="G70" s="58" t="s">
        <v>168</v>
      </c>
      <c r="H70" s="55">
        <v>0</v>
      </c>
      <c r="I70" s="55">
        <v>0</v>
      </c>
      <c r="J70" s="77">
        <f>I70-H70</f>
        <v>0</v>
      </c>
      <c r="K70" s="57">
        <f>'Dec 01'!$F70*'Dec 01'!$I70</f>
        <v>0</v>
      </c>
      <c r="L70" s="78">
        <f>'Dec 01'!$K70/$K$2</f>
        <v>0</v>
      </c>
      <c r="M70" s="55"/>
    </row>
    <row r="71" spans="1:13" s="4" customFormat="1" ht="12.75" x14ac:dyDescent="0.2">
      <c r="A71" s="36"/>
      <c r="B71" s="63"/>
      <c r="C71" s="63"/>
      <c r="D71" s="76"/>
      <c r="E71" s="38"/>
      <c r="F71" s="38"/>
      <c r="G71" s="39"/>
      <c r="H71" s="63"/>
      <c r="I71" s="63"/>
      <c r="J71" s="36"/>
      <c r="K71" s="36"/>
      <c r="L71" s="42"/>
      <c r="M71" s="64"/>
    </row>
    <row r="72" spans="1:13" s="4" customFormat="1" ht="12.75" x14ac:dyDescent="0.2">
      <c r="A72" s="36"/>
      <c r="B72" s="63"/>
      <c r="C72" s="63"/>
      <c r="D72" s="79"/>
      <c r="E72" s="65"/>
      <c r="F72" s="38"/>
      <c r="G72" s="39"/>
      <c r="H72" s="63"/>
      <c r="I72" s="63"/>
      <c r="J72" s="36"/>
      <c r="K72" s="36"/>
      <c r="L72" s="42"/>
      <c r="M72" s="64"/>
    </row>
    <row r="73" spans="1:13" s="17" customFormat="1" ht="12.75" x14ac:dyDescent="0.2">
      <c r="A73" s="48" t="s">
        <v>169</v>
      </c>
      <c r="B73" s="67"/>
      <c r="C73" s="67"/>
      <c r="D73" s="67"/>
      <c r="E73" s="80"/>
      <c r="F73" s="80"/>
      <c r="G73" s="48"/>
      <c r="H73" s="67"/>
      <c r="I73" s="67"/>
      <c r="J73" s="67"/>
      <c r="K73" s="80">
        <f>SUM(K30,K32,K45,K53,K68,K70:K70)</f>
        <v>208888799.35534325</v>
      </c>
      <c r="L73" s="53">
        <f>'Dec 01'!$K73/$K$2</f>
        <v>1</v>
      </c>
      <c r="M73" s="67"/>
    </row>
    <row r="74" spans="1:13" s="4" customFormat="1" ht="12.75" x14ac:dyDescent="0.2">
      <c r="A74" s="64"/>
      <c r="B74" s="64"/>
      <c r="C74" s="64"/>
      <c r="D74" s="81"/>
      <c r="E74" s="82"/>
      <c r="F74" s="38"/>
      <c r="G74" s="83"/>
      <c r="H74" s="64"/>
      <c r="I74" s="64"/>
      <c r="J74" s="64"/>
      <c r="K74" s="64"/>
      <c r="L74" s="42"/>
      <c r="M74" s="64"/>
    </row>
    <row r="75" spans="1:13" s="4" customFormat="1" ht="12.75" x14ac:dyDescent="0.2">
      <c r="A75" s="64"/>
      <c r="B75" s="64"/>
      <c r="C75" s="64"/>
      <c r="D75" s="81"/>
      <c r="E75" s="82"/>
      <c r="F75" s="38"/>
      <c r="G75" s="83"/>
      <c r="H75" s="64"/>
      <c r="I75" s="64"/>
      <c r="J75" s="64"/>
      <c r="K75" s="64"/>
      <c r="L75" s="42"/>
      <c r="M75" s="64"/>
    </row>
    <row r="76" spans="1:13" s="4" customFormat="1" ht="12.75" x14ac:dyDescent="0.2">
      <c r="A76" s="64"/>
      <c r="B76" s="64"/>
      <c r="C76" s="64"/>
      <c r="D76" s="81"/>
      <c r="E76" s="82"/>
      <c r="F76" s="38"/>
      <c r="G76" s="83"/>
      <c r="H76" s="64"/>
      <c r="I76" s="64"/>
      <c r="J76" s="64"/>
      <c r="K76" s="64"/>
      <c r="L76" s="42"/>
      <c r="M76" s="64"/>
    </row>
    <row r="77" spans="1:13" s="4" customFormat="1" ht="12.75" x14ac:dyDescent="0.2">
      <c r="A77" s="64"/>
      <c r="B77" s="64"/>
      <c r="C77" s="64"/>
      <c r="D77" s="81"/>
      <c r="E77" s="82"/>
      <c r="F77" s="38"/>
      <c r="G77" s="83"/>
      <c r="H77" s="64"/>
      <c r="I77" s="64"/>
      <c r="J77" s="64"/>
      <c r="K77" s="64"/>
      <c r="L77" s="42"/>
      <c r="M77" s="64"/>
    </row>
    <row r="78" spans="1:13" s="4" customFormat="1" ht="12.75" x14ac:dyDescent="0.2">
      <c r="A78" s="64"/>
      <c r="B78" s="64"/>
      <c r="C78" s="64"/>
      <c r="D78" s="81"/>
      <c r="E78" s="82"/>
      <c r="F78" s="38"/>
      <c r="G78" s="83"/>
      <c r="H78" s="64"/>
      <c r="I78" s="64"/>
      <c r="J78" s="64"/>
      <c r="K78" s="64"/>
      <c r="L78" s="42"/>
      <c r="M78" s="64"/>
    </row>
    <row r="79" spans="1:13" s="4" customFormat="1" ht="12.75" x14ac:dyDescent="0.2">
      <c r="A79" s="64"/>
      <c r="B79" s="64"/>
      <c r="C79" s="64"/>
      <c r="D79" s="81"/>
      <c r="E79" s="82"/>
      <c r="F79" s="38"/>
      <c r="G79" s="83"/>
      <c r="H79" s="64"/>
      <c r="I79" s="64"/>
      <c r="J79" s="64"/>
      <c r="K79" s="64"/>
      <c r="L79" s="42"/>
      <c r="M79" s="64"/>
    </row>
    <row r="80" spans="1:13" s="4" customFormat="1" ht="12.75" x14ac:dyDescent="0.2">
      <c r="A80" s="64"/>
      <c r="B80" s="64"/>
      <c r="C80" s="64"/>
      <c r="D80" s="81"/>
      <c r="E80" s="82"/>
      <c r="F80" s="38"/>
      <c r="G80" s="83"/>
      <c r="H80" s="64"/>
      <c r="I80" s="64"/>
      <c r="J80" s="64"/>
      <c r="K80" s="64"/>
      <c r="L80" s="42"/>
      <c r="M80" s="64"/>
    </row>
    <row r="81" spans="1:13" s="4" customFormat="1" ht="12.75" x14ac:dyDescent="0.2">
      <c r="A81" s="64"/>
      <c r="B81" s="64"/>
      <c r="C81" s="64"/>
      <c r="D81" s="81"/>
      <c r="E81" s="82"/>
      <c r="F81" s="38"/>
      <c r="G81" s="83"/>
      <c r="H81" s="64"/>
      <c r="I81" s="64"/>
      <c r="J81" s="64"/>
      <c r="K81" s="64"/>
      <c r="L81" s="42"/>
      <c r="M81" s="64"/>
    </row>
    <row r="82" spans="1:13" s="4" customFormat="1" ht="12.75" x14ac:dyDescent="0.2">
      <c r="A82" s="64"/>
      <c r="B82" s="64"/>
      <c r="C82" s="64"/>
      <c r="D82" s="81"/>
      <c r="E82" s="82"/>
      <c r="F82" s="38"/>
      <c r="G82" s="83"/>
      <c r="H82" s="64"/>
      <c r="I82" s="64"/>
      <c r="J82" s="64"/>
      <c r="K82" s="64"/>
      <c r="L82" s="42"/>
      <c r="M82" s="64"/>
    </row>
    <row r="83" spans="1:13" s="4" customFormat="1" ht="12.75" x14ac:dyDescent="0.2"/>
    <row r="84" spans="1:13" s="4" customFormat="1" ht="12.75" x14ac:dyDescent="0.2"/>
    <row r="86" spans="1:13" s="4" customFormat="1" ht="12.75" x14ac:dyDescent="0.2">
      <c r="A86" s="84"/>
      <c r="B86" s="84"/>
      <c r="E86" s="84"/>
      <c r="F86" s="84"/>
      <c r="G86" s="84"/>
      <c r="H86" s="85"/>
      <c r="M86" s="84"/>
    </row>
    <row r="87" spans="1:13" s="4" customFormat="1" ht="12.75" x14ac:dyDescent="0.2">
      <c r="A87" s="84"/>
      <c r="B87" s="84"/>
      <c r="E87" s="84"/>
      <c r="F87" s="84"/>
      <c r="G87" s="84"/>
      <c r="H87" s="85"/>
      <c r="M87" s="84"/>
    </row>
    <row r="88" spans="1:13" s="4" customFormat="1" ht="12.75" x14ac:dyDescent="0.2">
      <c r="A88" s="86"/>
      <c r="B88" s="86"/>
    </row>
    <row r="89" spans="1:13" s="4" customFormat="1" ht="12.75" x14ac:dyDescent="0.2">
      <c r="A89" s="87"/>
      <c r="B89" s="87"/>
      <c r="E89" s="87"/>
      <c r="F89" s="86"/>
      <c r="G89" s="86"/>
      <c r="M89" s="88"/>
    </row>
    <row r="90" spans="1:13" s="4" customFormat="1" ht="12.75" x14ac:dyDescent="0.2"/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MH75"/>
  <sheetViews>
    <sheetView tabSelected="1" zoomScaleNormal="100" workbookViewId="0">
      <pane xSplit="2" topLeftCell="C1" activePane="topRight" state="frozen"/>
      <selection pane="topRight" activeCell="O8" sqref="O8"/>
    </sheetView>
  </sheetViews>
  <sheetFormatPr defaultColWidth="9.140625" defaultRowHeight="15" x14ac:dyDescent="0.25"/>
  <cols>
    <col min="1" max="2" width="15.140625" style="4" customWidth="1"/>
    <col min="3" max="3" width="29.28515625" style="4" customWidth="1"/>
    <col min="4" max="4" width="14.85546875" style="4" customWidth="1"/>
    <col min="5" max="5" width="27.42578125" style="4" customWidth="1"/>
    <col min="6" max="7" width="13.7109375" style="4" customWidth="1"/>
    <col min="8" max="8" width="16.42578125" style="4" customWidth="1"/>
    <col min="9" max="9" width="15.42578125" style="4" customWidth="1"/>
    <col min="10" max="10" width="13.42578125" customWidth="1"/>
    <col min="11" max="11" width="23.42578125" customWidth="1"/>
    <col min="12" max="12" width="13.42578125" customWidth="1"/>
    <col min="13" max="13" width="22.42578125" style="4" customWidth="1"/>
    <col min="14" max="16" width="10.85546875" style="4" customWidth="1"/>
    <col min="17" max="17" width="11.28515625" style="4" customWidth="1"/>
    <col min="18" max="1022" width="9.140625" style="4"/>
  </cols>
  <sheetData>
    <row r="1" spans="1:17" s="4" customFormat="1" ht="25.5" x14ac:dyDescent="0.2">
      <c r="A1" s="5"/>
      <c r="B1" s="5" t="s">
        <v>95</v>
      </c>
      <c r="C1" s="6">
        <v>44195</v>
      </c>
      <c r="D1" s="7"/>
      <c r="E1" s="8" t="s">
        <v>96</v>
      </c>
      <c r="F1" s="9"/>
      <c r="G1" s="10"/>
      <c r="K1" s="11" t="s">
        <v>97</v>
      </c>
      <c r="L1" s="11" t="s">
        <v>98</v>
      </c>
      <c r="M1" s="12" t="s">
        <v>99</v>
      </c>
    </row>
    <row r="2" spans="1:17" x14ac:dyDescent="0.25">
      <c r="A2" s="5"/>
      <c r="B2" s="5" t="s">
        <v>100</v>
      </c>
      <c r="C2" s="13">
        <v>5.62</v>
      </c>
      <c r="D2" s="14"/>
      <c r="E2" s="15">
        <f>SUM(E24,E40,E53,E26,E55)</f>
        <v>161839293.34437585</v>
      </c>
      <c r="F2" s="16"/>
      <c r="G2" s="17"/>
      <c r="H2" s="14"/>
      <c r="I2" s="14"/>
      <c r="J2" s="14"/>
      <c r="K2" s="15">
        <f>SUM(K24,K40,K53,K26,K55:K55)</f>
        <v>161796589.98293224</v>
      </c>
      <c r="L2" s="18">
        <f>SUM(L53,L40,L24,L26,L55)</f>
        <v>1</v>
      </c>
      <c r="M2" s="19">
        <f>K2/$C$6</f>
        <v>5.6185255191052281</v>
      </c>
      <c r="N2" s="20"/>
    </row>
    <row r="3" spans="1:17" ht="26.25" x14ac:dyDescent="0.25">
      <c r="A3" s="5"/>
      <c r="B3" s="5" t="s">
        <v>101</v>
      </c>
      <c r="C3" s="21">
        <v>28796984.09</v>
      </c>
      <c r="D3" s="22"/>
      <c r="E3" s="8" t="s">
        <v>170</v>
      </c>
      <c r="F3" s="16"/>
      <c r="H3" s="14"/>
      <c r="I3" s="14"/>
      <c r="J3" s="14"/>
      <c r="K3" s="8" t="s">
        <v>102</v>
      </c>
      <c r="L3" s="14"/>
      <c r="M3" s="12" t="s">
        <v>171</v>
      </c>
      <c r="N3" s="23"/>
    </row>
    <row r="4" spans="1:17" x14ac:dyDescent="0.25">
      <c r="A4" s="5"/>
      <c r="B4" s="5" t="s">
        <v>104</v>
      </c>
      <c r="C4" s="21">
        <v>0</v>
      </c>
      <c r="D4" s="22"/>
      <c r="E4" s="15">
        <f>SUM(E24,E53,E26)</f>
        <v>69591115.429995179</v>
      </c>
      <c r="F4" s="16"/>
      <c r="G4" s="17"/>
      <c r="H4" s="14"/>
      <c r="I4" s="14"/>
      <c r="J4" s="14"/>
      <c r="K4" s="15">
        <f>SUM(K24,K26,K53)</f>
        <v>69486016.364072755</v>
      </c>
      <c r="L4" s="14"/>
      <c r="M4" s="19">
        <f>K4/$C$6</f>
        <v>2.4129615846890844</v>
      </c>
      <c r="N4" s="23"/>
    </row>
    <row r="5" spans="1:17" x14ac:dyDescent="0.25">
      <c r="A5" s="5"/>
      <c r="B5" s="5" t="s">
        <v>105</v>
      </c>
      <c r="C5" s="21">
        <v>0</v>
      </c>
      <c r="D5" s="22"/>
      <c r="E5" s="16"/>
      <c r="F5" s="16"/>
      <c r="G5" s="24">
        <f>SUM(D24,D26,D40,D53,D55:D55)</f>
        <v>1.0000014999999998</v>
      </c>
      <c r="H5" s="14"/>
      <c r="I5" s="14"/>
      <c r="J5" s="14"/>
      <c r="K5" s="14"/>
      <c r="L5" s="14"/>
      <c r="M5" s="14"/>
      <c r="N5" s="23"/>
    </row>
    <row r="6" spans="1:17" x14ac:dyDescent="0.25">
      <c r="A6" s="5"/>
      <c r="B6" s="5" t="s">
        <v>106</v>
      </c>
      <c r="C6" s="21">
        <f>C3+C4-C5</f>
        <v>28796984.09</v>
      </c>
      <c r="D6" s="22"/>
      <c r="E6" s="16"/>
      <c r="F6" s="16"/>
      <c r="G6" s="17"/>
      <c r="H6" s="14"/>
      <c r="I6" s="14"/>
      <c r="J6" s="14"/>
      <c r="K6" s="14"/>
      <c r="L6" s="14"/>
      <c r="M6" s="14"/>
      <c r="N6" s="23"/>
    </row>
    <row r="7" spans="1:17" x14ac:dyDescent="0.25">
      <c r="A7" s="25"/>
      <c r="B7" s="26"/>
      <c r="C7" s="26"/>
      <c r="D7" s="27"/>
      <c r="E7" s="28"/>
      <c r="F7" s="28"/>
      <c r="G7" s="28"/>
      <c r="H7" s="29"/>
      <c r="I7" s="29"/>
      <c r="J7" s="29"/>
      <c r="K7" s="14"/>
      <c r="L7" s="14"/>
      <c r="M7" s="14"/>
      <c r="N7" s="23"/>
    </row>
    <row r="8" spans="1:17" s="34" customFormat="1" ht="38.25" x14ac:dyDescent="0.2">
      <c r="A8" s="30" t="s">
        <v>107</v>
      </c>
      <c r="B8" s="30" t="s">
        <v>108</v>
      </c>
      <c r="C8" s="31" t="s">
        <v>1</v>
      </c>
      <c r="D8" s="31" t="s">
        <v>109</v>
      </c>
      <c r="E8" s="31" t="s">
        <v>110</v>
      </c>
      <c r="F8" s="31" t="s">
        <v>111</v>
      </c>
      <c r="G8" s="31" t="s">
        <v>112</v>
      </c>
      <c r="H8" s="31" t="s">
        <v>113</v>
      </c>
      <c r="I8" s="31" t="s">
        <v>114</v>
      </c>
      <c r="J8" s="31" t="s">
        <v>115</v>
      </c>
      <c r="K8" s="32" t="s">
        <v>116</v>
      </c>
      <c r="L8" s="32" t="s">
        <v>117</v>
      </c>
      <c r="M8" s="32" t="s">
        <v>118</v>
      </c>
      <c r="N8" s="33"/>
      <c r="Q8" s="35"/>
    </row>
    <row r="9" spans="1:17" s="45" customFormat="1" ht="12.75" customHeight="1" x14ac:dyDescent="0.25">
      <c r="A9" s="36" t="s">
        <v>119</v>
      </c>
      <c r="B9" s="36" t="s">
        <v>43</v>
      </c>
      <c r="C9" s="36" t="s">
        <v>44</v>
      </c>
      <c r="D9" s="37">
        <v>5.3959999999999998E-3</v>
      </c>
      <c r="E9" s="38">
        <f>'Dec 30'!$D9*$C$6*$C$2</f>
        <v>873283.51696097688</v>
      </c>
      <c r="F9" s="38">
        <f>INDEX('TWS data'!M:M,MATCH(Table138958456799101112131445626789101112131415161718192021345678910111213141516171819202122233456789101112131415161718192034567891011121314151617181920[[#This Row],[IB Ticker]],'TWS data'!B:B,0))</f>
        <v>359.20986644862359</v>
      </c>
      <c r="G9" s="39">
        <f>'Dec 30'!$E9/'Dec 30'!$F9</f>
        <v>2431.1234142725843</v>
      </c>
      <c r="H9" s="36">
        <f>INDEX('TWS data'!F:F,MATCH(Table138958456799101112131445626789101112131415161718192021345678910111213141516171819202122233456789101112131415161718192034567891011121314151617181920[[#This Row],[IB Ticker]],'TWS data'!B:B,0))</f>
        <v>3669</v>
      </c>
      <c r="I9" s="36">
        <f>ROUND(Table138958456799101112131445626789101112131415161718192021345678910111213141516171819202122233456789101112131415161718192034567891011121314151617181920[[#This Row],[Target Quantity]],0)</f>
        <v>2431</v>
      </c>
      <c r="J9" s="40">
        <f t="shared" ref="J9:J22" si="0">I9-H9</f>
        <v>-1238</v>
      </c>
      <c r="K9" s="41">
        <f>'Dec 30'!$F9*'Dec 30'!$I9</f>
        <v>873239.1853366039</v>
      </c>
      <c r="L9" s="42">
        <f>'Dec 30'!$K9/$K$2</f>
        <v>5.3971420870410252E-3</v>
      </c>
      <c r="M9" s="36"/>
      <c r="O9" s="44"/>
    </row>
    <row r="10" spans="1:17" s="45" customFormat="1" ht="12.75" customHeight="1" x14ac:dyDescent="0.25">
      <c r="A10" s="36" t="s">
        <v>119</v>
      </c>
      <c r="B10" s="36" t="s">
        <v>25</v>
      </c>
      <c r="C10" s="36" t="s">
        <v>26</v>
      </c>
      <c r="D10" s="37">
        <v>5.3959999999999998E-3</v>
      </c>
      <c r="E10" s="38">
        <f>'Dec 30'!$D10*$C$6*$C$2</f>
        <v>873283.51696097688</v>
      </c>
      <c r="F10" s="38">
        <f>INDEX('TWS data'!M:M,MATCH(Table138958456799101112131445626789101112131415161718192021345678910111213141516171819202122233456789101112131415161718192034567891011121314151617181920[[#This Row],[IB Ticker]],'TWS data'!B:B,0))</f>
        <v>261.55994271685762</v>
      </c>
      <c r="G10" s="39">
        <f>'Dec 30'!$E10/'Dec 30'!$F10</f>
        <v>3338.7509872118253</v>
      </c>
      <c r="H10" s="36">
        <f>INDEX('TWS data'!F:F,MATCH(Table138958456799101112131445626789101112131415161718192021345678910111213141516171819202122233456789101112131415161718192034567891011121314151617181920[[#This Row],[IB Ticker]],'TWS data'!B:B,0))</f>
        <v>4888</v>
      </c>
      <c r="I10" s="36">
        <f>ROUND(Table138958456799101112131445626789101112131415161718192021345678910111213141516171819202122233456789101112131415161718192034567891011121314151617181920[[#This Row],[Target Quantity]],0)</f>
        <v>3339</v>
      </c>
      <c r="J10" s="40">
        <f t="shared" si="0"/>
        <v>-1549</v>
      </c>
      <c r="K10" s="41">
        <f>'Dec 30'!$F10*'Dec 30'!$I10</f>
        <v>873348.64873158757</v>
      </c>
      <c r="L10" s="42">
        <f>'Dec 30'!$K10/$K$2</f>
        <v>5.3978186364973223E-3</v>
      </c>
      <c r="M10" s="36"/>
      <c r="O10" s="44"/>
    </row>
    <row r="11" spans="1:17" s="45" customFormat="1" ht="12.75" customHeight="1" x14ac:dyDescent="0.25">
      <c r="A11" s="36" t="s">
        <v>119</v>
      </c>
      <c r="B11" s="36" t="s">
        <v>33</v>
      </c>
      <c r="C11" s="36" t="s">
        <v>34</v>
      </c>
      <c r="D11" s="37">
        <v>5.3959999999999998E-3</v>
      </c>
      <c r="E11" s="38">
        <f>'Dec 30'!$D11*$C$6*$C$2</f>
        <v>873283.51696097688</v>
      </c>
      <c r="F11" s="38">
        <f>INDEX('TWS data'!M:M,MATCH(Table138958456799101112131445626789101112131415161718192021345678910111213141516171819202122233456789101112131415161718192034567891011121314151617181920[[#This Row],[IB Ticker]],'TWS data'!B:B,0))</f>
        <v>37.620004210146455</v>
      </c>
      <c r="G11" s="39">
        <f>'Dec 30'!$E11/'Dec 30'!$F11</f>
        <v>23213.27536495715</v>
      </c>
      <c r="H11" s="36">
        <f>INDEX('TWS data'!F:F,MATCH(Table138958456799101112131445626789101112131415161718192021345678910111213141516171819202122233456789101112131415161718192034567891011121314151617181920[[#This Row],[IB Ticker]],'TWS data'!B:B,0))</f>
        <v>33253</v>
      </c>
      <c r="I11" s="36">
        <f>ROUND(Table138958456799101112131445626789101112131415161718192021345678910111213141516171819202122233456789101112131415161718192034567891011121314151617181920[[#This Row],[Target Quantity]],0)</f>
        <v>23213</v>
      </c>
      <c r="J11" s="40">
        <f t="shared" si="0"/>
        <v>-10040</v>
      </c>
      <c r="K11" s="41">
        <f>'Dec 30'!$F11*'Dec 30'!$I11</f>
        <v>873273.15773012966</v>
      </c>
      <c r="L11" s="42">
        <f>'Dec 30'!$K11/$K$2</f>
        <v>5.3973520568156002E-3</v>
      </c>
      <c r="M11" s="36"/>
      <c r="O11" s="44"/>
    </row>
    <row r="12" spans="1:17" s="45" customFormat="1" ht="12.75" customHeight="1" x14ac:dyDescent="0.25">
      <c r="A12" s="36" t="s">
        <v>119</v>
      </c>
      <c r="B12" s="36" t="s">
        <v>19</v>
      </c>
      <c r="C12" s="36" t="s">
        <v>20</v>
      </c>
      <c r="D12" s="37">
        <v>5.3959999999999998E-3</v>
      </c>
      <c r="E12" s="38">
        <f>'Dec 30'!$D12*$C$6*$C$2</f>
        <v>873283.51696097688</v>
      </c>
      <c r="F12" s="38">
        <f>INDEX('TWS data'!M:M,MATCH(Table138958456799101112131445626789101112131415161718192021345678910111213141516171819202122233456789101112131415161718192034567891011121314151617181920[[#This Row],[IB Ticker]],'TWS data'!B:B,0))</f>
        <v>520.44995964487487</v>
      </c>
      <c r="G12" s="39">
        <f>'Dec 30'!$E12/'Dec 30'!$F12</f>
        <v>1677.939446007173</v>
      </c>
      <c r="H12" s="36">
        <f>INDEX('TWS data'!F:F,MATCH(Table138958456799101112131445626789101112131415161718192021345678910111213141516171819202122233456789101112131415161718192034567891011121314151617181920[[#This Row],[IB Ticker]],'TWS data'!B:B,0))</f>
        <v>2478</v>
      </c>
      <c r="I12" s="36">
        <f>ROUND(Table138958456799101112131445626789101112131415161718192021345678910111213141516171819202122233456789101112131415161718192034567891011121314151617181920[[#This Row],[Target Quantity]],0)</f>
        <v>1678</v>
      </c>
      <c r="J12" s="40">
        <f t="shared" si="0"/>
        <v>-800</v>
      </c>
      <c r="K12" s="41">
        <f>'Dec 30'!$F12*'Dec 30'!$I12</f>
        <v>873315.03228410007</v>
      </c>
      <c r="L12" s="42">
        <f>'Dec 30'!$K12/$K$2</f>
        <v>5.3976108666828216E-3</v>
      </c>
      <c r="M12" s="36"/>
      <c r="O12" s="92"/>
    </row>
    <row r="13" spans="1:17" s="45" customFormat="1" ht="12.75" customHeight="1" x14ac:dyDescent="0.25">
      <c r="A13" s="36" t="s">
        <v>119</v>
      </c>
      <c r="B13" s="36" t="s">
        <v>29</v>
      </c>
      <c r="C13" s="36" t="s">
        <v>30</v>
      </c>
      <c r="D13" s="37">
        <v>5.3959999999999998E-3</v>
      </c>
      <c r="E13" s="38">
        <f>'Dec 30'!$D13*$C$6*$C$2</f>
        <v>873283.51696097688</v>
      </c>
      <c r="F13" s="38">
        <f>INDEX('TWS data'!M:M,MATCH(Table138958456799101112131445626789101112131415161718192021345678910111213141516171819202122233456789101112131415161718192034567891011121314151617181920[[#This Row],[IB Ticker]],'TWS data'!B:B,0))</f>
        <v>20.080003146633103</v>
      </c>
      <c r="G13" s="39">
        <f>'Dec 30'!$E13/'Dec 30'!$F13</f>
        <v>43490.208172970524</v>
      </c>
      <c r="H13" s="36">
        <f>INDEX('TWS data'!F:F,MATCH(Table138958456799101112131445626789101112131415161718192021345678910111213141516171819202122233456789101112131415161718192034567891011121314151617181920[[#This Row],[IB Ticker]],'TWS data'!B:B,0))</f>
        <v>63560</v>
      </c>
      <c r="I13" s="36">
        <f>ROUND(Table138958456799101112131445626789101112131415161718192021345678910111213141516171819202122233456789101112131415161718192034567891011121314151617181920[[#This Row],[Target Quantity]],0)</f>
        <v>43490</v>
      </c>
      <c r="J13" s="40">
        <f t="shared" si="0"/>
        <v>-20070</v>
      </c>
      <c r="K13" s="41">
        <f>'Dec 30'!$F13*'Dec 30'!$I13</f>
        <v>873279.33684707363</v>
      </c>
      <c r="L13" s="42">
        <f>'Dec 30'!$K13/$K$2</f>
        <v>5.3973902474656298E-3</v>
      </c>
      <c r="M13" s="36"/>
      <c r="O13" s="44"/>
    </row>
    <row r="14" spans="1:17" s="45" customFormat="1" ht="12.75" customHeight="1" x14ac:dyDescent="0.25">
      <c r="A14" s="36" t="s">
        <v>119</v>
      </c>
      <c r="B14" s="36" t="s">
        <v>21</v>
      </c>
      <c r="C14" s="36" t="s">
        <v>22</v>
      </c>
      <c r="D14" s="37">
        <v>5.3959999999999998E-3</v>
      </c>
      <c r="E14" s="38">
        <f>'Dec 30'!$D14*$C$6*$C$2</f>
        <v>873283.51696097688</v>
      </c>
      <c r="F14" s="38">
        <f>INDEX('TWS data'!M:M,MATCH(Table138958456799101112131445626789101112131415161718192021345678910111213141516171819202122233456789101112131415161718192034567891011121314151617181920[[#This Row],[IB Ticker]],'TWS data'!B:B,0))</f>
        <v>37.170006142685814</v>
      </c>
      <c r="G14" s="39">
        <f>'Dec 30'!$E14/'Dec 30'!$F14</f>
        <v>23494.306501017854</v>
      </c>
      <c r="H14" s="36">
        <f>INDEX('TWS data'!F:F,MATCH(Table138958456799101112131445626789101112131415161718192021345678910111213141516171819202122233456789101112131415161718192034567891011121314151617181920[[#This Row],[IB Ticker]],'TWS data'!B:B,0))</f>
        <v>34187</v>
      </c>
      <c r="I14" s="36">
        <f>ROUND(Table138958456799101112131445626789101112131415161718192021345678910111213141516171819202122233456789101112131415161718192034567891011121314151617181920[[#This Row],[Target Quantity]],0)</f>
        <v>23494</v>
      </c>
      <c r="J14" s="40">
        <f t="shared" si="0"/>
        <v>-10693</v>
      </c>
      <c r="K14" s="41">
        <f>'Dec 30'!$F14*'Dec 30'!$I14</f>
        <v>873272.12431626057</v>
      </c>
      <c r="L14" s="42">
        <f>'Dec 30'!$K14/$K$2</f>
        <v>5.397345669697867E-3</v>
      </c>
      <c r="M14" s="36"/>
      <c r="O14" s="44"/>
    </row>
    <row r="15" spans="1:17" s="45" customFormat="1" ht="12.75" customHeight="1" x14ac:dyDescent="0.25">
      <c r="A15" s="36" t="s">
        <v>119</v>
      </c>
      <c r="B15" s="36" t="s">
        <v>37</v>
      </c>
      <c r="C15" s="36" t="s">
        <v>38</v>
      </c>
      <c r="D15" s="37">
        <v>5.3959999999999998E-3</v>
      </c>
      <c r="E15" s="38">
        <f>'Dec 30'!$D15*$C$6*$C$2</f>
        <v>873283.51696097688</v>
      </c>
      <c r="F15" s="38">
        <f>INDEX('TWS data'!M:M,MATCH(Table138958456799101112131445626789101112131415161718192021345678910111213141516171819202122233456789101112131415161718192034567891011121314151617181920[[#This Row],[IB Ticker]],'TWS data'!B:B,0))</f>
        <v>70.620015337423311</v>
      </c>
      <c r="G15" s="39">
        <f>'Dec 30'!$E15/'Dec 30'!$F15</f>
        <v>12365.949126298223</v>
      </c>
      <c r="H15" s="36">
        <f>INDEX('TWS data'!F:F,MATCH(Table138958456799101112131445626789101112131415161718192021345678910111213141516171819202122233456789101112131415161718192034567891011121314151617181920[[#This Row],[IB Ticker]],'TWS data'!B:B,0))</f>
        <v>18256</v>
      </c>
      <c r="I15" s="36">
        <f>ROUND(Table138958456799101112131445626789101112131415161718192021345678910111213141516171819202122233456789101112131415161718192034567891011121314151617181920[[#This Row],[Target Quantity]],0)</f>
        <v>12366</v>
      </c>
      <c r="J15" s="40">
        <f t="shared" si="0"/>
        <v>-5890</v>
      </c>
      <c r="K15" s="41">
        <f>'Dec 30'!$F15*'Dec 30'!$I15</f>
        <v>873287.10966257669</v>
      </c>
      <c r="L15" s="42">
        <f>'Dec 30'!$K15/$K$2</f>
        <v>5.3974382881289331E-3</v>
      </c>
      <c r="M15" s="36"/>
      <c r="O15" s="44"/>
    </row>
    <row r="16" spans="1:17" s="45" customFormat="1" ht="12.75" customHeight="1" x14ac:dyDescent="0.25">
      <c r="A16" s="36" t="s">
        <v>119</v>
      </c>
      <c r="B16" s="36" t="s">
        <v>23</v>
      </c>
      <c r="C16" s="36" t="s">
        <v>24</v>
      </c>
      <c r="D16" s="37">
        <v>5.3959999999999998E-3</v>
      </c>
      <c r="E16" s="38">
        <f>'Dec 30'!$D16*$C$6*$C$2</f>
        <v>873283.51696097688</v>
      </c>
      <c r="F16" s="38">
        <f>INDEX('TWS data'!M:M,MATCH(Table138958456799101112131445626789101112131415161718192021345678910111213141516171819202122233456789101112131415161718192034567891011121314151617181920[[#This Row],[IB Ticker]],'TWS data'!B:B,0))</f>
        <v>264.57998342312476</v>
      </c>
      <c r="G16" s="39">
        <f>'Dec 30'!$E16/'Dec 30'!$F16</f>
        <v>3300.6409088944342</v>
      </c>
      <c r="H16" s="36">
        <f>INDEX('TWS data'!F:F,MATCH(Table138958456799101112131445626789101112131415161718192021345678910111213141516171819202122233456789101112131415161718192034567891011121314151617181920[[#This Row],[IB Ticker]],'TWS data'!B:B,0))</f>
        <v>4826</v>
      </c>
      <c r="I16" s="36">
        <f>ROUND(Table138958456799101112131445626789101112131415161718192021345678910111213141516171819202122233456789101112131415161718192034567891011121314151617181920[[#This Row],[Target Quantity]],0)</f>
        <v>3301</v>
      </c>
      <c r="J16" s="40">
        <f t="shared" si="0"/>
        <v>-1525</v>
      </c>
      <c r="K16" s="41">
        <f>'Dec 30'!$F16*'Dec 30'!$I16</f>
        <v>873378.52527973487</v>
      </c>
      <c r="L16" s="42">
        <f>'Dec 30'!$K16/$K$2</f>
        <v>5.3980032914900536E-3</v>
      </c>
      <c r="M16" s="36"/>
      <c r="O16" s="44"/>
    </row>
    <row r="17" spans="1:15" s="45" customFormat="1" ht="12.75" customHeight="1" x14ac:dyDescent="0.25">
      <c r="A17" s="36" t="s">
        <v>119</v>
      </c>
      <c r="B17" s="36" t="s">
        <v>15</v>
      </c>
      <c r="C17" s="36" t="s">
        <v>16</v>
      </c>
      <c r="D17" s="37">
        <v>5.3959999999999998E-3</v>
      </c>
      <c r="E17" s="38">
        <f>'Dec 30'!$D17*$C$6*$C$2</f>
        <v>873283.51696097688</v>
      </c>
      <c r="F17" s="38">
        <f>INDEX('TWS data'!M:M,MATCH(Table138958456799101112131445626789101112131415161718192021345678910111213141516171819202122233456789101112131415161718192034567891011121314151617181920[[#This Row],[IB Ticker]],'TWS data'!B:B,0))</f>
        <v>146.29996503903973</v>
      </c>
      <c r="G17" s="39">
        <f>'Dec 30'!$E17/'Dec 30'!$F17</f>
        <v>5969.130045437425</v>
      </c>
      <c r="H17" s="36">
        <f>INDEX('TWS data'!F:F,MATCH(Table138958456799101112131445626789101112131415161718192021345678910111213141516171819202122233456789101112131415161718192034567891011121314151617181920[[#This Row],[IB Ticker]],'TWS data'!B:B,0))</f>
        <v>8581</v>
      </c>
      <c r="I17" s="36">
        <f>ROUND(Table138958456799101112131445626789101112131415161718192021345678910111213141516171819202122233456789101112131415161718192034567891011121314151617181920[[#This Row],[Target Quantity]],0)</f>
        <v>5969</v>
      </c>
      <c r="J17" s="40">
        <f t="shared" si="0"/>
        <v>-2612</v>
      </c>
      <c r="K17" s="41">
        <f>'Dec 30'!$F17*'Dec 30'!$I17</f>
        <v>873264.49131802819</v>
      </c>
      <c r="L17" s="42">
        <f>'Dec 30'!$K17/$K$2</f>
        <v>5.3972984931891831E-3</v>
      </c>
      <c r="M17" s="36"/>
      <c r="O17" s="44"/>
    </row>
    <row r="18" spans="1:15" s="45" customFormat="1" ht="12.75" customHeight="1" x14ac:dyDescent="0.25">
      <c r="A18" s="36" t="s">
        <v>119</v>
      </c>
      <c r="B18" s="36" t="s">
        <v>27</v>
      </c>
      <c r="C18" s="36" t="s">
        <v>28</v>
      </c>
      <c r="D18" s="37">
        <v>5.3959999999999998E-3</v>
      </c>
      <c r="E18" s="38">
        <f>'Dec 30'!$D18*$C$6*$C$2</f>
        <v>873283.51696097688</v>
      </c>
      <c r="F18" s="38">
        <f>INDEX('TWS data'!M:M,MATCH(Table138958456799101112131445626789101112131415161718192021345678910111213141516171819202122233456789101112131415161718192034567891011121314151617181920[[#This Row],[IB Ticker]],'TWS data'!B:B,0))</f>
        <v>41.690012298530647</v>
      </c>
      <c r="G18" s="39">
        <f>'Dec 30'!$E18/'Dec 30'!$F18</f>
        <v>20947.067866222613</v>
      </c>
      <c r="H18" s="36">
        <f>INDEX('TWS data'!F:F,MATCH(Table138958456799101112131445626789101112131415161718192021345678910111213141516171819202122233456789101112131415161718192034567891011121314151617181920[[#This Row],[IB Ticker]],'TWS data'!B:B,0))</f>
        <v>30898</v>
      </c>
      <c r="I18" s="36">
        <f>ROUND(Table138958456799101112131445626789101112131415161718192021345678910111213141516171819202122233456789101112131415161718192034567891011121314151617181920[[#This Row],[Target Quantity]],0)</f>
        <v>20947</v>
      </c>
      <c r="J18" s="40">
        <f t="shared" si="0"/>
        <v>-9951</v>
      </c>
      <c r="K18" s="41">
        <f>'Dec 30'!$F18*'Dec 30'!$I18</f>
        <v>873280.6876173215</v>
      </c>
      <c r="L18" s="42">
        <f>'Dec 30'!$K18/$K$2</f>
        <v>5.3973985960361895E-3</v>
      </c>
      <c r="M18" s="36"/>
      <c r="O18" s="91"/>
    </row>
    <row r="19" spans="1:15" s="45" customFormat="1" ht="12.75" customHeight="1" x14ac:dyDescent="0.25">
      <c r="A19" s="36" t="s">
        <v>119</v>
      </c>
      <c r="B19" s="36" t="s">
        <v>41</v>
      </c>
      <c r="C19" s="36" t="s">
        <v>42</v>
      </c>
      <c r="D19" s="37">
        <v>5.3959999999999998E-3</v>
      </c>
      <c r="E19" s="38">
        <f>'Dec 30'!$D19*$C$6*$C$2</f>
        <v>873283.51696097688</v>
      </c>
      <c r="F19" s="38">
        <f>INDEX('TWS data'!M:M,MATCH(Table138958456799101112131445626789101112131415161718192021345678910111213141516171819202122233456789101112131415161718192034567891011121314151617181920[[#This Row],[IB Ticker]],'TWS data'!B:B,0))</f>
        <v>36.719996585671197</v>
      </c>
      <c r="G19" s="39">
        <f>'Dec 30'!$E19/'Dec 30'!$F19</f>
        <v>23782.233065395976</v>
      </c>
      <c r="H19" s="36">
        <f>INDEX('TWS data'!F:F,MATCH(Table138958456799101112131445626789101112131415161718192021345678910111213141516171819202122233456789101112131415161718192034567891011121314151617181920[[#This Row],[IB Ticker]],'TWS data'!B:B,0))</f>
        <v>35146</v>
      </c>
      <c r="I19" s="36">
        <f>ROUND(Table138958456799101112131445626789101112131415161718192021345678910111213141516171819202122233456789101112131415161718192034567891011121314151617181920[[#This Row],[Target Quantity]],0)</f>
        <v>23782</v>
      </c>
      <c r="J19" s="40">
        <f t="shared" si="0"/>
        <v>-11364</v>
      </c>
      <c r="K19" s="41">
        <f>'Dec 30'!$F19*'Dec 30'!$I19</f>
        <v>873274.95880043239</v>
      </c>
      <c r="L19" s="42">
        <f>'Dec 30'!$K19/$K$2</f>
        <v>5.3973631885106685E-3</v>
      </c>
      <c r="M19" s="36"/>
      <c r="O19" s="91"/>
    </row>
    <row r="20" spans="1:15" s="45" customFormat="1" ht="12.75" customHeight="1" x14ac:dyDescent="0.25">
      <c r="A20" s="36" t="s">
        <v>119</v>
      </c>
      <c r="B20" s="36" t="s">
        <v>35</v>
      </c>
      <c r="C20" s="36" t="s">
        <v>36</v>
      </c>
      <c r="D20" s="37">
        <v>5.3959999999999998E-3</v>
      </c>
      <c r="E20" s="38">
        <f>'Dec 30'!$D20*$C$6*$C$2</f>
        <v>873283.51696097688</v>
      </c>
      <c r="F20" s="38">
        <f>INDEX('TWS data'!M:M,MATCH(Table138958456799101112131445626789101112131415161718192021345678910111213141516171819202122233456789101112131415161718192034567891011121314151617181920[[#This Row],[IB Ticker]],'TWS data'!B:B,0))</f>
        <v>118.80001656177542</v>
      </c>
      <c r="G20" s="39">
        <f>'Dec 30'!$E20/'Dec 30'!$F20</f>
        <v>7350.8703301137484</v>
      </c>
      <c r="H20" s="36">
        <f>INDEX('TWS data'!F:F,MATCH(Table138958456799101112131445626789101112131415161718192021345678910111213141516171819202122233456789101112131415161718192034567891011121314151617181920[[#This Row],[IB Ticker]],'TWS data'!B:B,0))</f>
        <v>12076</v>
      </c>
      <c r="I20" s="36">
        <f>ROUND(Table138958456799101112131445626789101112131415161718192021345678910111213141516171819202122233456789101112131415161718192034567891011121314151617181920[[#This Row],[Target Quantity]],0)</f>
        <v>7351</v>
      </c>
      <c r="J20" s="40">
        <f t="shared" si="0"/>
        <v>-4725</v>
      </c>
      <c r="K20" s="41">
        <f>'Dec 30'!$F20*'Dec 30'!$I20</f>
        <v>873298.92174561112</v>
      </c>
      <c r="L20" s="42">
        <f>'Dec 30'!$K20/$K$2</f>
        <v>5.3975112938890405E-3</v>
      </c>
      <c r="M20" s="36"/>
      <c r="O20" s="91"/>
    </row>
    <row r="21" spans="1:15" s="45" customFormat="1" ht="12.75" customHeight="1" x14ac:dyDescent="0.25">
      <c r="A21" s="36" t="s">
        <v>119</v>
      </c>
      <c r="B21" s="36" t="s">
        <v>39</v>
      </c>
      <c r="C21" s="36" t="s">
        <v>40</v>
      </c>
      <c r="D21" s="37">
        <v>0.27750000000000002</v>
      </c>
      <c r="E21" s="38">
        <f>'Dec 30'!$D21*$C$6*$C$2</f>
        <v>44910336.537559502</v>
      </c>
      <c r="F21" s="38">
        <f>INDEX('TWS data'!M:M,MATCH(Table138958456799101112131445626789101112131415161718192021345678910111213141516171819202122233456789101112131415161718192034567891011121314151617181920[[#This Row],[IB Ticker]],'TWS data'!B:B,0))</f>
        <v>314</v>
      </c>
      <c r="G21" s="39">
        <f>'Dec 30'!$E21/'Dec 30'!$F21</f>
        <v>143026.54948267358</v>
      </c>
      <c r="H21" s="36">
        <f>INDEX('TWS data'!F:F,MATCH(Table138958456799101112131445626789101112131415161718192021345678910111213141516171819202122233456789101112131415161718192034567891011121314151617181920[[#This Row],[IB Ticker]],'TWS data'!B:B,0))</f>
        <v>115174</v>
      </c>
      <c r="I21" s="36">
        <f>ROUND(Table138958456799101112131445626789101112131415161718192021345678910111213141516171819202122233456789101112131415161718192034567891011121314151617181920[[#This Row],[Target Quantity]],0)</f>
        <v>143027</v>
      </c>
      <c r="J21" s="40">
        <f t="shared" si="0"/>
        <v>27853</v>
      </c>
      <c r="K21" s="41">
        <f>'Dec 30'!$F21*'Dec 30'!$I21</f>
        <v>44910478</v>
      </c>
      <c r="L21" s="42">
        <f>'Dec 30'!$K21/$K$2</f>
        <v>0.27757369920303981</v>
      </c>
      <c r="M21" s="36"/>
      <c r="O21" s="93"/>
    </row>
    <row r="22" spans="1:15" s="45" customFormat="1" ht="12.75" customHeight="1" x14ac:dyDescent="0.25">
      <c r="A22" s="36" t="s">
        <v>119</v>
      </c>
      <c r="B22" s="45" t="s">
        <v>11</v>
      </c>
      <c r="C22" s="36" t="s">
        <v>12</v>
      </c>
      <c r="D22" s="37">
        <v>2.775E-2</v>
      </c>
      <c r="E22" s="38">
        <f>'Dec 30'!$D22*$C$6*$C$2</f>
        <v>4491033.6537559498</v>
      </c>
      <c r="F22" s="38">
        <f>INDEX('TWS data'!M:M,MATCH(Table138958456799101112131445626789101112131415161718192021345678910111213141516171819202122233456789101112131415161718192034567891011121314151617181920[[#This Row],[IB Ticker]],'TWS data'!B:B,0))</f>
        <v>2.5449556620730975</v>
      </c>
      <c r="G22" s="39">
        <f>'Dec 30'!$E22/'Dec 30'!$F22</f>
        <v>1764680.5092461198</v>
      </c>
      <c r="H22" s="36">
        <f>INDEX('TWS data'!F:F,MATCH(Table138958456799101112131445626789101112131415161718192021345678910111213141516171819202122233456789101112131415161718192034567891011121314151617181920[[#This Row],[IB Ticker]],'TWS data'!B:B,0))</f>
        <v>1669000</v>
      </c>
      <c r="I22" s="36">
        <f>ROUND(Table138958456799101112131445626789101112131415161718192021345678910111213141516171819202122233456789101112131415161718192034567891011121314151617181920[[#This Row],[Target Quantity]],-2)</f>
        <v>1764700</v>
      </c>
      <c r="J22" s="40">
        <f t="shared" si="0"/>
        <v>95700</v>
      </c>
      <c r="K22" s="41">
        <f>'Dec 30'!$F22*'Dec 30'!$I22</f>
        <v>4491083.256860395</v>
      </c>
      <c r="L22" s="42">
        <f>'Dec 30'!$K22/$K$2</f>
        <v>2.7757589064974452E-2</v>
      </c>
      <c r="M22" s="36"/>
    </row>
    <row r="23" spans="1:15" s="45" customFormat="1" ht="12.75" customHeight="1" x14ac:dyDescent="0.25">
      <c r="A23" s="36"/>
      <c r="B23" s="36"/>
      <c r="C23" s="36"/>
      <c r="D23" s="37"/>
      <c r="E23" s="38"/>
      <c r="F23" s="38"/>
      <c r="G23" s="39"/>
      <c r="H23" s="36"/>
      <c r="I23" s="36"/>
      <c r="J23" s="46"/>
      <c r="K23" s="38"/>
      <c r="L23" s="47"/>
      <c r="M23" s="36"/>
      <c r="O23" s="91"/>
    </row>
    <row r="24" spans="1:15" s="54" customFormat="1" ht="12.75" customHeight="1" x14ac:dyDescent="0.25">
      <c r="A24" s="48" t="s">
        <v>136</v>
      </c>
      <c r="B24" s="48"/>
      <c r="C24" s="48"/>
      <c r="D24" s="49">
        <f>SUM(D9:D23)</f>
        <v>0.370002</v>
      </c>
      <c r="E24" s="50">
        <f>'Dec 30'!$D24*$C$6*$C$2</f>
        <v>59880772.394847177</v>
      </c>
      <c r="F24" s="51"/>
      <c r="G24" s="51"/>
      <c r="H24" s="48"/>
      <c r="I24" s="48"/>
      <c r="J24" s="52"/>
      <c r="K24" s="50">
        <f>SUM(K9:K23)</f>
        <v>59881073.43652986</v>
      </c>
      <c r="L24" s="53">
        <f>'Dec 30'!$K24/$K$2</f>
        <v>0.37010096098345863</v>
      </c>
      <c r="M24" s="48"/>
      <c r="O24" s="90"/>
    </row>
    <row r="25" spans="1:15" s="45" customFormat="1" ht="12.75" customHeight="1" x14ac:dyDescent="0.25">
      <c r="A25" s="36"/>
      <c r="B25" s="36"/>
      <c r="C25" s="36"/>
      <c r="D25" s="37"/>
      <c r="E25" s="38"/>
      <c r="F25" s="38"/>
      <c r="G25" s="39"/>
      <c r="H25" s="36"/>
      <c r="I25" s="36"/>
      <c r="J25" s="46"/>
      <c r="K25" s="38"/>
      <c r="L25" s="42"/>
      <c r="M25" s="36"/>
      <c r="O25" s="89"/>
    </row>
    <row r="26" spans="1:15" s="44" customFormat="1" ht="12.75" customHeight="1" x14ac:dyDescent="0.25">
      <c r="A26" s="55"/>
      <c r="B26" s="48" t="s">
        <v>31</v>
      </c>
      <c r="C26" s="55" t="s">
        <v>32</v>
      </c>
      <c r="D26" s="56">
        <v>0.04</v>
      </c>
      <c r="E26" s="57">
        <f>'Dec 30'!$D26*$C$6*$C$2</f>
        <v>6473562.0234320005</v>
      </c>
      <c r="F26" s="51">
        <f>INDEX('TWS data'!M:M,MATCH(Table138958456799101112131445626789101112131415161718192021345678910111213141516171819202122233456789101112131415161718192034567891011121314151617181920[[#This Row],[IB Ticker]],'TWS data'!B:B,0))</f>
        <v>17.909999584759486</v>
      </c>
      <c r="G26" s="58">
        <f>'Dec 30'!$E26/'Dec 30'!$F26</f>
        <v>361449.59092800191</v>
      </c>
      <c r="H26" s="55">
        <f>INDEX('TWS data'!F:F,MATCH(Table138958456799101112131445626789101112131415161718192021345678910111213141516171819202122233456789101112131415161718192034567891011121314151617181920[[#This Row],[IB Ticker]],'TWS data'!B:B,0))</f>
        <v>337154</v>
      </c>
      <c r="I26" s="55">
        <f>ROUND(Table138958456799101112131445626789101112131415161718192021345678910111213141516171819202122233456789101112131415161718192034567891011121314151617181920[[#This Row],[Target Quantity]],0)</f>
        <v>361450</v>
      </c>
      <c r="J26" s="59">
        <f>I26-H26</f>
        <v>24296</v>
      </c>
      <c r="K26" s="60">
        <f>'Dec 30'!$F26*'Dec 30'!$I26</f>
        <v>6473569.3499113163</v>
      </c>
      <c r="L26" s="53">
        <f>'Dec 30'!$K26/$K$2</f>
        <v>4.0010542562078762E-2</v>
      </c>
      <c r="M26" s="48"/>
      <c r="O26" s="61"/>
    </row>
    <row r="27" spans="1:15" s="44" customFormat="1" ht="12.75" customHeight="1" x14ac:dyDescent="0.25">
      <c r="A27" s="36"/>
      <c r="B27" s="36"/>
      <c r="C27" s="36"/>
      <c r="D27" s="37"/>
      <c r="E27" s="38"/>
      <c r="F27" s="38"/>
      <c r="G27" s="39"/>
      <c r="H27" s="36"/>
      <c r="I27" s="36"/>
      <c r="J27" s="46"/>
      <c r="K27" s="41"/>
      <c r="L27" s="42"/>
      <c r="M27" s="36"/>
      <c r="O27" s="61"/>
    </row>
    <row r="28" spans="1:15" s="4" customFormat="1" ht="25.5" x14ac:dyDescent="0.2">
      <c r="A28" s="36" t="s">
        <v>137</v>
      </c>
      <c r="B28" s="62" t="s">
        <v>75</v>
      </c>
      <c r="C28" s="63" t="s">
        <v>76</v>
      </c>
      <c r="D28" s="37">
        <v>5.3437499999999999E-2</v>
      </c>
      <c r="E28" s="38">
        <f>'Dec 30'!$D28*$C$6*$C$2</f>
        <v>8648274.265678687</v>
      </c>
      <c r="F28" s="38">
        <f>INDEX('TWS data'!M:M,MATCH(Table138958456799101112131445626789101112131415161718192021345678910111213141516171819202122233456789101112131415161718192034567891011121314151617181920[[#This Row],[IB Ticker]],'TWS data'!B:B,0))</f>
        <v>155759.57142857142</v>
      </c>
      <c r="G28" s="39">
        <f>'Dec 30'!$E28/'Dec 30'!$F28</f>
        <v>55.523228437005763</v>
      </c>
      <c r="H28" s="36">
        <f>INDEX('TWS data'!F:F,MATCH(Table138958456799101112131445626789101112131415161718192021345678910111213141516171819202122233456789101112131415161718192034567891011121314151617181920[[#This Row],[IB Ticker]],'TWS data'!B:B,0))</f>
        <v>56</v>
      </c>
      <c r="I28" s="36">
        <f>ROUND(Table138958456799101112131445626789101112131415161718192021345678910111213141516171819202122233456789101112131415161718192034567891011121314151617181920[[#This Row],[Target Quantity]],0)</f>
        <v>56</v>
      </c>
      <c r="J28" s="40">
        <f t="shared" ref="J28:J38" si="1">I28-H28</f>
        <v>0</v>
      </c>
      <c r="K28" s="41">
        <f>'Dec 30'!$F28*'Dec 30'!$I28</f>
        <v>8722536</v>
      </c>
      <c r="L28" s="42">
        <f>'Dec 30'!$K28/$K$2</f>
        <v>5.3910505783342721E-2</v>
      </c>
      <c r="M28" s="64"/>
    </row>
    <row r="29" spans="1:15" s="4" customFormat="1" ht="25.5" x14ac:dyDescent="0.2">
      <c r="A29" s="36" t="s">
        <v>137</v>
      </c>
      <c r="B29" s="62" t="s">
        <v>80</v>
      </c>
      <c r="C29" s="63" t="s">
        <v>81</v>
      </c>
      <c r="D29" s="37">
        <v>5.3437999999999999E-2</v>
      </c>
      <c r="E29" s="38">
        <f>'Dec 30'!$D29*$C$6*$C$2</f>
        <v>8648355.1852039807</v>
      </c>
      <c r="F29" s="38">
        <f>INDEX('TWS data'!M:M,MATCH(Table138958456799101112131445626789101112131415161718192021345678910111213141516171819202122233456789101112131415161718192034567891011121314151617181920[[#This Row],[IB Ticker]],'TWS data'!B:B,0))</f>
        <v>211387.19512195123</v>
      </c>
      <c r="G29" s="39">
        <f>'Dec 30'!$E29/'Dec 30'!$F29</f>
        <v>40.912389136033831</v>
      </c>
      <c r="H29" s="36">
        <f>INDEX('TWS data'!F:F,MATCH(Table138958456799101112131445626789101112131415161718192021345678910111213141516171819202122233456789101112131415161718192034567891011121314151617181920[[#This Row],[IB Ticker]],'TWS data'!B:B,0))</f>
        <v>41</v>
      </c>
      <c r="I29" s="36">
        <f>ROUND(Table138958456799101112131445626789101112131415161718192021345678910111213141516171819202122233456789101112131415161718192034567891011121314151617181920[[#This Row],[Target Quantity]],0)</f>
        <v>41</v>
      </c>
      <c r="J29" s="40">
        <f t="shared" si="1"/>
        <v>0</v>
      </c>
      <c r="K29" s="41">
        <f>'Dec 30'!$F29*'Dec 30'!$I29</f>
        <v>8666875</v>
      </c>
      <c r="L29" s="42">
        <f>'Dec 30'!$K29/$K$2</f>
        <v>5.3566487408135487E-2</v>
      </c>
      <c r="M29" s="64"/>
    </row>
    <row r="30" spans="1:15" s="4" customFormat="1" ht="25.5" x14ac:dyDescent="0.2">
      <c r="A30" s="36" t="s">
        <v>137</v>
      </c>
      <c r="B30" s="62" t="s">
        <v>82</v>
      </c>
      <c r="C30" s="63" t="s">
        <v>83</v>
      </c>
      <c r="D30" s="37">
        <v>5.3437999999999999E-2</v>
      </c>
      <c r="E30" s="38">
        <f>'Dec 30'!$D30*$C$6*$C$2</f>
        <v>8648355.1852039807</v>
      </c>
      <c r="F30" s="38">
        <f>INDEX('TWS data'!M:M,MATCH(Table138958456799101112131445626789101112131415161718192021345678910111213141516171819202122233456789101112131415161718192034567891011121314151617181920[[#This Row],[IB Ticker]],'TWS data'!B:B,0))</f>
        <v>172206.25490196078</v>
      </c>
      <c r="G30" s="39">
        <f>'Dec 30'!$E30/'Dec 30'!$F30</f>
        <v>50.220912069236974</v>
      </c>
      <c r="H30" s="36">
        <f>INDEX('TWS data'!F:F,MATCH(Table138958456799101112131445626789101112131415161718192021345678910111213141516171819202122233456789101112131415161718192034567891011121314151617181920[[#This Row],[IB Ticker]],'TWS data'!B:B,0))</f>
        <v>51</v>
      </c>
      <c r="I30" s="36">
        <f>ROUND(Table138958456799101112131445626789101112131415161718192021345678910111213141516171819202122233456789101112131415161718192034567891011121314151617181920[[#This Row],[Target Quantity]],0)</f>
        <v>50</v>
      </c>
      <c r="J30" s="40">
        <f t="shared" si="1"/>
        <v>-1</v>
      </c>
      <c r="K30" s="41">
        <f>'Dec 30'!$F30*'Dec 30'!$I30</f>
        <v>8610312.7450980395</v>
      </c>
      <c r="L30" s="42">
        <f>'Dec 30'!$K30/$K$2</f>
        <v>5.3216898736903745E-2</v>
      </c>
      <c r="M30" s="64"/>
    </row>
    <row r="31" spans="1:15" s="4" customFormat="1" ht="25.5" x14ac:dyDescent="0.2">
      <c r="A31" s="36" t="s">
        <v>137</v>
      </c>
      <c r="B31" s="62" t="s">
        <v>84</v>
      </c>
      <c r="C31" s="63" t="s">
        <v>85</v>
      </c>
      <c r="D31" s="37">
        <v>5.3437999999999999E-2</v>
      </c>
      <c r="E31" s="38">
        <f>'Dec 30'!$D31*$C$6*$C$2</f>
        <v>8648355.1852039807</v>
      </c>
      <c r="F31" s="38">
        <f>INDEX('TWS data'!M:M,MATCH(Table138958456799101112131445626789101112131415161718192021345678910111213141516171819202122233456789101112131415161718192034567891011121314151617181920[[#This Row],[IB Ticker]],'TWS data'!B:B,0))</f>
        <v>126028.11594202899</v>
      </c>
      <c r="G31" s="39">
        <f>'Dec 30'!$E31/'Dec 30'!$F31</f>
        <v>68.622426992260145</v>
      </c>
      <c r="H31" s="36">
        <f>INDEX('TWS data'!F:F,MATCH(Table138958456799101112131445626789101112131415161718192021345678910111213141516171819202122233456789101112131415161718192034567891011121314151617181920[[#This Row],[IB Ticker]],'TWS data'!B:B,0))</f>
        <v>69</v>
      </c>
      <c r="I31" s="36">
        <f>ROUND(Table138958456799101112131445626789101112131415161718192021345678910111213141516171819202122233456789101112131415161718192034567891011121314151617181920[[#This Row],[Target Quantity]],0)</f>
        <v>69</v>
      </c>
      <c r="J31" s="40">
        <f t="shared" si="1"/>
        <v>0</v>
      </c>
      <c r="K31" s="41">
        <f>'Dec 30'!$F31*'Dec 30'!$I31</f>
        <v>8695940</v>
      </c>
      <c r="L31" s="42">
        <f>'Dec 30'!$K31/$K$2</f>
        <v>5.3746126546408216E-2</v>
      </c>
      <c r="M31" s="64"/>
    </row>
    <row r="32" spans="1:15" s="4" customFormat="1" ht="25.5" x14ac:dyDescent="0.2">
      <c r="A32" s="36" t="s">
        <v>137</v>
      </c>
      <c r="B32" s="62" t="s">
        <v>86</v>
      </c>
      <c r="C32" s="63" t="s">
        <v>87</v>
      </c>
      <c r="D32" s="37">
        <v>5.3437999999999999E-2</v>
      </c>
      <c r="E32" s="38">
        <f>'Dec 30'!$D32*$C$6*$C$2</f>
        <v>8648355.1852039807</v>
      </c>
      <c r="F32" s="38">
        <f>INDEX('TWS data'!M:M,MATCH(Table138958456799101112131445626789101112131415161718192021345678910111213141516171819202122233456789101112131415161718192034567891011121314151617181920[[#This Row],[IB Ticker]],'TWS data'!B:B,0))</f>
        <v>137790.82539682538</v>
      </c>
      <c r="G32" s="39">
        <f>'Dec 30'!$E32/'Dec 30'!$F32</f>
        <v>62.764376077271351</v>
      </c>
      <c r="H32" s="36">
        <f>INDEX('TWS data'!F:F,MATCH(Table138958456799101112131445626789101112131415161718192021345678910111213141516171819202122233456789101112131415161718192034567891011121314151617181920[[#This Row],[IB Ticker]],'TWS data'!B:B,0))</f>
        <v>63</v>
      </c>
      <c r="I32" s="36">
        <f>ROUND(Table138958456799101112131445626789101112131415161718192021345678910111213141516171819202122233456789101112131415161718192034567891011121314151617181920[[#This Row],[Target Quantity]],0)</f>
        <v>63</v>
      </c>
      <c r="J32" s="40">
        <f t="shared" si="1"/>
        <v>0</v>
      </c>
      <c r="K32" s="41">
        <f>'Dec 30'!$F32*'Dec 30'!$I32</f>
        <v>8680822</v>
      </c>
      <c r="L32" s="42">
        <f>'Dec 30'!$K32/$K$2</f>
        <v>5.3652688235986498E-2</v>
      </c>
      <c r="M32" s="64"/>
    </row>
    <row r="33" spans="1:16" s="4" customFormat="1" ht="25.5" x14ac:dyDescent="0.2">
      <c r="A33" s="36" t="s">
        <v>137</v>
      </c>
      <c r="B33" s="62" t="s">
        <v>92</v>
      </c>
      <c r="C33" s="63" t="s">
        <v>93</v>
      </c>
      <c r="D33" s="37">
        <v>5.3437999999999999E-2</v>
      </c>
      <c r="E33" s="38">
        <f>'Dec 30'!$D33*$C$6*$C$2</f>
        <v>8648355.1852039807</v>
      </c>
      <c r="F33" s="38">
        <f>INDEX('TWS data'!M:M,MATCH(Table138958456799101112131445626789101112131415161718192021345678910111213141516171819202122233456789101112131415161718192034567891011121314151617181920[[#This Row],[IB Ticker]],'TWS data'!B:B,0))</f>
        <v>220934.55</v>
      </c>
      <c r="G33" s="39">
        <f>'Dec 30'!$E33/'Dec 30'!$F33</f>
        <v>39.144421663356781</v>
      </c>
      <c r="H33" s="36">
        <f>INDEX('TWS data'!F:F,MATCH(Table138958456799101112131445626789101112131415161718192021345678910111213141516171819202122233456789101112131415161718192034567891011121314151617181920[[#This Row],[IB Ticker]],'TWS data'!B:B,0))</f>
        <v>40</v>
      </c>
      <c r="I33" s="36">
        <f>ROUND(Table138958456799101112131445626789101112131415161718192021345678910111213141516171819202122233456789101112131415161718192034567891011121314151617181920[[#This Row],[Target Quantity]],0)</f>
        <v>39</v>
      </c>
      <c r="J33" s="40">
        <f t="shared" si="1"/>
        <v>-1</v>
      </c>
      <c r="K33" s="41">
        <f>'Dec 30'!$F33*'Dec 30'!$I33</f>
        <v>8616447.4499999993</v>
      </c>
      <c r="L33" s="42">
        <f>'Dec 30'!$K33/$K$2</f>
        <v>5.325481489386729E-2</v>
      </c>
      <c r="M33" s="64"/>
    </row>
    <row r="34" spans="1:16" s="44" customFormat="1" ht="25.5" customHeight="1" x14ac:dyDescent="0.2">
      <c r="A34" s="36" t="s">
        <v>138</v>
      </c>
      <c r="B34" s="36" t="s">
        <v>54</v>
      </c>
      <c r="C34" s="36" t="s">
        <v>55</v>
      </c>
      <c r="D34" s="37">
        <v>5.3437999999999999E-2</v>
      </c>
      <c r="E34" s="38">
        <f>'Dec 30'!$D34*$C$6*$C$2</f>
        <v>8648355.1852039807</v>
      </c>
      <c r="F34" s="38">
        <f>INDEX('TWS data'!M:M,MATCH(Table138958456799101112131445626789101112131415161718192021345678910111213141516171819202122233456789101112131415161718192034567891011121314151617181920[[#This Row],[IB Ticker]],'TWS data'!B:B,0))</f>
        <v>116057.02666666667</v>
      </c>
      <c r="G34" s="39">
        <f>'Dec 30'!$E34/'Dec 30'!$F34</f>
        <v>74.518152270464114</v>
      </c>
      <c r="H34" s="36">
        <f>INDEX('TWS data'!F:F,MATCH(Table138958456799101112131445626789101112131415161718192021345678910111213141516171819202122233456789101112131415161718192034567891011121314151617181920[[#This Row],[IB Ticker]],'TWS data'!B:B,0))</f>
        <v>75</v>
      </c>
      <c r="I34" s="36">
        <f>ROUND(Table138958456799101112131445626789101112131415161718192021345678910111213141516171819202122233456789101112131415161718192034567891011121314151617181920[[#This Row],[Target Quantity]],0)</f>
        <v>75</v>
      </c>
      <c r="J34" s="40">
        <f t="shared" si="1"/>
        <v>0</v>
      </c>
      <c r="K34" s="41">
        <f>'Dec 30'!$F34*'Dec 30'!$I34</f>
        <v>8704277</v>
      </c>
      <c r="L34" s="42">
        <f>'Dec 30'!$K34/$K$2</f>
        <v>5.3797654208399603E-2</v>
      </c>
      <c r="M34" s="43"/>
      <c r="O34" s="4"/>
    </row>
    <row r="35" spans="1:16" s="44" customFormat="1" ht="25.5" x14ac:dyDescent="0.2">
      <c r="A35" s="36" t="s">
        <v>138</v>
      </c>
      <c r="B35" s="36" t="s">
        <v>52</v>
      </c>
      <c r="C35" s="36" t="s">
        <v>53</v>
      </c>
      <c r="D35" s="37">
        <v>5.3437999999999999E-2</v>
      </c>
      <c r="E35" s="38">
        <f>'Dec 30'!$D35*$C$6*$C$2</f>
        <v>8648355.1852039807</v>
      </c>
      <c r="F35" s="38">
        <f>INDEX('TWS data'!M:M,MATCH(Table138958456799101112131445626789101112131415161718192021345678910111213141516171819202122233456789101112131415161718192034567891011121314151617181920[[#This Row],[IB Ticker]],'TWS data'!B:B,0))</f>
        <v>138945.68253968254</v>
      </c>
      <c r="G35" s="39">
        <f>'Dec 30'!$E35/'Dec 30'!$F35</f>
        <v>62.242705402048259</v>
      </c>
      <c r="H35" s="36">
        <f>INDEX('TWS data'!F:F,MATCH(Table138958456799101112131445626789101112131415161718192021345678910111213141516171819202122233456789101112131415161718192034567891011121314151617181920[[#This Row],[IB Ticker]],'TWS data'!B:B,0))</f>
        <v>63</v>
      </c>
      <c r="I35" s="36">
        <f>ROUND(Table138958456799101112131445626789101112131415161718192021345678910111213141516171819202122233456789101112131415161718192034567891011121314151617181920[[#This Row],[Target Quantity]],0)</f>
        <v>62</v>
      </c>
      <c r="J35" s="40">
        <f t="shared" si="1"/>
        <v>-1</v>
      </c>
      <c r="K35" s="41">
        <f>'Dec 30'!$F35*'Dec 30'!$I35</f>
        <v>8614632.3174603172</v>
      </c>
      <c r="L35" s="42">
        <f>'Dec 30'!$K35/$K$2</f>
        <v>5.3243596285737951E-2</v>
      </c>
      <c r="M35" s="43"/>
      <c r="O35" s="4"/>
    </row>
    <row r="36" spans="1:16" s="44" customFormat="1" ht="24.95" customHeight="1" x14ac:dyDescent="0.2">
      <c r="A36" s="36" t="s">
        <v>138</v>
      </c>
      <c r="B36" s="36" t="s">
        <v>48</v>
      </c>
      <c r="C36" s="36" t="s">
        <v>49</v>
      </c>
      <c r="D36" s="37">
        <v>5.3437999999999999E-2</v>
      </c>
      <c r="E36" s="38">
        <f>'Dec 30'!$D36*$C$6*$C$2</f>
        <v>8648355.1852039807</v>
      </c>
      <c r="F36" s="38">
        <f>INDEX('TWS data'!M:M,MATCH(Table138958456799101112131445626789101112131415161718192021345678910111213141516171819202122233456789101112131415161718192034567891011121314151617181920[[#This Row],[IB Ticker]],'TWS data'!B:B,0))</f>
        <v>186284.57446808511</v>
      </c>
      <c r="G36" s="39">
        <f>'Dec 30'!$E36/'Dec 30'!$F36</f>
        <v>46.425503614018481</v>
      </c>
      <c r="H36" s="36">
        <f>INDEX('TWS data'!F:F,MATCH(Table138958456799101112131445626789101112131415161718192021345678910111213141516171819202122233456789101112131415161718192034567891011121314151617181920[[#This Row],[IB Ticker]],'TWS data'!B:B,0))</f>
        <v>47</v>
      </c>
      <c r="I36" s="36">
        <f>ROUND(Table138958456799101112131445626789101112131415161718192021345678910111213141516171819202122233456789101112131415161718192034567891011121314151617181920[[#This Row],[Target Quantity]],0)</f>
        <v>46</v>
      </c>
      <c r="J36" s="40">
        <f t="shared" si="1"/>
        <v>-1</v>
      </c>
      <c r="K36" s="41">
        <f>'Dec 30'!$F36*'Dec 30'!$I36</f>
        <v>8569090.4255319145</v>
      </c>
      <c r="L36" s="42">
        <f>'Dec 30'!$K36/$K$2</f>
        <v>5.2962120069624828E-2</v>
      </c>
      <c r="M36" s="43"/>
      <c r="O36" s="4"/>
    </row>
    <row r="37" spans="1:16" s="44" customFormat="1" ht="24.95" customHeight="1" x14ac:dyDescent="0.2">
      <c r="A37" s="36" t="s">
        <v>138</v>
      </c>
      <c r="B37" s="36" t="s">
        <v>58</v>
      </c>
      <c r="C37" s="36" t="s">
        <v>59</v>
      </c>
      <c r="D37" s="37">
        <v>3.5619999999999999E-2</v>
      </c>
      <c r="E37" s="38">
        <f>'Dec 30'!$D37*$C$6*$C$2</f>
        <v>5764706.9818661958</v>
      </c>
      <c r="F37" s="38">
        <f>INDEX('TWS data'!M:M,MATCH(Table138958456799101112131445626789101112131415161718192021345678910111213141516171819202122233456789101112131415161718192034567891011121314151617181920[[#This Row],[IB Ticker]],'TWS data'!B:B,0))</f>
        <v>275299.65384615387</v>
      </c>
      <c r="G37" s="39">
        <f>'Dec 30'!$E37/'Dec 30'!$F37</f>
        <v>20.93975383306401</v>
      </c>
      <c r="H37" s="36">
        <f>INDEX('TWS data'!F:F,MATCH(Table138958456799101112131445626789101112131415161718192021345678910111213141516171819202122233456789101112131415161718192034567891011121314151617181920[[#This Row],[IB Ticker]],'TWS data'!B:B,0))</f>
        <v>26</v>
      </c>
      <c r="I37" s="36">
        <f>ROUND(Table138958456799101112131445626789101112131415161718192021345678910111213141516171819202122233456789101112131415161718192034567891011121314151617181920[[#This Row],[Target Quantity]],0)</f>
        <v>21</v>
      </c>
      <c r="J37" s="40">
        <f t="shared" si="1"/>
        <v>-5</v>
      </c>
      <c r="K37" s="41">
        <f>'Dec 30'!$F37*'Dec 30'!$I37</f>
        <v>5781292.730769231</v>
      </c>
      <c r="L37" s="42">
        <f>'Dec 30'!$K37/$K$2</f>
        <v>3.5731857707131491E-2</v>
      </c>
      <c r="M37" s="43"/>
      <c r="O37" s="4"/>
    </row>
    <row r="38" spans="1:16" s="44" customFormat="1" ht="24.95" customHeight="1" x14ac:dyDescent="0.2">
      <c r="A38" s="36" t="s">
        <v>172</v>
      </c>
      <c r="B38" s="36" t="s">
        <v>94</v>
      </c>
      <c r="C38" s="36" t="s">
        <v>173</v>
      </c>
      <c r="D38" s="37">
        <v>5.3437999999999999E-2</v>
      </c>
      <c r="E38" s="38">
        <f>'Dec 30'!$D38*$C$6*$C$2</f>
        <v>8648355.1852039807</v>
      </c>
      <c r="F38" s="38">
        <f>INDEX('TWS data'!M:M,MATCH(Table138958456799101112131445626789101112131415161718192021345678910111213141516171819202122233456789101112131415161718192034567891011121314151617181920[[#This Row],[IB Ticker]],'TWS data'!B:B,0))</f>
        <v>61.71</v>
      </c>
      <c r="G38" s="39">
        <f>'Dec 30'!$E38/'Dec 30'!$F38</f>
        <v>140145.11724524357</v>
      </c>
      <c r="H38" s="36">
        <f>INDEX('TWS data'!F:F,MATCH(Table138958456799101112131445626789101112131415161718192021345678910111213141516171819202122233456789101112131415161718192034567891011121314151617181920[[#This Row],[IB Ticker]],'TWS data'!B:B,0))</f>
        <v>0</v>
      </c>
      <c r="I38" s="36">
        <f>ROUND(Table138958456799101112131445626789101112131415161718192021345678910111213141516171819202122233456789101112131415161718192034567891011121314151617181920[[#This Row],[Target Quantity]],0)</f>
        <v>140145</v>
      </c>
      <c r="J38" s="40">
        <f t="shared" si="1"/>
        <v>140145</v>
      </c>
      <c r="K38" s="41">
        <f>'Dec 30'!$F38*'Dec 30'!$I38</f>
        <v>8648347.9499999993</v>
      </c>
      <c r="L38" s="42">
        <f>'Dec 30'!$K38/$K$2</f>
        <v>5.3451979123369069E-2</v>
      </c>
      <c r="M38" s="43"/>
      <c r="O38" s="4"/>
    </row>
    <row r="39" spans="1:16" s="66" customFormat="1" ht="12.75" x14ac:dyDescent="0.2">
      <c r="A39" s="36"/>
      <c r="B39" s="63"/>
      <c r="C39" s="63"/>
      <c r="D39" s="37"/>
      <c r="E39" s="65"/>
      <c r="F39" s="38"/>
      <c r="G39" s="39"/>
      <c r="H39" s="36"/>
      <c r="I39" s="36"/>
      <c r="J39" s="46"/>
      <c r="K39" s="38"/>
      <c r="L39" s="47"/>
      <c r="M39" s="64"/>
    </row>
    <row r="40" spans="1:16" s="17" customFormat="1" ht="12.75" x14ac:dyDescent="0.2">
      <c r="A40" s="48" t="s">
        <v>142</v>
      </c>
      <c r="B40" s="67"/>
      <c r="C40" s="67"/>
      <c r="D40" s="56">
        <f>SUBTOTAL(9,D28:D39)</f>
        <v>0.56999949999999988</v>
      </c>
      <c r="E40" s="68">
        <f>'Dec 30'!$D40*$C$6*$C$2</f>
        <v>92248177.914380684</v>
      </c>
      <c r="F40" s="69"/>
      <c r="G40" s="70"/>
      <c r="H40" s="55"/>
      <c r="I40" s="55"/>
      <c r="J40" s="59"/>
      <c r="K40" s="68">
        <f>SUM(K28:K39)</f>
        <v>92310573.6188595</v>
      </c>
      <c r="L40" s="71">
        <f>'Dec 30'!$K40/$K$2</f>
        <v>0.57053472899890689</v>
      </c>
      <c r="M40" s="72"/>
    </row>
    <row r="41" spans="1:16" s="44" customFormat="1" ht="12.75" x14ac:dyDescent="0.25">
      <c r="A41" s="36"/>
      <c r="B41" s="36"/>
      <c r="C41" s="36"/>
      <c r="D41" s="37"/>
      <c r="E41" s="38"/>
      <c r="F41" s="38"/>
      <c r="G41" s="74"/>
      <c r="H41" s="36"/>
      <c r="I41" s="36"/>
      <c r="J41" s="40"/>
      <c r="K41" s="41"/>
      <c r="L41" s="42"/>
      <c r="M41" s="43"/>
    </row>
    <row r="42" spans="1:16" s="44" customFormat="1" ht="25.5" x14ac:dyDescent="0.25">
      <c r="A42" s="36" t="s">
        <v>154</v>
      </c>
      <c r="B42" s="36" t="s">
        <v>45</v>
      </c>
      <c r="C42" s="36" t="s">
        <v>46</v>
      </c>
      <c r="D42" s="37">
        <v>2E-3</v>
      </c>
      <c r="E42" s="38">
        <f>'Dec 30'!$D42*$C$6*$C$2</f>
        <v>323678.10117160005</v>
      </c>
      <c r="F42" s="38">
        <f>INDEX('TWS data'!M:M,MATCH(Table138958456799101112131445626789101112131415161718192021345678910111213141516171819202122233456789101112131415161718192034567891011121314151617181920[[#This Row],[IB Ticker]],'TWS data'!B:B,0))</f>
        <v>49919.166666666664</v>
      </c>
      <c r="G42" s="74">
        <f>'Dec 30'!$E42/'Dec 30'!$F42</f>
        <v>6.4840445621407952</v>
      </c>
      <c r="H42" s="36">
        <f>INDEX('TWS data'!F:F,MATCH(Table138958456799101112131445626789101112131415161718192021345678910111213141516171819202122233456789101112131415161718192034567891011121314151617181920[[#This Row],[IB Ticker]],'TWS data'!B:B,0))</f>
        <v>6</v>
      </c>
      <c r="I42" s="36">
        <v>6</v>
      </c>
      <c r="J42" s="40">
        <f t="shared" ref="J42:J51" si="2">I42-H42</f>
        <v>0</v>
      </c>
      <c r="K42" s="41">
        <f>'Dec 30'!$F42*'Dec 30'!$I42</f>
        <v>299515</v>
      </c>
      <c r="L42" s="42">
        <f>'Dec 30'!$K42/$K$2</f>
        <v>1.8511824015054676E-3</v>
      </c>
      <c r="M42" s="43"/>
    </row>
    <row r="43" spans="1:16" s="44" customFormat="1" ht="25.5" x14ac:dyDescent="0.25">
      <c r="A43" s="36" t="s">
        <v>154</v>
      </c>
      <c r="B43" s="36" t="s">
        <v>60</v>
      </c>
      <c r="C43" s="36" t="s">
        <v>61</v>
      </c>
      <c r="D43" s="37">
        <v>2E-3</v>
      </c>
      <c r="E43" s="38">
        <f>'Dec 30'!$D43*$C$6*$C$2</f>
        <v>323678.10117160005</v>
      </c>
      <c r="F43" s="38">
        <f>INDEX('TWS data'!M:M,MATCH(Table138958456799101112131445626789101112131415161718192021345678910111213141516171819202122233456789101112131415161718192034567891011121314151617181920[[#This Row],[IB Ticker]],'TWS data'!B:B,0))</f>
        <v>88915</v>
      </c>
      <c r="G43" s="74">
        <f>'Dec 30'!$E43/'Dec 30'!$F43</f>
        <v>3.6403092973244116</v>
      </c>
      <c r="H43" s="36">
        <f>INDEX('TWS data'!F:F,MATCH(Table138958456799101112131445626789101112131415161718192021345678910111213141516171819202122233456789101112131415161718192034567891011121314151617181920[[#This Row],[IB Ticker]],'TWS data'!B:B,0))</f>
        <v>3</v>
      </c>
      <c r="I43" s="36">
        <v>4</v>
      </c>
      <c r="J43" s="40">
        <f t="shared" si="2"/>
        <v>1</v>
      </c>
      <c r="K43" s="41">
        <f>'Dec 30'!$F43*'Dec 30'!$I43</f>
        <v>355660</v>
      </c>
      <c r="L43" s="42">
        <f>'Dec 30'!$K43/$K$2</f>
        <v>2.1981921871005949E-3</v>
      </c>
      <c r="M43" s="43"/>
      <c r="P43" s="44" t="s">
        <v>157</v>
      </c>
    </row>
    <row r="44" spans="1:16" s="44" customFormat="1" ht="25.5" x14ac:dyDescent="0.25">
      <c r="A44" s="36" t="s">
        <v>154</v>
      </c>
      <c r="B44" s="36" t="s">
        <v>68</v>
      </c>
      <c r="C44" s="36" t="s">
        <v>69</v>
      </c>
      <c r="D44" s="37">
        <v>2E-3</v>
      </c>
      <c r="E44" s="38">
        <f>'Dec 30'!$D44*$C$6*$C$2</f>
        <v>323678.10117160005</v>
      </c>
      <c r="F44" s="38">
        <f>INDEX('TWS data'!M:M,MATCH(Table138958456799101112131445626789101112131415161718192021345678910111213141516171819202122233456789101112131415161718192034567891011121314151617181920[[#This Row],[IB Ticker]],'TWS data'!B:B,0))</f>
        <v>100788.66666666667</v>
      </c>
      <c r="G44" s="74">
        <f>'Dec 30'!$E44/'Dec 30'!$F44</f>
        <v>3.2114533496319035</v>
      </c>
      <c r="H44" s="36">
        <f>INDEX('TWS data'!F:F,MATCH(Table138958456799101112131445626789101112131415161718192021345678910111213141516171819202122233456789101112131415161718192034567891011121314151617181920[[#This Row],[IB Ticker]],'TWS data'!B:B,0))</f>
        <v>3</v>
      </c>
      <c r="I44" s="36">
        <v>3</v>
      </c>
      <c r="J44" s="40">
        <f t="shared" si="2"/>
        <v>0</v>
      </c>
      <c r="K44" s="41">
        <f>'Dec 30'!$F44*'Dec 30'!$I44</f>
        <v>302366</v>
      </c>
      <c r="L44" s="42">
        <f>'Dec 30'!$K44/$K$2</f>
        <v>1.8688032920341293E-3</v>
      </c>
      <c r="M44" s="43"/>
    </row>
    <row r="45" spans="1:16" s="44" customFormat="1" ht="25.5" x14ac:dyDescent="0.25">
      <c r="A45" s="36" t="s">
        <v>154</v>
      </c>
      <c r="B45" s="36" t="s">
        <v>70</v>
      </c>
      <c r="C45" s="36" t="s">
        <v>71</v>
      </c>
      <c r="D45" s="37">
        <v>2E-3</v>
      </c>
      <c r="E45" s="38">
        <f>'Dec 30'!$D45*$C$6*$C$2</f>
        <v>323678.10117160005</v>
      </c>
      <c r="F45" s="38">
        <f>INDEX('TWS data'!M:M,MATCH(Table138958456799101112131445626789101112131415161718192021345678910111213141516171819202122233456789101112131415161718192034567891011121314151617181920[[#This Row],[IB Ticker]],'TWS data'!B:B,0))</f>
        <v>234670</v>
      </c>
      <c r="G45" s="74">
        <f>'Dec 30'!$E45/'Dec 30'!$F45</f>
        <v>1.3792904980253125</v>
      </c>
      <c r="H45" s="36">
        <f>INDEX('TWS data'!F:F,MATCH(Table138958456799101112131445626789101112131415161718192021345678910111213141516171819202122233456789101112131415161718192034567891011121314151617181920[[#This Row],[IB Ticker]],'TWS data'!B:B,0))</f>
        <v>1</v>
      </c>
      <c r="I45" s="36">
        <v>1</v>
      </c>
      <c r="J45" s="40">
        <f t="shared" si="2"/>
        <v>0</v>
      </c>
      <c r="K45" s="41">
        <f>'Dec 30'!$F45*'Dec 30'!$I45</f>
        <v>234670</v>
      </c>
      <c r="L45" s="42">
        <f>'Dec 30'!$K45/$K$2</f>
        <v>1.4504013961280341E-3</v>
      </c>
      <c r="M45" s="43"/>
    </row>
    <row r="46" spans="1:16" s="44" customFormat="1" ht="25.5" x14ac:dyDescent="0.25">
      <c r="A46" s="36" t="s">
        <v>154</v>
      </c>
      <c r="B46" s="36" t="s">
        <v>72</v>
      </c>
      <c r="C46" s="36" t="s">
        <v>73</v>
      </c>
      <c r="D46" s="37">
        <v>2E-3</v>
      </c>
      <c r="E46" s="38">
        <f>'Dec 30'!$D46*$C$6*$C$2</f>
        <v>323678.10117160005</v>
      </c>
      <c r="F46" s="38">
        <f>INDEX('TWS data'!M:M,MATCH(Table138958456799101112131445626789101112131415161718192021345678910111213141516171819202122233456789101112131415161718192034567891011121314151617181920[[#This Row],[IB Ticker]],'TWS data'!B:B,0))</f>
        <v>15801.052631578947</v>
      </c>
      <c r="G46" s="74">
        <f>'Dec 30'!$E46/'Dec 30'!$F46</f>
        <v>20.484591040771438</v>
      </c>
      <c r="H46" s="36">
        <f>INDEX('TWS data'!F:F,MATCH(Table138958456799101112131445626789101112131415161718192021345678910111213141516171819202122233456789101112131415161718192034567891011121314151617181920[[#This Row],[IB Ticker]],'TWS data'!B:B,0))</f>
        <v>19</v>
      </c>
      <c r="I46" s="36">
        <v>20</v>
      </c>
      <c r="J46" s="40">
        <f t="shared" si="2"/>
        <v>1</v>
      </c>
      <c r="K46" s="41">
        <f>'Dec 30'!$F46*'Dec 30'!$I46</f>
        <v>316021.05263157893</v>
      </c>
      <c r="L46" s="42">
        <f>'Dec 30'!$K46/$K$2</f>
        <v>1.9531997099871863E-3</v>
      </c>
      <c r="M46" s="43"/>
    </row>
    <row r="47" spans="1:16" s="4" customFormat="1" ht="25.5" x14ac:dyDescent="0.2">
      <c r="A47" s="36" t="s">
        <v>154</v>
      </c>
      <c r="B47" s="63" t="s">
        <v>90</v>
      </c>
      <c r="C47" s="63" t="s">
        <v>91</v>
      </c>
      <c r="D47" s="37">
        <v>2E-3</v>
      </c>
      <c r="E47" s="38">
        <f>'Dec 30'!$D47*$C$6*$C$2</f>
        <v>323678.10117160005</v>
      </c>
      <c r="F47" s="38">
        <f>INDEX('TWS data'!M:M,MATCH(Table138958456799101112131445626789101112131415161718192021345678910111213141516171819202122233456789101112131415161718192034567891011121314151617181920[[#This Row],[IB Ticker]],'TWS data'!B:B,0))</f>
        <v>68465.5</v>
      </c>
      <c r="G47" s="74">
        <f>'Dec 30'!$E47/'Dec 30'!$F47</f>
        <v>4.7276088127830809</v>
      </c>
      <c r="H47" s="36">
        <f>INDEX('TWS data'!F:F,MATCH(Table138958456799101112131445626789101112131415161718192021345678910111213141516171819202122233456789101112131415161718192034567891011121314151617181920[[#This Row],[IB Ticker]],'TWS data'!B:B,0))</f>
        <v>4</v>
      </c>
      <c r="I47" s="36">
        <v>5</v>
      </c>
      <c r="J47" s="40">
        <f t="shared" si="2"/>
        <v>1</v>
      </c>
      <c r="K47" s="41">
        <f>'Dec 30'!$F47*'Dec 30'!$I47</f>
        <v>342327.5</v>
      </c>
      <c r="L47" s="42">
        <f>'Dec 30'!$K47/$K$2</f>
        <v>2.1157893379342035E-3</v>
      </c>
      <c r="M47" s="64"/>
    </row>
    <row r="48" spans="1:16" s="44" customFormat="1" ht="25.5" x14ac:dyDescent="0.25">
      <c r="A48" s="36" t="s">
        <v>154</v>
      </c>
      <c r="B48" s="36" t="s">
        <v>66</v>
      </c>
      <c r="C48" s="36" t="s">
        <v>67</v>
      </c>
      <c r="D48" s="37">
        <v>2E-3</v>
      </c>
      <c r="E48" s="38">
        <f>'Dec 30'!$D48*$C$6*$C$2</f>
        <v>323678.10117160005</v>
      </c>
      <c r="F48" s="38">
        <f>INDEX('TWS data'!M:M,MATCH(Table138958456799101112131445626789101112131415161718192021345678910111213141516171819202122233456789101112131415161718192034567891011121314151617181920[[#This Row],[IB Ticker]],'TWS data'!B:B,0))</f>
        <v>24410</v>
      </c>
      <c r="G48" s="74">
        <f>'Dec 30'!$E48/'Dec 30'!$F48</f>
        <v>13.260061498222042</v>
      </c>
      <c r="H48" s="36">
        <f>INDEX('TWS data'!F:F,MATCH(Table138958456799101112131445626789101112131415161718192021345678910111213141516171819202122233456789101112131415161718192034567891011121314151617181920[[#This Row],[IB Ticker]],'TWS data'!B:B,0))</f>
        <v>13</v>
      </c>
      <c r="I48" s="36">
        <v>13</v>
      </c>
      <c r="J48" s="40">
        <f t="shared" si="2"/>
        <v>0</v>
      </c>
      <c r="K48" s="41">
        <f>'Dec 30'!$F48*'Dec 30'!$I48</f>
        <v>317330</v>
      </c>
      <c r="L48" s="42">
        <f>'Dec 30'!$K48/$K$2</f>
        <v>1.9612897900596967E-3</v>
      </c>
      <c r="M48" s="43"/>
    </row>
    <row r="49" spans="1:13" s="44" customFormat="1" ht="25.5" x14ac:dyDescent="0.25">
      <c r="A49" s="36" t="s">
        <v>154</v>
      </c>
      <c r="B49" s="36" t="s">
        <v>79</v>
      </c>
      <c r="C49" s="36" t="s">
        <v>78</v>
      </c>
      <c r="D49" s="37">
        <v>2E-3</v>
      </c>
      <c r="E49" s="38">
        <f>'Dec 30'!$D49*$C$6*$C$2</f>
        <v>323678.10117160005</v>
      </c>
      <c r="F49" s="38">
        <f>INDEX('TWS data'!M:M,MATCH(Table138958456799101112131445626789101112131415161718192021345678910111213141516171819202122233456789101112131415161718192034567891011121314151617181920[[#This Row],[IB Ticker]],'TWS data'!B:B,0))</f>
        <v>7473.6750000000002</v>
      </c>
      <c r="G49" s="74">
        <f>'Dec 30'!$E49/'Dec 30'!$F49</f>
        <v>43.309095079943944</v>
      </c>
      <c r="H49" s="36">
        <f>INDEX('TWS data'!F:F,MATCH(Table138958456799101112131445626789101112131415161718192021345678910111213141516171819202122233456789101112131415161718192034567891011121314151617181920[[#This Row],[IB Ticker]],'TWS data'!B:B,0))</f>
        <v>40</v>
      </c>
      <c r="I49" s="36">
        <v>43</v>
      </c>
      <c r="J49" s="40">
        <f t="shared" si="2"/>
        <v>3</v>
      </c>
      <c r="K49" s="41">
        <f>'Dec 30'!$F49*'Dec 30'!$I49</f>
        <v>321368.02500000002</v>
      </c>
      <c r="L49" s="42">
        <f>'Dec 30'!$K49/$K$2</f>
        <v>1.9862472072736566E-3</v>
      </c>
      <c r="M49" s="43"/>
    </row>
    <row r="50" spans="1:13" s="44" customFormat="1" ht="25.5" x14ac:dyDescent="0.25">
      <c r="A50" s="36" t="s">
        <v>154</v>
      </c>
      <c r="B50" s="36" t="s">
        <v>63</v>
      </c>
      <c r="C50" s="36" t="s">
        <v>64</v>
      </c>
      <c r="D50" s="37">
        <v>2E-3</v>
      </c>
      <c r="E50" s="38">
        <f>'Dec 30'!$D50*$C$6*$C$2</f>
        <v>323678.10117160005</v>
      </c>
      <c r="F50" s="38">
        <f>INDEX('TWS data'!M:M,MATCH(Table138958456799101112131445626789101112131415161718192021345678910111213141516171819202122233456789101112131415161718192034567891011121314151617181920[[#This Row],[IB Ticker]],'TWS data'!B:B,0))</f>
        <v>29100</v>
      </c>
      <c r="G50" s="74">
        <f>'Dec 30'!$E50/'Dec 30'!$F50</f>
        <v>11.122958803147768</v>
      </c>
      <c r="H50" s="36">
        <f>INDEX('TWS data'!F:F,MATCH(Table138958456799101112131445626789101112131415161718192021345678910111213141516171819202122233456789101112131415161718192034567891011121314151617181920[[#This Row],[IB Ticker]],'TWS data'!B:B,0))</f>
        <v>10</v>
      </c>
      <c r="I50" s="36">
        <v>11</v>
      </c>
      <c r="J50" s="40">
        <f t="shared" si="2"/>
        <v>1</v>
      </c>
      <c r="K50" s="41">
        <f>'Dec 30'!$F50*'Dec 30'!$I50</f>
        <v>320100</v>
      </c>
      <c r="L50" s="42">
        <f>'Dec 30'!$K50/$K$2</f>
        <v>1.978410051990385E-3</v>
      </c>
      <c r="M50" s="43"/>
    </row>
    <row r="51" spans="1:13" s="44" customFormat="1" ht="25.5" x14ac:dyDescent="0.25">
      <c r="A51" s="36" t="s">
        <v>154</v>
      </c>
      <c r="B51" s="36" t="s">
        <v>88</v>
      </c>
      <c r="C51" s="36" t="s">
        <v>89</v>
      </c>
      <c r="D51" s="37">
        <v>2E-3</v>
      </c>
      <c r="E51" s="38">
        <f>'Dec 30'!$D51*$C$6*$C$2</f>
        <v>323678.10117160005</v>
      </c>
      <c r="F51" s="38">
        <f>INDEX('TWS data'!M:M,MATCH(Table138958456799101112131445626789101112131415161718192021345678910111213141516171819202122233456789101112131415161718192034567891011121314151617181920[[#This Row],[IB Ticker]],'TWS data'!B:B,0))</f>
        <v>64403.199999999997</v>
      </c>
      <c r="G51" s="74">
        <f>'Dec 30'!$E51/'Dec 30'!$F51</f>
        <v>5.0258077420314526</v>
      </c>
      <c r="H51" s="36">
        <f>INDEX('TWS data'!F:F,MATCH(Table138958456799101112131445626789101112131415161718192021345678910111213141516171819202122233456789101112131415161718192034567891011121314151617181920[[#This Row],[IB Ticker]],'TWS data'!B:B,0))</f>
        <v>5</v>
      </c>
      <c r="I51" s="36">
        <v>5</v>
      </c>
      <c r="J51" s="40">
        <f t="shared" si="2"/>
        <v>0</v>
      </c>
      <c r="K51" s="41">
        <f>'Dec 30'!$F51*'Dec 30'!$I51</f>
        <v>322016</v>
      </c>
      <c r="L51" s="42">
        <f>'Dec 30'!$K51/$K$2</f>
        <v>1.9902520815424426E-3</v>
      </c>
      <c r="M51" s="43"/>
    </row>
    <row r="52" spans="1:13" s="44" customFormat="1" ht="12.75" x14ac:dyDescent="0.25">
      <c r="A52" s="36"/>
      <c r="B52" s="36"/>
      <c r="C52" s="36"/>
      <c r="D52" s="37"/>
      <c r="E52" s="38"/>
      <c r="F52" s="38"/>
      <c r="G52" s="39"/>
      <c r="H52" s="36"/>
      <c r="I52" s="36"/>
      <c r="J52" s="43"/>
      <c r="K52" s="41"/>
      <c r="L52" s="42"/>
      <c r="M52" s="43"/>
    </row>
    <row r="53" spans="1:13" s="17" customFormat="1" ht="12.75" x14ac:dyDescent="0.2">
      <c r="A53" s="48" t="s">
        <v>164</v>
      </c>
      <c r="B53" s="67"/>
      <c r="C53" s="67"/>
      <c r="D53" s="75">
        <f>SUM(D42:D52)</f>
        <v>2.0000000000000004E-2</v>
      </c>
      <c r="E53" s="50">
        <f>SUM(E41:E52)</f>
        <v>3236781.0117160012</v>
      </c>
      <c r="F53" s="70"/>
      <c r="G53" s="70"/>
      <c r="H53" s="67"/>
      <c r="I53" s="67"/>
      <c r="J53" s="48"/>
      <c r="K53" s="50">
        <f>SUM(K41:K52)</f>
        <v>3131373.5776315788</v>
      </c>
      <c r="L53" s="53">
        <f>'Dec 30'!$K53/$K$2</f>
        <v>1.9353767455555795E-2</v>
      </c>
      <c r="M53" s="60"/>
    </row>
    <row r="54" spans="1:13" s="4" customFormat="1" ht="12.75" x14ac:dyDescent="0.2">
      <c r="A54" s="36"/>
      <c r="B54" s="63"/>
      <c r="C54" s="63"/>
      <c r="D54" s="76"/>
      <c r="E54" s="38"/>
      <c r="F54" s="38"/>
      <c r="G54" s="39"/>
      <c r="H54" s="63"/>
      <c r="I54" s="63"/>
      <c r="J54" s="36"/>
      <c r="K54" s="36"/>
      <c r="L54" s="42"/>
      <c r="M54" s="64"/>
    </row>
    <row r="55" spans="1:13" s="44" customFormat="1" ht="25.5" x14ac:dyDescent="0.25">
      <c r="A55" s="48" t="s">
        <v>165</v>
      </c>
      <c r="B55" s="55" t="s">
        <v>166</v>
      </c>
      <c r="C55" s="55" t="s">
        <v>167</v>
      </c>
      <c r="D55" s="56">
        <v>0</v>
      </c>
      <c r="E55" s="57">
        <f>'Dec 30'!$D55*$C$6*$C$2</f>
        <v>0</v>
      </c>
      <c r="F55" s="57">
        <v>0</v>
      </c>
      <c r="G55" s="58" t="s">
        <v>168</v>
      </c>
      <c r="H55" s="55">
        <v>0</v>
      </c>
      <c r="I55" s="55">
        <v>0</v>
      </c>
      <c r="J55" s="77">
        <f>I55-H55</f>
        <v>0</v>
      </c>
      <c r="K55" s="57">
        <f>'Dec 30'!$F55*'Dec 30'!$I55</f>
        <v>0</v>
      </c>
      <c r="L55" s="78">
        <f>'Dec 30'!$K55/$K$2</f>
        <v>0</v>
      </c>
      <c r="M55" s="55"/>
    </row>
    <row r="56" spans="1:13" s="4" customFormat="1" ht="12.75" x14ac:dyDescent="0.2">
      <c r="A56" s="36"/>
      <c r="B56" s="63"/>
      <c r="C56" s="63"/>
      <c r="D56" s="76"/>
      <c r="E56" s="38"/>
      <c r="F56" s="38"/>
      <c r="G56" s="39"/>
      <c r="H56" s="63"/>
      <c r="I56" s="63"/>
      <c r="J56" s="36"/>
      <c r="K56" s="36"/>
      <c r="L56" s="42"/>
      <c r="M56" s="64"/>
    </row>
    <row r="57" spans="1:13" s="4" customFormat="1" ht="12.75" x14ac:dyDescent="0.2">
      <c r="A57" s="36"/>
      <c r="B57" s="63"/>
      <c r="C57" s="63"/>
      <c r="D57" s="79"/>
      <c r="E57" s="65"/>
      <c r="F57" s="38"/>
      <c r="G57" s="39"/>
      <c r="H57" s="63"/>
      <c r="I57" s="63"/>
      <c r="J57" s="36"/>
      <c r="K57" s="36"/>
      <c r="L57" s="42"/>
      <c r="M57" s="64"/>
    </row>
    <row r="58" spans="1:13" s="17" customFormat="1" ht="12.75" x14ac:dyDescent="0.2">
      <c r="A58" s="48" t="s">
        <v>169</v>
      </c>
      <c r="B58" s="67"/>
      <c r="C58" s="67"/>
      <c r="D58" s="67"/>
      <c r="E58" s="80"/>
      <c r="F58" s="80"/>
      <c r="G58" s="48"/>
      <c r="H58" s="67"/>
      <c r="I58" s="67"/>
      <c r="J58" s="67"/>
      <c r="K58" s="80">
        <f>SUM(K24,K26,K40,K53,K55:K55)</f>
        <v>161796589.98293227</v>
      </c>
      <c r="L58" s="53">
        <f>'Dec 30'!$K58/$K$2</f>
        <v>1.0000000000000002</v>
      </c>
      <c r="M58" s="67"/>
    </row>
    <row r="59" spans="1:13" s="4" customFormat="1" ht="12.75" x14ac:dyDescent="0.2">
      <c r="A59" s="64"/>
      <c r="B59" s="64"/>
      <c r="C59" s="64"/>
      <c r="D59" s="81"/>
      <c r="E59" s="82"/>
      <c r="F59" s="38"/>
      <c r="G59" s="83"/>
      <c r="H59" s="64"/>
      <c r="I59" s="64"/>
      <c r="J59" s="64"/>
      <c r="K59" s="64"/>
      <c r="L59" s="42"/>
      <c r="M59" s="64"/>
    </row>
    <row r="60" spans="1:13" s="4" customFormat="1" ht="12.75" x14ac:dyDescent="0.2">
      <c r="A60" s="64"/>
      <c r="B60" s="64"/>
      <c r="C60" s="64"/>
      <c r="D60" s="81"/>
      <c r="E60" s="82"/>
      <c r="F60" s="38"/>
      <c r="G60" s="83"/>
      <c r="H60" s="64"/>
      <c r="I60" s="64"/>
      <c r="J60" s="64"/>
      <c r="K60" s="64"/>
      <c r="L60" s="42"/>
      <c r="M60" s="64"/>
    </row>
    <row r="61" spans="1:13" s="4" customFormat="1" ht="12.75" x14ac:dyDescent="0.2">
      <c r="A61" s="64"/>
      <c r="B61" s="64"/>
      <c r="C61" s="64"/>
      <c r="D61" s="81"/>
      <c r="E61" s="82"/>
      <c r="F61" s="38"/>
      <c r="G61" s="83"/>
      <c r="H61" s="64"/>
      <c r="I61" s="64"/>
      <c r="J61" s="64"/>
      <c r="K61" s="64"/>
      <c r="L61" s="42"/>
      <c r="M61" s="64"/>
    </row>
    <row r="62" spans="1:13" s="4" customFormat="1" ht="12.75" x14ac:dyDescent="0.2">
      <c r="A62" s="64"/>
      <c r="B62" s="64"/>
      <c r="C62" s="64"/>
      <c r="D62" s="81"/>
      <c r="E62" s="82"/>
      <c r="F62" s="38"/>
      <c r="G62" s="83"/>
      <c r="H62" s="64"/>
      <c r="I62" s="64"/>
      <c r="J62" s="64"/>
      <c r="K62" s="64"/>
      <c r="L62" s="42"/>
      <c r="M62" s="64"/>
    </row>
    <row r="63" spans="1:13" s="4" customFormat="1" ht="12.75" x14ac:dyDescent="0.2">
      <c r="A63" s="64"/>
      <c r="B63" s="64"/>
      <c r="C63" s="64"/>
      <c r="D63" s="81"/>
      <c r="E63" s="82"/>
      <c r="F63" s="38"/>
      <c r="G63" s="83"/>
      <c r="H63" s="64"/>
      <c r="I63" s="64"/>
      <c r="J63" s="64"/>
      <c r="K63" s="64"/>
      <c r="L63" s="42"/>
      <c r="M63" s="64"/>
    </row>
    <row r="64" spans="1:13" s="4" customFormat="1" ht="12.75" x14ac:dyDescent="0.2">
      <c r="A64" s="64"/>
      <c r="B64" s="64"/>
      <c r="C64" s="64"/>
      <c r="D64" s="81"/>
      <c r="E64" s="82"/>
      <c r="F64" s="38"/>
      <c r="G64" s="83"/>
      <c r="H64" s="64"/>
      <c r="I64" s="64"/>
      <c r="J64" s="64"/>
      <c r="K64" s="64"/>
      <c r="L64" s="42"/>
      <c r="M64" s="64"/>
    </row>
    <row r="65" spans="1:13" s="4" customFormat="1" ht="12.75" x14ac:dyDescent="0.2">
      <c r="A65" s="64"/>
      <c r="B65" s="64"/>
      <c r="C65" s="64"/>
      <c r="D65" s="81"/>
      <c r="E65" s="82"/>
      <c r="F65" s="38"/>
      <c r="G65" s="83"/>
      <c r="H65" s="64"/>
      <c r="I65" s="64"/>
      <c r="J65" s="64"/>
      <c r="K65" s="64"/>
      <c r="L65" s="42"/>
      <c r="M65" s="64"/>
    </row>
    <row r="66" spans="1:13" s="4" customFormat="1" ht="12.75" x14ac:dyDescent="0.2">
      <c r="A66" s="64"/>
      <c r="B66" s="64"/>
      <c r="C66" s="64"/>
      <c r="D66" s="81"/>
      <c r="E66" s="82"/>
      <c r="F66" s="38"/>
      <c r="G66" s="83"/>
      <c r="H66" s="64"/>
      <c r="I66" s="64"/>
      <c r="J66" s="64"/>
      <c r="K66" s="64"/>
      <c r="L66" s="42"/>
      <c r="M66" s="64"/>
    </row>
    <row r="67" spans="1:13" s="4" customFormat="1" ht="12.75" x14ac:dyDescent="0.2">
      <c r="A67" s="64"/>
      <c r="B67" s="64"/>
      <c r="C67" s="64"/>
      <c r="D67" s="81"/>
      <c r="E67" s="82"/>
      <c r="F67" s="38"/>
      <c r="G67" s="83"/>
      <c r="H67" s="64"/>
      <c r="I67" s="64"/>
      <c r="J67" s="64"/>
      <c r="K67" s="64"/>
      <c r="L67" s="42"/>
      <c r="M67" s="64"/>
    </row>
    <row r="68" spans="1:13" s="4" customFormat="1" ht="12.75" x14ac:dyDescent="0.2"/>
    <row r="69" spans="1:13" s="4" customFormat="1" ht="12.75" x14ac:dyDescent="0.2"/>
    <row r="71" spans="1:13" s="4" customFormat="1" ht="12.75" x14ac:dyDescent="0.2">
      <c r="A71" s="84"/>
      <c r="B71" s="84"/>
      <c r="E71" s="84"/>
      <c r="F71" s="84"/>
      <c r="G71" s="84"/>
      <c r="H71" s="85"/>
      <c r="M71" s="84"/>
    </row>
    <row r="72" spans="1:13" s="4" customFormat="1" ht="12.75" x14ac:dyDescent="0.2">
      <c r="A72" s="84"/>
      <c r="B72" s="84"/>
      <c r="E72" s="84"/>
      <c r="F72" s="84"/>
      <c r="G72" s="84"/>
      <c r="H72" s="85"/>
      <c r="M72" s="84"/>
    </row>
    <row r="73" spans="1:13" s="4" customFormat="1" ht="12.75" x14ac:dyDescent="0.2">
      <c r="A73" s="86"/>
      <c r="B73" s="86"/>
    </row>
    <row r="74" spans="1:13" s="4" customFormat="1" ht="12.75" x14ac:dyDescent="0.2">
      <c r="A74" s="87"/>
      <c r="B74" s="87"/>
      <c r="E74" s="87"/>
      <c r="F74" s="86"/>
      <c r="G74" s="86"/>
      <c r="M74" s="88"/>
    </row>
    <row r="75" spans="1:13" s="4" customFormat="1" ht="12.75" x14ac:dyDescent="0.2"/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H87"/>
  <sheetViews>
    <sheetView zoomScale="140" zoomScaleNormal="140" workbookViewId="0">
      <pane xSplit="2" topLeftCell="C1" activePane="topRight" state="frozen"/>
      <selection pane="topRight" activeCell="F13" sqref="F13"/>
    </sheetView>
  </sheetViews>
  <sheetFormatPr defaultColWidth="9.140625" defaultRowHeight="15" x14ac:dyDescent="0.25"/>
  <cols>
    <col min="1" max="2" width="15.140625" style="4" customWidth="1"/>
    <col min="3" max="3" width="29.28515625" style="4" customWidth="1"/>
    <col min="4" max="4" width="14.85546875" style="4" customWidth="1"/>
    <col min="5" max="5" width="27.42578125" style="4" customWidth="1"/>
    <col min="6" max="7" width="13.7109375" style="4" customWidth="1"/>
    <col min="8" max="8" width="16.42578125" style="4" customWidth="1"/>
    <col min="9" max="9" width="15.42578125" style="4" customWidth="1"/>
    <col min="10" max="10" width="13.42578125" customWidth="1"/>
    <col min="11" max="11" width="23.42578125" customWidth="1"/>
    <col min="12" max="12" width="13.42578125" customWidth="1"/>
    <col min="13" max="13" width="22.42578125" style="4" customWidth="1"/>
    <col min="14" max="16" width="10.85546875" style="4" customWidth="1"/>
    <col min="17" max="17" width="11.28515625" style="4" customWidth="1"/>
    <col min="18" max="1022" width="9.140625" style="4"/>
  </cols>
  <sheetData>
    <row r="1" spans="1:17" s="4" customFormat="1" ht="25.5" x14ac:dyDescent="0.2">
      <c r="A1" s="5"/>
      <c r="B1" s="5" t="s">
        <v>95</v>
      </c>
      <c r="C1" s="6">
        <v>44167</v>
      </c>
      <c r="D1" s="7"/>
      <c r="E1" s="8" t="s">
        <v>96</v>
      </c>
      <c r="F1" s="9"/>
      <c r="G1" s="10"/>
      <c r="K1" s="11" t="s">
        <v>97</v>
      </c>
      <c r="L1" s="11" t="s">
        <v>98</v>
      </c>
      <c r="M1" s="12" t="s">
        <v>99</v>
      </c>
    </row>
    <row r="2" spans="1:17" x14ac:dyDescent="0.25">
      <c r="A2" s="5"/>
      <c r="B2" s="5" t="s">
        <v>100</v>
      </c>
      <c r="C2" s="13">
        <v>9</v>
      </c>
      <c r="D2" s="14"/>
      <c r="E2" s="15">
        <f>SUM(E27,E42,E50,E65,E29,E67)</f>
        <v>197570991.16800001</v>
      </c>
      <c r="F2" s="16"/>
      <c r="G2" s="17"/>
      <c r="H2" s="14"/>
      <c r="I2" s="14"/>
      <c r="J2" s="14"/>
      <c r="K2" s="15">
        <f>SUM(K27,K42,K50,K65,K29,K67:K67)</f>
        <v>168511676.9964923</v>
      </c>
      <c r="L2" s="18">
        <f>SUM(L50,L65,L42,L27,L29,L67)</f>
        <v>1</v>
      </c>
      <c r="M2" s="19">
        <f>K2/$C$6</f>
        <v>6.1410031260260061</v>
      </c>
      <c r="N2" s="20"/>
    </row>
    <row r="3" spans="1:17" ht="26.25" x14ac:dyDescent="0.25">
      <c r="A3" s="5"/>
      <c r="B3" s="5" t="s">
        <v>101</v>
      </c>
      <c r="C3" s="21">
        <v>27440415.440000001</v>
      </c>
      <c r="D3" s="22"/>
      <c r="E3" s="8" t="s">
        <v>102</v>
      </c>
      <c r="F3" s="16"/>
      <c r="H3" s="14"/>
      <c r="I3" s="14"/>
      <c r="J3" s="14"/>
      <c r="K3" s="8" t="s">
        <v>102</v>
      </c>
      <c r="L3" s="14"/>
      <c r="M3" s="12" t="s">
        <v>103</v>
      </c>
      <c r="N3" s="23"/>
    </row>
    <row r="4" spans="1:17" x14ac:dyDescent="0.25">
      <c r="A4" s="5"/>
      <c r="B4" s="5" t="s">
        <v>104</v>
      </c>
      <c r="C4" s="21">
        <v>0</v>
      </c>
      <c r="D4" s="22"/>
      <c r="E4" s="15">
        <f>SUM(E27,E65,E29)</f>
        <v>50627566.4868</v>
      </c>
      <c r="F4" s="16"/>
      <c r="G4" s="17"/>
      <c r="H4" s="14"/>
      <c r="I4" s="14"/>
      <c r="J4" s="14"/>
      <c r="K4" s="15">
        <f>SUM(K27,K29,K65)</f>
        <v>50701495.81485565</v>
      </c>
      <c r="L4" s="14"/>
      <c r="M4" s="19">
        <f>K4/$C$6</f>
        <v>1.8476941767050612</v>
      </c>
      <c r="N4" s="23"/>
    </row>
    <row r="5" spans="1:17" x14ac:dyDescent="0.25">
      <c r="A5" s="5"/>
      <c r="B5" s="5" t="s">
        <v>105</v>
      </c>
      <c r="C5" s="21">
        <v>0</v>
      </c>
      <c r="D5" s="22"/>
      <c r="E5" s="16"/>
      <c r="F5" s="16"/>
      <c r="G5" s="24">
        <f>SUM(D27,D29,D42,D50,D65,D67:D67)</f>
        <v>0.79999999999999993</v>
      </c>
      <c r="H5" s="14"/>
      <c r="I5" s="14"/>
      <c r="J5" s="14"/>
      <c r="K5" s="14"/>
      <c r="L5" s="14"/>
      <c r="M5" s="14"/>
      <c r="N5" s="23"/>
    </row>
    <row r="6" spans="1:17" x14ac:dyDescent="0.25">
      <c r="A6" s="5"/>
      <c r="B6" s="5" t="s">
        <v>106</v>
      </c>
      <c r="C6" s="21">
        <f>C3+C4-C5</f>
        <v>27440415.440000001</v>
      </c>
      <c r="D6" s="22"/>
      <c r="E6" s="16"/>
      <c r="F6" s="16"/>
      <c r="G6" s="17"/>
      <c r="H6" s="14"/>
      <c r="I6" s="14"/>
      <c r="J6" s="14"/>
      <c r="K6" s="14"/>
      <c r="L6" s="14"/>
      <c r="M6" s="14"/>
      <c r="N6" s="23"/>
    </row>
    <row r="7" spans="1:17" x14ac:dyDescent="0.25">
      <c r="A7" s="25"/>
      <c r="B7" s="26"/>
      <c r="C7" s="26"/>
      <c r="D7" s="27"/>
      <c r="E7" s="28"/>
      <c r="F7" s="28"/>
      <c r="G7" s="28"/>
      <c r="H7" s="29"/>
      <c r="I7" s="29"/>
      <c r="J7" s="29"/>
      <c r="K7" s="14"/>
      <c r="L7" s="14"/>
      <c r="M7" s="14"/>
      <c r="N7" s="23"/>
    </row>
    <row r="8" spans="1:17" s="34" customFormat="1" ht="38.25" x14ac:dyDescent="0.2">
      <c r="A8" s="30" t="s">
        <v>107</v>
      </c>
      <c r="B8" s="30" t="s">
        <v>108</v>
      </c>
      <c r="C8" s="31" t="s">
        <v>1</v>
      </c>
      <c r="D8" s="31" t="s">
        <v>109</v>
      </c>
      <c r="E8" s="31" t="s">
        <v>110</v>
      </c>
      <c r="F8" s="31" t="s">
        <v>111</v>
      </c>
      <c r="G8" s="31" t="s">
        <v>112</v>
      </c>
      <c r="H8" s="31" t="s">
        <v>113</v>
      </c>
      <c r="I8" s="31" t="s">
        <v>114</v>
      </c>
      <c r="J8" s="31" t="s">
        <v>115</v>
      </c>
      <c r="K8" s="32" t="s">
        <v>116</v>
      </c>
      <c r="L8" s="32" t="s">
        <v>117</v>
      </c>
      <c r="M8" s="32" t="s">
        <v>118</v>
      </c>
      <c r="N8" s="33"/>
      <c r="Q8" s="35"/>
    </row>
    <row r="9" spans="1:17" s="44" customFormat="1" ht="12.75" customHeight="1" x14ac:dyDescent="0.25">
      <c r="A9" s="36" t="s">
        <v>119</v>
      </c>
      <c r="B9" s="36" t="s">
        <v>120</v>
      </c>
      <c r="C9" s="36" t="s">
        <v>121</v>
      </c>
      <c r="D9" s="37">
        <v>8.7500000000000008E-3</v>
      </c>
      <c r="E9" s="38">
        <f>'Dec 02'!$D9*$C$6*$C$2</f>
        <v>2160932.7159000002</v>
      </c>
      <c r="F9" s="38">
        <v>572.44006523511803</v>
      </c>
      <c r="G9" s="39">
        <f>'Dec 02'!$E9/'Dec 02'!$F9</f>
        <v>3774.9501600878361</v>
      </c>
      <c r="H9" s="36">
        <v>3679</v>
      </c>
      <c r="I9" s="36">
        <f>ROUND(Table13895845679910111213144562678910111213141516171819202134567891011121314151617181920212223345678910111213141516171819203[[#This Row],[Target Quantity]],0)</f>
        <v>3775</v>
      </c>
      <c r="J9" s="40">
        <f t="shared" ref="J9:J25" si="0">I9-H9</f>
        <v>96</v>
      </c>
      <c r="K9" s="41">
        <f>'Dec 02'!$F9*'Dec 02'!$I9</f>
        <v>2160961.2462625704</v>
      </c>
      <c r="L9" s="42">
        <f>'Dec 02'!$K9/$K$2</f>
        <v>1.2823807137754332E-2</v>
      </c>
      <c r="M9" s="43"/>
    </row>
    <row r="10" spans="1:17" s="44" customFormat="1" ht="12.75" customHeight="1" x14ac:dyDescent="0.25">
      <c r="A10" s="36" t="s">
        <v>119</v>
      </c>
      <c r="B10" s="36" t="s">
        <v>122</v>
      </c>
      <c r="C10" s="36" t="s">
        <v>123</v>
      </c>
      <c r="D10" s="37">
        <v>8.7500000000000008E-3</v>
      </c>
      <c r="E10" s="38">
        <f>'Dec 02'!$D10*$C$6*$C$2</f>
        <v>2160932.7159000002</v>
      </c>
      <c r="F10" s="38">
        <v>84.0099844862564</v>
      </c>
      <c r="G10" s="39">
        <f>'Dec 02'!$E10/'Dec 02'!$F10</f>
        <v>25722.332043205144</v>
      </c>
      <c r="H10" s="36">
        <v>25139</v>
      </c>
      <c r="I10" s="36">
        <f>ROUND(Table13895845679910111213144562678910111213141516171819202134567891011121314151617181920212223345678910111213141516171819203[[#This Row],[Target Quantity]],0)</f>
        <v>25722</v>
      </c>
      <c r="J10" s="40">
        <f t="shared" si="0"/>
        <v>583</v>
      </c>
      <c r="K10" s="41">
        <f>'Dec 02'!$F10*'Dec 02'!$I10</f>
        <v>2160904.820955487</v>
      </c>
      <c r="L10" s="42">
        <f>'Dec 02'!$K10/$K$2</f>
        <v>1.2823472292667695E-2</v>
      </c>
      <c r="M10" s="43"/>
    </row>
    <row r="11" spans="1:17" s="45" customFormat="1" ht="12.75" customHeight="1" x14ac:dyDescent="0.25">
      <c r="A11" s="36" t="s">
        <v>119</v>
      </c>
      <c r="B11" s="36" t="s">
        <v>124</v>
      </c>
      <c r="C11" s="36" t="s">
        <v>125</v>
      </c>
      <c r="D11" s="37">
        <v>8.7500000000000008E-3</v>
      </c>
      <c r="E11" s="38">
        <f>'Dec 02'!$D11*$C$6*$C$2</f>
        <v>2160932.7159000002</v>
      </c>
      <c r="F11" s="38">
        <v>215.70998448008299</v>
      </c>
      <c r="G11" s="39">
        <f>'Dec 02'!$E11/'Dec 02'!$F11</f>
        <v>10017.76863091622</v>
      </c>
      <c r="H11" s="36">
        <v>9665</v>
      </c>
      <c r="I11" s="36">
        <f>ROUND(Table13895845679910111213144562678910111213141516171819202134567891011121314151617181920212223345678910111213141516171819203[[#This Row],[Target Quantity]],0)</f>
        <v>10018</v>
      </c>
      <c r="J11" s="40">
        <f t="shared" si="0"/>
        <v>353</v>
      </c>
      <c r="K11" s="41">
        <f>'Dec 02'!$F11*'Dec 02'!$I11</f>
        <v>2160982.6245214716</v>
      </c>
      <c r="L11" s="42">
        <f>'Dec 02'!$K11/$K$2</f>
        <v>1.2823934002902684E-2</v>
      </c>
      <c r="M11" s="36"/>
    </row>
    <row r="12" spans="1:17" s="45" customFormat="1" ht="12.75" customHeight="1" x14ac:dyDescent="0.25">
      <c r="A12" s="36" t="s">
        <v>119</v>
      </c>
      <c r="B12" s="36" t="s">
        <v>43</v>
      </c>
      <c r="C12" s="36" t="s">
        <v>44</v>
      </c>
      <c r="D12" s="37">
        <v>8.7500000000000008E-3</v>
      </c>
      <c r="E12" s="38">
        <f>'Dec 02'!$D12*$C$6*$C$2</f>
        <v>2160932.7159000002</v>
      </c>
      <c r="F12" s="38">
        <v>411</v>
      </c>
      <c r="G12" s="39">
        <f>'Dec 02'!$E12/'Dec 02'!$F12</f>
        <v>5257.7438343065696</v>
      </c>
      <c r="H12" s="36">
        <v>4785</v>
      </c>
      <c r="I12" s="36">
        <f>ROUND(Table13895845679910111213144562678910111213141516171819202134567891011121314151617181920212223345678910111213141516171819203[[#This Row],[Target Quantity]],0)</f>
        <v>5258</v>
      </c>
      <c r="J12" s="40">
        <f t="shared" si="0"/>
        <v>473</v>
      </c>
      <c r="K12" s="41">
        <f>'Dec 02'!$F12*'Dec 02'!$I12</f>
        <v>2161038</v>
      </c>
      <c r="L12" s="42">
        <f>'Dec 02'!$K12/$K$2</f>
        <v>1.2824262617984531E-2</v>
      </c>
      <c r="M12" s="36"/>
    </row>
    <row r="13" spans="1:17" s="45" customFormat="1" ht="12.75" customHeight="1" x14ac:dyDescent="0.25">
      <c r="A13" s="36" t="s">
        <v>119</v>
      </c>
      <c r="B13" s="36" t="s">
        <v>126</v>
      </c>
      <c r="C13" s="36" t="s">
        <v>127</v>
      </c>
      <c r="D13" s="37">
        <v>8.7500000000000008E-3</v>
      </c>
      <c r="E13" s="38">
        <f>'Dec 02'!$D13*$C$6*$C$2</f>
        <v>2160932.7159000002</v>
      </c>
      <c r="F13" s="38">
        <v>1521.6602150537601</v>
      </c>
      <c r="G13" s="39">
        <f>'Dec 02'!$E13/'Dec 02'!$F13</f>
        <v>1420.1151443153522</v>
      </c>
      <c r="H13" s="36">
        <v>1395</v>
      </c>
      <c r="I13" s="36">
        <f>ROUND(Table13895845679910111213144562678910111213141516171819202134567891011121314151617181920212223345678910111213141516171819203[[#This Row],[Target Quantity]],0)</f>
        <v>1420</v>
      </c>
      <c r="J13" s="40">
        <f t="shared" si="0"/>
        <v>25</v>
      </c>
      <c r="K13" s="41">
        <f>'Dec 02'!$F13*'Dec 02'!$I13</f>
        <v>2160757.5053763394</v>
      </c>
      <c r="L13" s="42">
        <f>'Dec 02'!$K13/$K$2</f>
        <v>1.2822598076816464E-2</v>
      </c>
      <c r="M13" s="36"/>
    </row>
    <row r="14" spans="1:17" s="45" customFormat="1" ht="12.75" customHeight="1" x14ac:dyDescent="0.25">
      <c r="A14" s="36" t="s">
        <v>119</v>
      </c>
      <c r="B14" s="36" t="s">
        <v>25</v>
      </c>
      <c r="C14" s="36" t="s">
        <v>26</v>
      </c>
      <c r="D14" s="37">
        <v>8.7500000000000008E-3</v>
      </c>
      <c r="E14" s="38">
        <f>'Dec 02'!$D14*$C$6*$C$2</f>
        <v>2160932.7159000002</v>
      </c>
      <c r="F14" s="38">
        <v>287.76004839360098</v>
      </c>
      <c r="G14" s="39">
        <f>'Dec 02'!$E14/'Dec 02'!$F14</f>
        <v>7509.4952477359038</v>
      </c>
      <c r="H14" s="36">
        <v>7439</v>
      </c>
      <c r="I14" s="36">
        <f>ROUND(Table13895845679910111213144562678910111213141516171819202134567891011121314151617181920212223345678910111213141516171819203[[#This Row],[Target Quantity]],0)</f>
        <v>7509</v>
      </c>
      <c r="J14" s="40">
        <f t="shared" si="0"/>
        <v>70</v>
      </c>
      <c r="K14" s="41">
        <f>'Dec 02'!$F14*'Dec 02'!$I14</f>
        <v>2160790.2033875496</v>
      </c>
      <c r="L14" s="42">
        <f>'Dec 02'!$K14/$K$2</f>
        <v>1.2822792116848544E-2</v>
      </c>
      <c r="M14" s="36"/>
    </row>
    <row r="15" spans="1:17" s="45" customFormat="1" ht="12.75" customHeight="1" x14ac:dyDescent="0.25">
      <c r="A15" s="36" t="s">
        <v>119</v>
      </c>
      <c r="B15" s="36" t="s">
        <v>128</v>
      </c>
      <c r="C15" s="36" t="s">
        <v>129</v>
      </c>
      <c r="D15" s="37">
        <v>8.7500000000000008E-3</v>
      </c>
      <c r="E15" s="38">
        <f>'Dec 02'!$D15*$C$6*$C$2</f>
        <v>2160932.7159000002</v>
      </c>
      <c r="F15" s="38">
        <v>23.950003319098101</v>
      </c>
      <c r="G15" s="39">
        <f>'Dec 02'!$E15/'Dec 02'!$F15</f>
        <v>90226.82323291534</v>
      </c>
      <c r="H15" s="36">
        <v>90386</v>
      </c>
      <c r="I15" s="36">
        <f>ROUND(Table13895845679910111213144562678910111213141516171819202134567891011121314151617181920212223345678910111213141516171819203[[#This Row],[Target Quantity]],0)</f>
        <v>90227</v>
      </c>
      <c r="J15" s="40">
        <f t="shared" si="0"/>
        <v>-159</v>
      </c>
      <c r="K15" s="41">
        <f>'Dec 02'!$F15*'Dec 02'!$I15</f>
        <v>2160936.9494722644</v>
      </c>
      <c r="L15" s="42">
        <f>'Dec 02'!$K15/$K$2</f>
        <v>1.2823662953145057E-2</v>
      </c>
      <c r="M15" s="36"/>
    </row>
    <row r="16" spans="1:17" s="45" customFormat="1" ht="12.75" customHeight="1" x14ac:dyDescent="0.25">
      <c r="A16" s="36" t="s">
        <v>119</v>
      </c>
      <c r="B16" s="36" t="s">
        <v>33</v>
      </c>
      <c r="C16" s="36" t="s">
        <v>34</v>
      </c>
      <c r="D16" s="37">
        <v>4.3750000000000004E-3</v>
      </c>
      <c r="E16" s="38">
        <f>'Dec 02'!$D16*$C$6*$C$2</f>
        <v>1080466.3579500001</v>
      </c>
      <c r="F16" s="38">
        <v>38.900014324595297</v>
      </c>
      <c r="G16" s="39">
        <f>'Dec 02'!$E16/'Dec 02'!$F16</f>
        <v>27775.47455212257</v>
      </c>
      <c r="H16" s="36">
        <v>27924</v>
      </c>
      <c r="I16" s="36">
        <f>ROUND(Table13895845679910111213144562678910111213141516171819202134567891011121314151617181920212223345678910111213141516171819203[[#This Row],[Target Quantity]],0)</f>
        <v>27775</v>
      </c>
      <c r="J16" s="40">
        <f t="shared" si="0"/>
        <v>-149</v>
      </c>
      <c r="K16" s="41">
        <f>'Dec 02'!$F16*'Dec 02'!$I16</f>
        <v>1080447.8978656344</v>
      </c>
      <c r="L16" s="42">
        <f>'Dec 02'!$K16/$K$2</f>
        <v>6.4117093671088726E-3</v>
      </c>
      <c r="M16" s="36"/>
    </row>
    <row r="17" spans="1:15" s="45" customFormat="1" ht="12.75" customHeight="1" x14ac:dyDescent="0.25">
      <c r="A17" s="36" t="s">
        <v>119</v>
      </c>
      <c r="B17" s="36" t="s">
        <v>19</v>
      </c>
      <c r="C17" s="36" t="s">
        <v>20</v>
      </c>
      <c r="D17" s="37">
        <v>8.7500000000000008E-3</v>
      </c>
      <c r="E17" s="38">
        <f>'Dec 02'!$D17*$C$6*$C$2</f>
        <v>2160932.7159000002</v>
      </c>
      <c r="F17" s="38">
        <v>500.09993337774802</v>
      </c>
      <c r="G17" s="39">
        <f>'Dec 02'!$E17/'Dec 02'!$F17</f>
        <v>4321.0018071883051</v>
      </c>
      <c r="H17" s="36">
        <v>4503</v>
      </c>
      <c r="I17" s="36">
        <f>ROUND(Table13895845679910111213144562678910111213141516171819202134567891011121314151617181920212223345678910111213141516171819203[[#This Row],[Target Quantity]],0)</f>
        <v>4321</v>
      </c>
      <c r="J17" s="40">
        <f t="shared" si="0"/>
        <v>-182</v>
      </c>
      <c r="K17" s="41">
        <f>'Dec 02'!$F17*'Dec 02'!$I17</f>
        <v>2160931.8121252493</v>
      </c>
      <c r="L17" s="42">
        <f>'Dec 02'!$K17/$K$2</f>
        <v>1.2823632466551447E-2</v>
      </c>
      <c r="M17" s="36"/>
    </row>
    <row r="18" spans="1:15" s="45" customFormat="1" ht="12.75" customHeight="1" x14ac:dyDescent="0.25">
      <c r="A18" s="36" t="s">
        <v>119</v>
      </c>
      <c r="B18" s="36" t="s">
        <v>29</v>
      </c>
      <c r="C18" s="36" t="s">
        <v>30</v>
      </c>
      <c r="D18" s="37">
        <v>4.3750000000000004E-3</v>
      </c>
      <c r="E18" s="38">
        <f>'Dec 02'!$D18*$C$6*$C$2</f>
        <v>1080466.3579500001</v>
      </c>
      <c r="F18" s="38">
        <v>21.6500019377592</v>
      </c>
      <c r="G18" s="39">
        <f>'Dec 02'!$E18/'Dec 02'!$F18</f>
        <v>49906.062875014672</v>
      </c>
      <c r="H18" s="36">
        <v>51606</v>
      </c>
      <c r="I18" s="36">
        <f>ROUND(Table13895845679910111213144562678910111213141516171819202134567891011121314151617181920212223345678910111213141516171819203[[#This Row],[Target Quantity]],0)</f>
        <v>49906</v>
      </c>
      <c r="J18" s="40">
        <f t="shared" si="0"/>
        <v>-1700</v>
      </c>
      <c r="K18" s="41">
        <f>'Dec 02'!$F18*'Dec 02'!$I18</f>
        <v>1080464.9967058105</v>
      </c>
      <c r="L18" s="42">
        <f>'Dec 02'!$K18/$K$2</f>
        <v>6.411810836873348E-3</v>
      </c>
      <c r="M18" s="36"/>
    </row>
    <row r="19" spans="1:15" s="45" customFormat="1" ht="12.75" customHeight="1" x14ac:dyDescent="0.25">
      <c r="A19" s="36" t="s">
        <v>119</v>
      </c>
      <c r="B19" s="36" t="s">
        <v>21</v>
      </c>
      <c r="C19" s="36" t="s">
        <v>22</v>
      </c>
      <c r="D19" s="37">
        <v>8.7500000000000008E-3</v>
      </c>
      <c r="E19" s="38">
        <f>'Dec 02'!$D19*$C$6*$C$2</f>
        <v>2160932.7159000002</v>
      </c>
      <c r="F19" s="38">
        <v>37.599992957622497</v>
      </c>
      <c r="G19" s="39">
        <f>'Dec 02'!$E19/'Dec 02'!$F19</f>
        <v>57471.62554885327</v>
      </c>
      <c r="H19" s="36">
        <v>56799</v>
      </c>
      <c r="I19" s="36">
        <f>ROUND(Table13895845679910111213144562678910111213141516171819202134567891011121314151617181920212223345678910111213141516171819203[[#This Row],[Target Quantity]],0)</f>
        <v>57472</v>
      </c>
      <c r="J19" s="40">
        <f t="shared" si="0"/>
        <v>673</v>
      </c>
      <c r="K19" s="41">
        <f>'Dec 02'!$F19*'Dec 02'!$I19</f>
        <v>2160946.7952604801</v>
      </c>
      <c r="L19" s="42">
        <f>'Dec 02'!$K19/$K$2</f>
        <v>1.2823721381073561E-2</v>
      </c>
      <c r="M19" s="36"/>
    </row>
    <row r="20" spans="1:15" s="45" customFormat="1" ht="12.75" customHeight="1" x14ac:dyDescent="0.25">
      <c r="A20" s="36" t="s">
        <v>119</v>
      </c>
      <c r="B20" s="36" t="s">
        <v>37</v>
      </c>
      <c r="C20" s="36" t="s">
        <v>38</v>
      </c>
      <c r="D20" s="37">
        <v>4.3750000000000004E-3</v>
      </c>
      <c r="E20" s="38">
        <f>'Dec 02'!$D20*$C$6*$C$2</f>
        <v>1080466.3579500001</v>
      </c>
      <c r="F20" s="38">
        <v>69.960020179089398</v>
      </c>
      <c r="G20" s="39">
        <f>'Dec 02'!$E20/'Dec 02'!$F20</f>
        <v>15444.054406847421</v>
      </c>
      <c r="H20" s="36">
        <v>15858</v>
      </c>
      <c r="I20" s="36">
        <f>ROUND(Table13895845679910111213144562678910111213141516171819202134567891011121314151617181920212223345678910111213141516171819203[[#This Row],[Target Quantity]],0)</f>
        <v>15444</v>
      </c>
      <c r="J20" s="40">
        <f t="shared" si="0"/>
        <v>-414</v>
      </c>
      <c r="K20" s="41">
        <f>'Dec 02'!$F20*'Dec 02'!$I20</f>
        <v>1080462.5516458566</v>
      </c>
      <c r="L20" s="42">
        <f>'Dec 02'!$K20/$K$2</f>
        <v>6.4117963271373016E-3</v>
      </c>
      <c r="M20" s="36"/>
    </row>
    <row r="21" spans="1:15" s="45" customFormat="1" ht="12.75" customHeight="1" x14ac:dyDescent="0.25">
      <c r="A21" s="36" t="s">
        <v>119</v>
      </c>
      <c r="B21" s="36" t="s">
        <v>23</v>
      </c>
      <c r="C21" s="36" t="s">
        <v>24</v>
      </c>
      <c r="D21" s="37">
        <v>8.7500000000000008E-3</v>
      </c>
      <c r="E21" s="38">
        <f>'Dec 02'!$D21*$C$6*$C$2</f>
        <v>2160932.7159000002</v>
      </c>
      <c r="F21" s="38">
        <v>255.129993964997</v>
      </c>
      <c r="G21" s="39">
        <f>'Dec 02'!$E21/'Dec 02'!$F21</f>
        <v>8469.9281425784575</v>
      </c>
      <c r="H21" s="36">
        <v>8285</v>
      </c>
      <c r="I21" s="36">
        <f>ROUND(Table13895845679910111213144562678910111213141516171819202134567891011121314151617181920212223345678910111213141516171819203[[#This Row],[Target Quantity]],0)</f>
        <v>8470</v>
      </c>
      <c r="J21" s="40">
        <f t="shared" si="0"/>
        <v>185</v>
      </c>
      <c r="K21" s="41">
        <f>'Dec 02'!$F21*'Dec 02'!$I21</f>
        <v>2160951.0488835247</v>
      </c>
      <c r="L21" s="42">
        <f>'Dec 02'!$K21/$K$2</f>
        <v>1.2823746623377956E-2</v>
      </c>
      <c r="M21" s="36"/>
    </row>
    <row r="22" spans="1:15" s="45" customFormat="1" ht="12.75" customHeight="1" x14ac:dyDescent="0.25">
      <c r="A22" s="36" t="s">
        <v>119</v>
      </c>
      <c r="B22" s="36" t="s">
        <v>15</v>
      </c>
      <c r="C22" s="36" t="s">
        <v>16</v>
      </c>
      <c r="D22" s="37">
        <v>4.3750000000000004E-3</v>
      </c>
      <c r="E22" s="38">
        <f>'Dec 02'!$D22*$C$6*$C$2</f>
        <v>1080466.3579500001</v>
      </c>
      <c r="F22" s="38">
        <v>135.88005018820601</v>
      </c>
      <c r="G22" s="39">
        <f>'Dec 02'!$E22/'Dec 02'!$F22</f>
        <v>7951.6187729799749</v>
      </c>
      <c r="H22" s="36">
        <v>7970</v>
      </c>
      <c r="I22" s="36">
        <f>ROUND(Table13895845679910111213144562678910111213141516171819202134567891011121314151617181920212223345678910111213141516171819203[[#This Row],[Target Quantity]],0)</f>
        <v>7952</v>
      </c>
      <c r="J22" s="40">
        <f t="shared" si="0"/>
        <v>-18</v>
      </c>
      <c r="K22" s="41">
        <f>'Dec 02'!$F22*'Dec 02'!$I22</f>
        <v>1080518.1590966142</v>
      </c>
      <c r="L22" s="42">
        <f>'Dec 02'!$K22/$K$2</f>
        <v>6.4121263188135387E-3</v>
      </c>
      <c r="M22" s="36"/>
    </row>
    <row r="23" spans="1:15" s="45" customFormat="1" ht="12.75" customHeight="1" x14ac:dyDescent="0.25">
      <c r="A23" s="36" t="s">
        <v>119</v>
      </c>
      <c r="B23" s="36" t="s">
        <v>27</v>
      </c>
      <c r="C23" s="36" t="s">
        <v>28</v>
      </c>
      <c r="D23" s="37">
        <v>8.7500000000000008E-3</v>
      </c>
      <c r="E23" s="38">
        <f>'Dec 02'!$D23*$C$6*$C$2</f>
        <v>2160932.7159000002</v>
      </c>
      <c r="F23" s="38">
        <v>44.389995083579201</v>
      </c>
      <c r="G23" s="39">
        <f>'Dec 02'!$E23/'Dec 02'!$F23</f>
        <v>48680.625258716798</v>
      </c>
      <c r="H23" s="36">
        <v>48816</v>
      </c>
      <c r="I23" s="36">
        <f>ROUND(Table13895845679910111213144562678910111213141516171819202134567891011121314151617181920212223345678910111213141516171819203[[#This Row],[Target Quantity]],0)</f>
        <v>48681</v>
      </c>
      <c r="J23" s="40">
        <f t="shared" si="0"/>
        <v>-135</v>
      </c>
      <c r="K23" s="41">
        <f>'Dec 02'!$F23*'Dec 02'!$I23</f>
        <v>2160949.3506637192</v>
      </c>
      <c r="L23" s="42">
        <f>'Dec 02'!$K23/$K$2</f>
        <v>1.2823736545620521E-2</v>
      </c>
      <c r="M23" s="36"/>
    </row>
    <row r="24" spans="1:15" s="45" customFormat="1" ht="12.75" customHeight="1" x14ac:dyDescent="0.25">
      <c r="A24" s="36" t="s">
        <v>119</v>
      </c>
      <c r="B24" s="36" t="s">
        <v>39</v>
      </c>
      <c r="C24" s="36" t="s">
        <v>40</v>
      </c>
      <c r="D24" s="37">
        <v>5.2499999999999998E-2</v>
      </c>
      <c r="E24" s="38">
        <f>'Dec 02'!$D24*$C$6*$C$2</f>
        <v>12965596.295399999</v>
      </c>
      <c r="F24" s="38">
        <v>303.45999999999998</v>
      </c>
      <c r="G24" s="39">
        <f>'Dec 02'!$E24/'Dec 02'!$F24</f>
        <v>42725.882473472615</v>
      </c>
      <c r="H24" s="36">
        <v>25150</v>
      </c>
      <c r="I24" s="36">
        <f>ROUND(Table13895845679910111213144562678910111213141516171819202134567891011121314151617181920212223345678910111213141516171819203[[#This Row],[Target Quantity]],0)</f>
        <v>42726</v>
      </c>
      <c r="J24" s="40">
        <f t="shared" si="0"/>
        <v>17576</v>
      </c>
      <c r="K24" s="41">
        <f>'Dec 02'!$F24*'Dec 02'!$I24</f>
        <v>12965631.959999999</v>
      </c>
      <c r="L24" s="42">
        <f>'Dec 02'!$K24/$K$2</f>
        <v>7.6942038623649137E-2</v>
      </c>
      <c r="M24" s="36"/>
    </row>
    <row r="25" spans="1:15" s="45" customFormat="1" ht="12.75" customHeight="1" x14ac:dyDescent="0.25">
      <c r="A25" s="36" t="s">
        <v>119</v>
      </c>
      <c r="B25" s="45" t="s">
        <v>11</v>
      </c>
      <c r="C25" s="36" t="s">
        <v>12</v>
      </c>
      <c r="D25" s="37">
        <v>8.7500000000000008E-3</v>
      </c>
      <c r="E25" s="38">
        <f>'Dec 02'!$D25*$C$6*$C$2</f>
        <v>2160932.7159000002</v>
      </c>
      <c r="F25" s="38">
        <v>2.5270736524163602</v>
      </c>
      <c r="G25" s="39">
        <f>'Dec 02'!$E25/'Dec 02'!$F25</f>
        <v>855112.67700240551</v>
      </c>
      <c r="H25" s="36">
        <v>860800</v>
      </c>
      <c r="I25" s="36">
        <f>ROUND(Table13895845679910111213144562678910111213141516171819202134567891011121314151617181920212223345678910111213141516171819203[[#This Row],[Target Quantity]],-2)</f>
        <v>855100</v>
      </c>
      <c r="J25" s="40">
        <f t="shared" si="0"/>
        <v>-5700</v>
      </c>
      <c r="K25" s="41">
        <f>'Dec 02'!$F25*'Dec 02'!$I25</f>
        <v>2160900.6801812295</v>
      </c>
      <c r="L25" s="42">
        <f>'Dec 02'!$K25/$K$2</f>
        <v>1.2823447720042631E-2</v>
      </c>
      <c r="M25" s="36"/>
    </row>
    <row r="26" spans="1:15" s="45" customFormat="1" ht="12.75" customHeight="1" x14ac:dyDescent="0.25">
      <c r="A26" s="36"/>
      <c r="B26" s="36"/>
      <c r="C26" s="36"/>
      <c r="D26" s="37"/>
      <c r="E26" s="38"/>
      <c r="F26" s="38"/>
      <c r="G26" s="39"/>
      <c r="H26" s="36"/>
      <c r="I26" s="36"/>
      <c r="J26" s="46"/>
      <c r="K26" s="38"/>
      <c r="L26" s="47"/>
      <c r="M26" s="36"/>
    </row>
    <row r="27" spans="1:15" s="54" customFormat="1" ht="12.75" customHeight="1" x14ac:dyDescent="0.25">
      <c r="A27" s="48" t="s">
        <v>136</v>
      </c>
      <c r="B27" s="48"/>
      <c r="C27" s="48"/>
      <c r="D27" s="49">
        <f>SUM(D9:D26)</f>
        <v>0.17499999999999999</v>
      </c>
      <c r="E27" s="50">
        <f>'Dec 02'!$D27*$C$6*$C$2</f>
        <v>43218654.317999996</v>
      </c>
      <c r="F27" s="51"/>
      <c r="G27" s="51"/>
      <c r="H27" s="48"/>
      <c r="I27" s="48"/>
      <c r="J27" s="52"/>
      <c r="K27" s="50">
        <f>SUM(K9:K26)</f>
        <v>43218576.602403797</v>
      </c>
      <c r="L27" s="53">
        <f>'Dec 02'!$K27/$K$2</f>
        <v>0.25647229540836763</v>
      </c>
      <c r="M27" s="48"/>
    </row>
    <row r="28" spans="1:15" s="45" customFormat="1" ht="12.75" customHeight="1" x14ac:dyDescent="0.25">
      <c r="A28" s="36"/>
      <c r="B28" s="36"/>
      <c r="C28" s="36"/>
      <c r="D28" s="37"/>
      <c r="E28" s="38"/>
      <c r="F28" s="38"/>
      <c r="G28" s="39"/>
      <c r="H28" s="36"/>
      <c r="I28" s="36"/>
      <c r="J28" s="46"/>
      <c r="K28" s="38"/>
      <c r="L28" s="42"/>
      <c r="M28" s="36"/>
      <c r="O28" s="89"/>
    </row>
    <row r="29" spans="1:15" s="44" customFormat="1" ht="12.75" customHeight="1" x14ac:dyDescent="0.25">
      <c r="A29" s="55"/>
      <c r="B29" s="48" t="s">
        <v>31</v>
      </c>
      <c r="C29" s="55" t="s">
        <v>32</v>
      </c>
      <c r="D29" s="56">
        <v>0.02</v>
      </c>
      <c r="E29" s="57">
        <f>'Dec 02'!$D29*$C$6*$C$2</f>
        <v>4939274.7791999998</v>
      </c>
      <c r="F29" s="51">
        <v>17.400000789867601</v>
      </c>
      <c r="G29" s="58">
        <f>'Dec 02'!$E29/'Dec 02'!$F29</f>
        <v>283866.35373466462</v>
      </c>
      <c r="H29" s="55">
        <v>253207</v>
      </c>
      <c r="I29" s="55">
        <f>ROUND(Table13895845679910111213144562678910111213141516171819202134567891011121314151617181920212223345678910111213141516171819203[[#This Row],[Target Quantity]],0)</f>
        <v>283866</v>
      </c>
      <c r="J29" s="59">
        <f>I29-H29</f>
        <v>30659</v>
      </c>
      <c r="K29" s="60">
        <f>'Dec 02'!$F29*'Dec 02'!$I29</f>
        <v>4939268.6242165565</v>
      </c>
      <c r="L29" s="53">
        <f>'Dec 02'!$K29/$K$2</f>
        <v>2.9311135656903891E-2</v>
      </c>
      <c r="M29" s="48"/>
      <c r="O29" s="61"/>
    </row>
    <row r="30" spans="1:15" s="44" customFormat="1" ht="12.75" customHeight="1" x14ac:dyDescent="0.25">
      <c r="A30" s="36"/>
      <c r="B30" s="36"/>
      <c r="C30" s="36"/>
      <c r="D30" s="37"/>
      <c r="E30" s="38"/>
      <c r="F30" s="38"/>
      <c r="G30" s="39"/>
      <c r="H30" s="36"/>
      <c r="I30" s="36"/>
      <c r="J30" s="46"/>
      <c r="K30" s="41"/>
      <c r="L30" s="42"/>
      <c r="M30" s="36"/>
      <c r="O30" s="61"/>
    </row>
    <row r="31" spans="1:15" s="4" customFormat="1" ht="25.5" x14ac:dyDescent="0.2">
      <c r="A31" s="36" t="s">
        <v>137</v>
      </c>
      <c r="B31" s="62" t="s">
        <v>75</v>
      </c>
      <c r="C31" s="63" t="s">
        <v>76</v>
      </c>
      <c r="D31" s="37">
        <v>2.9499999999999998E-2</v>
      </c>
      <c r="E31" s="38">
        <f>'Dec 02'!$D31*$C$6*$C$2</f>
        <v>7285430.2993200002</v>
      </c>
      <c r="F31" s="38">
        <v>155937.51219512199</v>
      </c>
      <c r="G31" s="39">
        <f>'Dec 02'!$E31/'Dec 02'!$F31</f>
        <v>46.720190650495077</v>
      </c>
      <c r="H31" s="36">
        <v>41</v>
      </c>
      <c r="I31" s="36">
        <f>ROUND(Table13895845679910111213144562678910111213141516171819202134567891011121314151617181920212223345678910111213141516171819203[[#This Row],[Target Quantity]],0)</f>
        <v>47</v>
      </c>
      <c r="J31" s="40">
        <f t="shared" ref="J31:J40" si="1">I31-H31</f>
        <v>6</v>
      </c>
      <c r="K31" s="41">
        <f>'Dec 02'!$F31*'Dec 02'!$I31</f>
        <v>7329063.0731707336</v>
      </c>
      <c r="L31" s="42">
        <f>'Dec 02'!$K31/$K$2</f>
        <v>4.3492909238113477E-2</v>
      </c>
      <c r="M31" s="64"/>
    </row>
    <row r="32" spans="1:15" s="4" customFormat="1" ht="25.5" x14ac:dyDescent="0.2">
      <c r="A32" s="36" t="s">
        <v>137</v>
      </c>
      <c r="B32" s="62" t="s">
        <v>80</v>
      </c>
      <c r="C32" s="63" t="s">
        <v>81</v>
      </c>
      <c r="D32" s="37">
        <v>2.9499999999999998E-2</v>
      </c>
      <c r="E32" s="38">
        <f>'Dec 02'!$D32*$C$6*$C$2</f>
        <v>7285430.2993200002</v>
      </c>
      <c r="F32" s="38">
        <v>212245.9</v>
      </c>
      <c r="G32" s="39">
        <f>'Dec 02'!$E32/'Dec 02'!$F32</f>
        <v>34.325423008500991</v>
      </c>
      <c r="H32" s="36">
        <v>30</v>
      </c>
      <c r="I32" s="36">
        <f>ROUND(Table13895845679910111213144562678910111213141516171819202134567891011121314151617181920212223345678910111213141516171819203[[#This Row],[Target Quantity]],0)</f>
        <v>34</v>
      </c>
      <c r="J32" s="40">
        <f t="shared" si="1"/>
        <v>4</v>
      </c>
      <c r="K32" s="41">
        <f>'Dec 02'!$F32*'Dec 02'!$I32</f>
        <v>7216360.5999999996</v>
      </c>
      <c r="L32" s="42">
        <f>'Dec 02'!$K32/$K$2</f>
        <v>4.2824098178966041E-2</v>
      </c>
      <c r="M32" s="64"/>
    </row>
    <row r="33" spans="1:15" s="4" customFormat="1" ht="25.5" x14ac:dyDescent="0.2">
      <c r="A33" s="36" t="s">
        <v>137</v>
      </c>
      <c r="B33" s="62" t="s">
        <v>82</v>
      </c>
      <c r="C33" s="63" t="s">
        <v>83</v>
      </c>
      <c r="D33" s="37">
        <v>2.9499999999999998E-2</v>
      </c>
      <c r="E33" s="38">
        <f>'Dec 02'!$D33*$C$6*$C$2</f>
        <v>7285430.2993200002</v>
      </c>
      <c r="F33" s="38">
        <v>172882.459459459</v>
      </c>
      <c r="G33" s="39">
        <f>'Dec 02'!$E33/'Dec 02'!$F33</f>
        <v>42.140945484573216</v>
      </c>
      <c r="H33" s="36">
        <v>37</v>
      </c>
      <c r="I33" s="36">
        <f>ROUND(Table13895845679910111213144562678910111213141516171819202134567891011121314151617181920212223345678910111213141516171819203[[#This Row],[Target Quantity]],0)</f>
        <v>42</v>
      </c>
      <c r="J33" s="40">
        <f t="shared" si="1"/>
        <v>5</v>
      </c>
      <c r="K33" s="41">
        <f>'Dec 02'!$F33*'Dec 02'!$I33</f>
        <v>7261063.2972972784</v>
      </c>
      <c r="L33" s="42">
        <f>'Dec 02'!$K33/$K$2</f>
        <v>4.3089377701988112E-2</v>
      </c>
      <c r="M33" s="64"/>
    </row>
    <row r="34" spans="1:15" s="4" customFormat="1" ht="25.5" x14ac:dyDescent="0.2">
      <c r="A34" s="36" t="s">
        <v>137</v>
      </c>
      <c r="B34" s="62" t="s">
        <v>84</v>
      </c>
      <c r="C34" s="63" t="s">
        <v>85</v>
      </c>
      <c r="D34" s="37">
        <v>2.9499999999999998E-2</v>
      </c>
      <c r="E34" s="38">
        <f>'Dec 02'!$D34*$C$6*$C$2</f>
        <v>7285430.2993200002</v>
      </c>
      <c r="F34" s="38">
        <v>125756.235294118</v>
      </c>
      <c r="G34" s="39">
        <f>'Dec 02'!$E34/'Dec 02'!$F34</f>
        <v>57.932954833459156</v>
      </c>
      <c r="H34" s="36">
        <v>51</v>
      </c>
      <c r="I34" s="36">
        <f>ROUND(Table13895845679910111213144562678910111213141516171819202134567891011121314151617181920212223345678910111213141516171819203[[#This Row],[Target Quantity]],0)</f>
        <v>58</v>
      </c>
      <c r="J34" s="40">
        <f t="shared" si="1"/>
        <v>7</v>
      </c>
      <c r="K34" s="41">
        <f>'Dec 02'!$F34*'Dec 02'!$I34</f>
        <v>7293861.6470588436</v>
      </c>
      <c r="L34" s="42">
        <f>'Dec 02'!$K34/$K$2</f>
        <v>4.3284013173821009E-2</v>
      </c>
      <c r="M34" s="64"/>
    </row>
    <row r="35" spans="1:15" s="4" customFormat="1" ht="25.5" x14ac:dyDescent="0.2">
      <c r="A35" s="36" t="s">
        <v>137</v>
      </c>
      <c r="B35" s="62" t="s">
        <v>86</v>
      </c>
      <c r="C35" s="63" t="s">
        <v>87</v>
      </c>
      <c r="D35" s="37">
        <v>2.9499999999999998E-2</v>
      </c>
      <c r="E35" s="38">
        <f>'Dec 02'!$D35*$C$6*$C$2</f>
        <v>7285430.2993200002</v>
      </c>
      <c r="F35" s="38">
        <v>137544.652173913</v>
      </c>
      <c r="G35" s="39">
        <f>'Dec 02'!$E35/'Dec 02'!$F35</f>
        <v>52.967746722047913</v>
      </c>
      <c r="H35" s="36">
        <v>46</v>
      </c>
      <c r="I35" s="36">
        <f>ROUND(Table13895845679910111213144562678910111213141516171819202134567891011121314151617181920212223345678910111213141516171819203[[#This Row],[Target Quantity]],0)</f>
        <v>53</v>
      </c>
      <c r="J35" s="40">
        <f t="shared" si="1"/>
        <v>7</v>
      </c>
      <c r="K35" s="41">
        <f>'Dec 02'!$F35*'Dec 02'!$I35</f>
        <v>7289866.5652173888</v>
      </c>
      <c r="L35" s="42">
        <f>'Dec 02'!$K35/$K$2</f>
        <v>4.3260305132261742E-2</v>
      </c>
      <c r="M35" s="64"/>
    </row>
    <row r="36" spans="1:15" s="4" customFormat="1" ht="25.5" x14ac:dyDescent="0.2">
      <c r="A36" s="36" t="s">
        <v>137</v>
      </c>
      <c r="B36" s="62" t="s">
        <v>92</v>
      </c>
      <c r="C36" s="63" t="s">
        <v>93</v>
      </c>
      <c r="D36" s="37">
        <v>2.9499999999999998E-2</v>
      </c>
      <c r="E36" s="38">
        <f>'Dec 02'!$D36*$C$6*$C$2</f>
        <v>7285430.2993200002</v>
      </c>
      <c r="F36" s="38">
        <v>220766.72413793101</v>
      </c>
      <c r="G36" s="39">
        <f>'Dec 02'!$E36/'Dec 02'!$F36</f>
        <v>33.000581621930472</v>
      </c>
      <c r="H36" s="36">
        <v>29</v>
      </c>
      <c r="I36" s="36">
        <f>ROUND(Table13895845679910111213144562678910111213141516171819202134567891011121314151617181920212223345678910111213141516171819203[[#This Row],[Target Quantity]],0)</f>
        <v>33</v>
      </c>
      <c r="J36" s="40">
        <f t="shared" si="1"/>
        <v>4</v>
      </c>
      <c r="K36" s="41">
        <f>'Dec 02'!$F36*'Dec 02'!$I36</f>
        <v>7285301.8965517236</v>
      </c>
      <c r="L36" s="42">
        <f>'Dec 02'!$K36/$K$2</f>
        <v>4.3233216987706873E-2</v>
      </c>
      <c r="M36" s="64"/>
    </row>
    <row r="37" spans="1:15" s="44" customFormat="1" ht="25.5" customHeight="1" x14ac:dyDescent="0.2">
      <c r="A37" s="36" t="s">
        <v>138</v>
      </c>
      <c r="B37" s="36" t="s">
        <v>54</v>
      </c>
      <c r="C37" s="36" t="s">
        <v>55</v>
      </c>
      <c r="D37" s="37">
        <v>2.9499999999999998E-2</v>
      </c>
      <c r="E37" s="38">
        <f>'Dec 02'!$D37*$C$6*$C$2</f>
        <v>7285430.2993200002</v>
      </c>
      <c r="F37" s="38">
        <v>114582.375</v>
      </c>
      <c r="G37" s="39">
        <f>'Dec 02'!$E37/'Dec 02'!$F37</f>
        <v>63.58246893835112</v>
      </c>
      <c r="H37" s="36">
        <v>56</v>
      </c>
      <c r="I37" s="36">
        <f>ROUND(Table13895845679910111213144562678910111213141516171819202134567891011121314151617181920212223345678910111213141516171819203[[#This Row],[Target Quantity]],0)</f>
        <v>64</v>
      </c>
      <c r="J37" s="40">
        <f t="shared" si="1"/>
        <v>8</v>
      </c>
      <c r="K37" s="41">
        <f>'Dec 02'!$F37*'Dec 02'!$I37</f>
        <v>7333272</v>
      </c>
      <c r="L37" s="42">
        <f>'Dec 02'!$K37/$K$2</f>
        <v>4.3517886301449885E-2</v>
      </c>
      <c r="M37" s="43"/>
      <c r="O37" s="4"/>
    </row>
    <row r="38" spans="1:15" s="44" customFormat="1" ht="25.5" x14ac:dyDescent="0.2">
      <c r="A38" s="36" t="s">
        <v>138</v>
      </c>
      <c r="B38" s="36" t="s">
        <v>139</v>
      </c>
      <c r="C38" s="36" t="s">
        <v>53</v>
      </c>
      <c r="D38" s="37">
        <v>2.9499999999999998E-2</v>
      </c>
      <c r="E38" s="38">
        <f>'Dec 02'!$D38*$C$6*$C$2</f>
        <v>7285430.2993200002</v>
      </c>
      <c r="F38" s="38">
        <v>137417.14893617001</v>
      </c>
      <c r="G38" s="39">
        <f>'Dec 02'!$E38/'Dec 02'!$F38</f>
        <v>53.016893129576339</v>
      </c>
      <c r="H38" s="36">
        <v>47</v>
      </c>
      <c r="I38" s="36">
        <f>ROUND(Table13895845679910111213144562678910111213141516171819202134567891011121314151617181920212223345678910111213141516171819203[[#This Row],[Target Quantity]],0)</f>
        <v>53</v>
      </c>
      <c r="J38" s="40">
        <f t="shared" si="1"/>
        <v>6</v>
      </c>
      <c r="K38" s="41">
        <f>'Dec 02'!$F38*'Dec 02'!$I38</f>
        <v>7283108.8936170107</v>
      </c>
      <c r="L38" s="42">
        <f>'Dec 02'!$K38/$K$2</f>
        <v>4.3220203035357688E-2</v>
      </c>
      <c r="M38" s="43"/>
      <c r="O38" s="4"/>
    </row>
    <row r="39" spans="1:15" s="44" customFormat="1" ht="25.5" x14ac:dyDescent="0.2">
      <c r="A39" s="36" t="s">
        <v>138</v>
      </c>
      <c r="B39" s="36" t="s">
        <v>140</v>
      </c>
      <c r="C39" s="36" t="s">
        <v>49</v>
      </c>
      <c r="D39" s="37">
        <v>2.9499999999999998E-2</v>
      </c>
      <c r="E39" s="38">
        <f>'Dec 02'!$D39*$C$6*$C$2</f>
        <v>7285430.2993200002</v>
      </c>
      <c r="F39" s="38">
        <v>181784.91428571401</v>
      </c>
      <c r="G39" s="39">
        <f>'Dec 02'!$E39/'Dec 02'!$F39</f>
        <v>40.077199628729275</v>
      </c>
      <c r="H39" s="36">
        <v>35</v>
      </c>
      <c r="I39" s="36">
        <f>ROUND(Table13895845679910111213144562678910111213141516171819202134567891011121314151617181920212223345678910111213141516171819203[[#This Row],[Target Quantity]],0)</f>
        <v>40</v>
      </c>
      <c r="J39" s="40">
        <f t="shared" si="1"/>
        <v>5</v>
      </c>
      <c r="K39" s="41">
        <f>'Dec 02'!$F39*'Dec 02'!$I39</f>
        <v>7271396.5714285607</v>
      </c>
      <c r="L39" s="42">
        <f>'Dec 02'!$K39/$K$2</f>
        <v>4.3150698521503175E-2</v>
      </c>
      <c r="M39" s="43"/>
      <c r="O39" s="4"/>
    </row>
    <row r="40" spans="1:15" s="44" customFormat="1" ht="25.5" x14ac:dyDescent="0.2">
      <c r="A40" s="36" t="s">
        <v>138</v>
      </c>
      <c r="B40" s="36" t="s">
        <v>141</v>
      </c>
      <c r="C40" s="36" t="s">
        <v>59</v>
      </c>
      <c r="D40" s="37">
        <v>2.9499999999999998E-2</v>
      </c>
      <c r="E40" s="38">
        <f>'Dec 02'!$D40*$C$6*$C$2</f>
        <v>7285430.2993200002</v>
      </c>
      <c r="F40" s="38">
        <v>269584.29166666698</v>
      </c>
      <c r="G40" s="39">
        <f>'Dec 02'!$E40/'Dec 02'!$F40</f>
        <v>27.02468402101195</v>
      </c>
      <c r="H40" s="36">
        <v>24</v>
      </c>
      <c r="I40" s="36">
        <f>ROUND(Table13895845679910111213144562678910111213141516171819202134567891011121314151617181920212223345678910111213141516171819203[[#This Row],[Target Quantity]],0)</f>
        <v>27</v>
      </c>
      <c r="J40" s="40">
        <f t="shared" si="1"/>
        <v>3</v>
      </c>
      <c r="K40" s="41">
        <f>'Dec 02'!$F40*'Dec 02'!$I40</f>
        <v>7278775.8750000084</v>
      </c>
      <c r="L40" s="42">
        <f>'Dec 02'!$K40/$K$2</f>
        <v>4.3194489573274625E-2</v>
      </c>
      <c r="M40" s="43"/>
      <c r="O40" s="4"/>
    </row>
    <row r="41" spans="1:15" s="66" customFormat="1" ht="12.75" x14ac:dyDescent="0.2">
      <c r="A41" s="36"/>
      <c r="B41" s="63"/>
      <c r="C41" s="63"/>
      <c r="D41" s="37"/>
      <c r="E41" s="65"/>
      <c r="F41" s="38"/>
      <c r="G41" s="39"/>
      <c r="H41" s="36"/>
      <c r="I41" s="36"/>
      <c r="J41" s="46"/>
      <c r="K41" s="38"/>
      <c r="L41" s="47"/>
      <c r="M41" s="64"/>
    </row>
    <row r="42" spans="1:15" s="17" customFormat="1" ht="12.75" x14ac:dyDescent="0.2">
      <c r="A42" s="48" t="s">
        <v>142</v>
      </c>
      <c r="B42" s="67"/>
      <c r="C42" s="67"/>
      <c r="D42" s="56">
        <f>SUBTOTAL(9,D31:D41)</f>
        <v>0.29499999999999993</v>
      </c>
      <c r="E42" s="68">
        <f>'Dec 02'!$D42*$C$6*$C$2</f>
        <v>72854302.993199989</v>
      </c>
      <c r="F42" s="69"/>
      <c r="G42" s="70"/>
      <c r="H42" s="55"/>
      <c r="I42" s="55"/>
      <c r="J42" s="59"/>
      <c r="K42" s="68">
        <f>SUM(K31:K41)</f>
        <v>72842070.419341549</v>
      </c>
      <c r="L42" s="71">
        <f>'Dec 02'!$K42/$K$2</f>
        <v>0.43226719784444262</v>
      </c>
      <c r="M42" s="72"/>
    </row>
    <row r="43" spans="1:15" s="66" customFormat="1" ht="12.75" x14ac:dyDescent="0.2">
      <c r="A43" s="36"/>
      <c r="B43" s="63"/>
      <c r="C43" s="63"/>
      <c r="D43" s="37"/>
      <c r="E43" s="65"/>
      <c r="F43" s="38"/>
      <c r="G43" s="39"/>
      <c r="H43" s="36"/>
      <c r="I43" s="36"/>
      <c r="J43" s="46"/>
      <c r="K43" s="38"/>
      <c r="L43" s="42"/>
      <c r="M43" s="64"/>
    </row>
    <row r="44" spans="1:15" s="4" customFormat="1" ht="24.75" customHeight="1" x14ac:dyDescent="0.2">
      <c r="A44" s="36" t="s">
        <v>137</v>
      </c>
      <c r="B44" s="63" t="s">
        <v>143</v>
      </c>
      <c r="C44" s="63" t="s">
        <v>144</v>
      </c>
      <c r="D44" s="37">
        <v>0</v>
      </c>
      <c r="E44" s="38">
        <f>'Dec 02'!$D44*$C$6*$C$2</f>
        <v>0</v>
      </c>
      <c r="F44" s="38" t="s">
        <v>168</v>
      </c>
      <c r="G44" s="39">
        <v>0</v>
      </c>
      <c r="H44" s="36">
        <v>48</v>
      </c>
      <c r="I44" s="36">
        <v>0</v>
      </c>
      <c r="J44" s="40">
        <f>I44-H44</f>
        <v>-48</v>
      </c>
      <c r="K44" s="41">
        <v>0</v>
      </c>
      <c r="L44" s="42">
        <f>'Dec 02'!$K44/$K$2</f>
        <v>0</v>
      </c>
      <c r="M44" s="64"/>
    </row>
    <row r="45" spans="1:15" s="44" customFormat="1" ht="25.5" x14ac:dyDescent="0.25">
      <c r="A45" s="36" t="s">
        <v>138</v>
      </c>
      <c r="B45" s="36" t="s">
        <v>145</v>
      </c>
      <c r="C45" s="36" t="s">
        <v>146</v>
      </c>
      <c r="D45" s="37">
        <v>0.1</v>
      </c>
      <c r="E45" s="38">
        <f>'Dec 02'!$D45*$C$6*$C$2</f>
        <v>24696373.896000002</v>
      </c>
      <c r="F45" s="38">
        <v>249375</v>
      </c>
      <c r="G45" s="39">
        <f>'Dec 02'!$E45/'Dec 02'!$F45</f>
        <v>99.033078279699254</v>
      </c>
      <c r="H45" s="36">
        <v>80</v>
      </c>
      <c r="I45" s="36">
        <v>60</v>
      </c>
      <c r="J45" s="40">
        <f>I45-H45</f>
        <v>-20</v>
      </c>
      <c r="K45" s="41">
        <f>'Dec 02'!$F45*'Dec 02'!$I45</f>
        <v>14962500</v>
      </c>
      <c r="L45" s="42">
        <f>'Dec 02'!$K45/$K$2</f>
        <v>8.8792066322569779E-2</v>
      </c>
      <c r="M45" s="43"/>
    </row>
    <row r="46" spans="1:15" s="44" customFormat="1" ht="25.5" x14ac:dyDescent="0.25">
      <c r="A46" s="36" t="s">
        <v>138</v>
      </c>
      <c r="B46" s="36" t="s">
        <v>147</v>
      </c>
      <c r="C46" s="36" t="s">
        <v>148</v>
      </c>
      <c r="D46" s="37">
        <v>0</v>
      </c>
      <c r="E46" s="38">
        <f>'Dec 02'!$D46*$C$6*$C$2</f>
        <v>0</v>
      </c>
      <c r="F46" s="38" t="s">
        <v>168</v>
      </c>
      <c r="G46" s="39">
        <v>0</v>
      </c>
      <c r="H46" s="36">
        <v>48</v>
      </c>
      <c r="I46" s="36">
        <v>0</v>
      </c>
      <c r="J46" s="40">
        <f>I46-H46</f>
        <v>-48</v>
      </c>
      <c r="K46" s="41">
        <v>0</v>
      </c>
      <c r="L46" s="42">
        <f>'Dec 02'!$K46/$K$2</f>
        <v>0</v>
      </c>
      <c r="M46" s="43"/>
    </row>
    <row r="47" spans="1:15" s="44" customFormat="1" ht="25.5" x14ac:dyDescent="0.25">
      <c r="A47" s="36" t="s">
        <v>138</v>
      </c>
      <c r="B47" s="36" t="s">
        <v>149</v>
      </c>
      <c r="C47" s="36" t="s">
        <v>150</v>
      </c>
      <c r="D47" s="37">
        <v>0.1</v>
      </c>
      <c r="E47" s="38">
        <f>'Dec 02'!$D47*$C$6*$C$2</f>
        <v>24696373.896000002</v>
      </c>
      <c r="F47" s="38">
        <v>249791.52499999999</v>
      </c>
      <c r="G47" s="39">
        <f>'Dec 02'!$E47/'Dec 02'!$F47</f>
        <v>98.867941560467287</v>
      </c>
      <c r="H47" s="36">
        <v>80</v>
      </c>
      <c r="I47" s="36">
        <v>60</v>
      </c>
      <c r="J47" s="40">
        <f>I47-H47</f>
        <v>-20</v>
      </c>
      <c r="K47" s="41">
        <f>'Dec 02'!$F47*'Dec 02'!$I47</f>
        <v>14987491.5</v>
      </c>
      <c r="L47" s="42">
        <f>'Dec 02'!$K47/$K$2</f>
        <v>8.8940373552344243E-2</v>
      </c>
      <c r="M47" s="43"/>
    </row>
    <row r="48" spans="1:15" s="44" customFormat="1" ht="25.5" x14ac:dyDescent="0.25">
      <c r="A48" s="36" t="s">
        <v>138</v>
      </c>
      <c r="B48" s="36" t="s">
        <v>151</v>
      </c>
      <c r="C48" s="36" t="s">
        <v>152</v>
      </c>
      <c r="D48" s="37">
        <v>0.1</v>
      </c>
      <c r="E48" s="38">
        <f>'Dec 02'!$D48*$C$6*$C$2</f>
        <v>24696373.896000002</v>
      </c>
      <c r="F48" s="38">
        <v>166867.991803279</v>
      </c>
      <c r="G48" s="39">
        <f>'Dec 02'!$E48/'Dec 02'!$F48</f>
        <v>147.99946729816588</v>
      </c>
      <c r="H48" s="36">
        <v>122</v>
      </c>
      <c r="I48" s="36">
        <v>90</v>
      </c>
      <c r="J48" s="40">
        <f>I48-H48</f>
        <v>-32</v>
      </c>
      <c r="K48" s="41">
        <f>'Dec 02'!$F48*'Dec 02'!$I48</f>
        <v>15018119.26229511</v>
      </c>
      <c r="L48" s="42">
        <f>'Dec 02'!$K48/$K$2</f>
        <v>8.912212809209491E-2</v>
      </c>
      <c r="M48" s="43"/>
    </row>
    <row r="49" spans="1:16" s="45" customFormat="1" ht="12.75" x14ac:dyDescent="0.25">
      <c r="A49" s="36"/>
      <c r="B49" s="36"/>
      <c r="C49" s="36"/>
      <c r="D49" s="37"/>
      <c r="E49" s="38"/>
      <c r="F49" s="38"/>
      <c r="G49" s="39"/>
      <c r="H49" s="36"/>
      <c r="I49" s="36"/>
      <c r="J49" s="46"/>
      <c r="K49" s="38"/>
      <c r="L49" s="42"/>
      <c r="M49" s="36"/>
    </row>
    <row r="50" spans="1:16" s="54" customFormat="1" ht="25.5" x14ac:dyDescent="0.25">
      <c r="A50" s="48" t="s">
        <v>153</v>
      </c>
      <c r="B50" s="48"/>
      <c r="C50" s="48"/>
      <c r="D50" s="56">
        <f>SUBTOTAL(9,D44:D49)</f>
        <v>0.30000000000000004</v>
      </c>
      <c r="E50" s="50">
        <f>'Dec 02'!$D50*$C$6*$C$2</f>
        <v>74089121.688000023</v>
      </c>
      <c r="F50" s="70"/>
      <c r="G50" s="70"/>
      <c r="H50" s="55"/>
      <c r="I50" s="55"/>
      <c r="J50" s="59"/>
      <c r="K50" s="50">
        <f>SUM(K44:K49)</f>
        <v>44968110.762295112</v>
      </c>
      <c r="L50" s="73">
        <f>'Dec 02'!$K50/$K$2</f>
        <v>0.26685456796700896</v>
      </c>
      <c r="M50" s="48"/>
    </row>
    <row r="51" spans="1:16" s="45" customFormat="1" ht="12.75" x14ac:dyDescent="0.25">
      <c r="A51" s="36"/>
      <c r="B51" s="36"/>
      <c r="C51" s="36"/>
      <c r="D51" s="37"/>
      <c r="E51" s="38"/>
      <c r="F51" s="38"/>
      <c r="G51" s="39"/>
      <c r="H51" s="36"/>
      <c r="I51" s="36"/>
      <c r="J51" s="46"/>
      <c r="K51" s="38"/>
      <c r="L51" s="42"/>
      <c r="M51" s="36"/>
    </row>
    <row r="52" spans="1:16" s="44" customFormat="1" ht="12.75" x14ac:dyDescent="0.25">
      <c r="A52" s="36"/>
      <c r="B52" s="36"/>
      <c r="C52" s="36"/>
      <c r="D52" s="37"/>
      <c r="E52" s="38"/>
      <c r="F52" s="38"/>
      <c r="G52" s="74"/>
      <c r="H52" s="36"/>
      <c r="I52" s="36"/>
      <c r="J52" s="40"/>
      <c r="K52" s="41"/>
      <c r="L52" s="42"/>
      <c r="M52" s="43"/>
    </row>
    <row r="53" spans="1:16" s="44" customFormat="1" ht="25.5" x14ac:dyDescent="0.25">
      <c r="A53" s="36" t="s">
        <v>154</v>
      </c>
      <c r="B53" s="36" t="s">
        <v>155</v>
      </c>
      <c r="C53" s="36" t="s">
        <v>46</v>
      </c>
      <c r="D53" s="37">
        <v>1E-3</v>
      </c>
      <c r="E53" s="38">
        <f>'Dec 02'!$D53*$C$6*$C$2</f>
        <v>246963.73896000002</v>
      </c>
      <c r="F53" s="38">
        <v>51683.5</v>
      </c>
      <c r="G53" s="74">
        <f>'Dec 02'!$E53/'Dec 02'!$F53</f>
        <v>4.7783865055578669</v>
      </c>
      <c r="H53" s="36">
        <v>4</v>
      </c>
      <c r="I53" s="36">
        <v>5</v>
      </c>
      <c r="J53" s="40">
        <f t="shared" ref="J53:J63" si="2">I53-H53</f>
        <v>1</v>
      </c>
      <c r="K53" s="41">
        <f>'Dec 02'!$F53*'Dec 02'!$I53</f>
        <v>258417.5</v>
      </c>
      <c r="L53" s="42">
        <f>'Dec 02'!$K53/$K$2</f>
        <v>1.5335287417819667E-3</v>
      </c>
      <c r="M53" s="43"/>
    </row>
    <row r="54" spans="1:16" s="44" customFormat="1" ht="25.5" x14ac:dyDescent="0.25">
      <c r="A54" s="36" t="s">
        <v>154</v>
      </c>
      <c r="B54" s="36" t="s">
        <v>156</v>
      </c>
      <c r="C54" s="36" t="s">
        <v>61</v>
      </c>
      <c r="D54" s="37">
        <v>1E-3</v>
      </c>
      <c r="E54" s="38">
        <f>'Dec 02'!$D54*$C$6*$C$2</f>
        <v>246963.73896000002</v>
      </c>
      <c r="F54" s="38">
        <v>86899</v>
      </c>
      <c r="G54" s="74">
        <f>'Dec 02'!$E54/'Dec 02'!$F54</f>
        <v>2.8419629565357485</v>
      </c>
      <c r="H54" s="36">
        <v>3</v>
      </c>
      <c r="I54" s="36">
        <v>3</v>
      </c>
      <c r="J54" s="40">
        <f t="shared" si="2"/>
        <v>0</v>
      </c>
      <c r="K54" s="41">
        <f>'Dec 02'!$F54*'Dec 02'!$I54</f>
        <v>260697</v>
      </c>
      <c r="L54" s="42">
        <f>'Dec 02'!$K54/$K$2</f>
        <v>1.5470559942586449E-3</v>
      </c>
      <c r="M54" s="43"/>
      <c r="P54" s="44" t="s">
        <v>157</v>
      </c>
    </row>
    <row r="55" spans="1:16" s="44" customFormat="1" ht="25.5" x14ac:dyDescent="0.25">
      <c r="A55" s="36" t="s">
        <v>154</v>
      </c>
      <c r="B55" s="36" t="s">
        <v>158</v>
      </c>
      <c r="C55" s="36" t="s">
        <v>69</v>
      </c>
      <c r="D55" s="37">
        <v>1E-3</v>
      </c>
      <c r="E55" s="38">
        <f>'Dec 02'!$D55*$C$6*$C$2</f>
        <v>246963.73896000002</v>
      </c>
      <c r="F55" s="38">
        <v>96089.5</v>
      </c>
      <c r="G55" s="74">
        <f>'Dec 02'!$E55/'Dec 02'!$F55</f>
        <v>2.570142824762331</v>
      </c>
      <c r="H55" s="36">
        <v>2</v>
      </c>
      <c r="I55" s="36">
        <v>3</v>
      </c>
      <c r="J55" s="40">
        <f t="shared" si="2"/>
        <v>1</v>
      </c>
      <c r="K55" s="41">
        <f>'Dec 02'!$F55*'Dec 02'!$I55</f>
        <v>288268.5</v>
      </c>
      <c r="L55" s="42">
        <f>'Dec 02'!$K55/$K$2</f>
        <v>1.7106737357198132E-3</v>
      </c>
      <c r="M55" s="43"/>
    </row>
    <row r="56" spans="1:16" s="44" customFormat="1" ht="25.5" x14ac:dyDescent="0.25">
      <c r="A56" s="36" t="s">
        <v>154</v>
      </c>
      <c r="B56" s="36" t="s">
        <v>70</v>
      </c>
      <c r="C56" s="36" t="s">
        <v>71</v>
      </c>
      <c r="D56" s="37">
        <v>1E-3</v>
      </c>
      <c r="E56" s="38">
        <f>'Dec 02'!$D56*$C$6*$C$2</f>
        <v>246963.73896000002</v>
      </c>
      <c r="F56" s="38">
        <v>242615</v>
      </c>
      <c r="G56" s="74">
        <f>'Dec 02'!$E56/'Dec 02'!$F56</f>
        <v>1.0179244439131958</v>
      </c>
      <c r="H56" s="36">
        <v>1</v>
      </c>
      <c r="I56" s="36">
        <v>1</v>
      </c>
      <c r="J56" s="40">
        <f t="shared" si="2"/>
        <v>0</v>
      </c>
      <c r="K56" s="41">
        <f>'Dec 02'!$F56*'Dec 02'!$I56</f>
        <v>242615</v>
      </c>
      <c r="L56" s="42">
        <f>'Dec 02'!$K56/$K$2</f>
        <v>1.4397518577009367E-3</v>
      </c>
      <c r="M56" s="43"/>
    </row>
    <row r="57" spans="1:16" s="44" customFormat="1" ht="25.5" x14ac:dyDescent="0.25">
      <c r="A57" s="36" t="s">
        <v>154</v>
      </c>
      <c r="B57" s="36" t="s">
        <v>159</v>
      </c>
      <c r="C57" s="36" t="s">
        <v>73</v>
      </c>
      <c r="D57" s="37">
        <v>1E-3</v>
      </c>
      <c r="E57" s="38">
        <f>'Dec 02'!$D57*$C$6*$C$2</f>
        <v>246963.73896000002</v>
      </c>
      <c r="F57" s="38">
        <v>13431.588235294101</v>
      </c>
      <c r="G57" s="74">
        <f>'Dec 02'!$E57/'Dec 02'!$F57</f>
        <v>18.386786032574683</v>
      </c>
      <c r="H57" s="36">
        <v>17</v>
      </c>
      <c r="I57" s="36">
        <v>18</v>
      </c>
      <c r="J57" s="40">
        <f t="shared" si="2"/>
        <v>1</v>
      </c>
      <c r="K57" s="41">
        <f>'Dec 02'!$F57*'Dec 02'!$I57</f>
        <v>241768.58823529381</v>
      </c>
      <c r="L57" s="42">
        <f>'Dec 02'!$K57/$K$2</f>
        <v>1.4347289905632262E-3</v>
      </c>
      <c r="M57" s="43"/>
    </row>
    <row r="58" spans="1:16" s="44" customFormat="1" ht="25.5" x14ac:dyDescent="0.25">
      <c r="A58" s="36" t="s">
        <v>154</v>
      </c>
      <c r="B58" s="36" t="s">
        <v>160</v>
      </c>
      <c r="C58" s="36" t="s">
        <v>161</v>
      </c>
      <c r="D58" s="37">
        <v>0</v>
      </c>
      <c r="E58" s="38">
        <f>'Dec 02'!$D58*$C$6*$C$2</f>
        <v>0</v>
      </c>
      <c r="F58" s="38">
        <v>94644</v>
      </c>
      <c r="G58" s="74">
        <f>'Dec 02'!$E58/'Dec 02'!$F58</f>
        <v>0</v>
      </c>
      <c r="H58" s="36">
        <v>2</v>
      </c>
      <c r="I58" s="36">
        <v>0</v>
      </c>
      <c r="J58" s="40">
        <f t="shared" si="2"/>
        <v>-2</v>
      </c>
      <c r="K58" s="41">
        <f>'Dec 02'!$F58*'Dec 02'!$I58</f>
        <v>0</v>
      </c>
      <c r="L58" s="42">
        <f>'Dec 02'!$K58/$K$2</f>
        <v>0</v>
      </c>
      <c r="M58" s="43"/>
    </row>
    <row r="59" spans="1:16" s="4" customFormat="1" ht="25.5" x14ac:dyDescent="0.2">
      <c r="A59" s="36" t="s">
        <v>154</v>
      </c>
      <c r="B59" s="63" t="s">
        <v>162</v>
      </c>
      <c r="C59" s="63" t="s">
        <v>91</v>
      </c>
      <c r="D59" s="37">
        <v>1E-3</v>
      </c>
      <c r="E59" s="38">
        <f>'Dec 02'!$D59*$C$6*$C$2</f>
        <v>246963.73896000002</v>
      </c>
      <c r="F59" s="38">
        <v>68917</v>
      </c>
      <c r="G59" s="74">
        <f>'Dec 02'!$E59/'Dec 02'!$F59</f>
        <v>3.5834952037958705</v>
      </c>
      <c r="H59" s="36">
        <v>3</v>
      </c>
      <c r="I59" s="36">
        <v>4</v>
      </c>
      <c r="J59" s="40">
        <f t="shared" si="2"/>
        <v>1</v>
      </c>
      <c r="K59" s="41">
        <f>'Dec 02'!$F59*'Dec 02'!$I59</f>
        <v>275668</v>
      </c>
      <c r="L59" s="42">
        <f>'Dec 02'!$K59/$K$2</f>
        <v>1.6358985021894847E-3</v>
      </c>
      <c r="M59" s="64"/>
    </row>
    <row r="60" spans="1:16" s="44" customFormat="1" ht="25.5" x14ac:dyDescent="0.25">
      <c r="A60" s="36" t="s">
        <v>154</v>
      </c>
      <c r="B60" s="36" t="s">
        <v>163</v>
      </c>
      <c r="C60" s="36" t="s">
        <v>67</v>
      </c>
      <c r="D60" s="37">
        <v>1E-3</v>
      </c>
      <c r="E60" s="38">
        <f>'Dec 02'!$D60*$C$6*$C$2</f>
        <v>246963.73896000002</v>
      </c>
      <c r="F60" s="38">
        <v>28770</v>
      </c>
      <c r="G60" s="74">
        <f>'Dec 02'!$E60/'Dec 02'!$F60</f>
        <v>8.5840715662148082</v>
      </c>
      <c r="H60" s="36">
        <v>8</v>
      </c>
      <c r="I60" s="36">
        <v>9</v>
      </c>
      <c r="J60" s="40">
        <f t="shared" si="2"/>
        <v>1</v>
      </c>
      <c r="K60" s="41">
        <f>'Dec 02'!$F60*'Dec 02'!$I60</f>
        <v>258930</v>
      </c>
      <c r="L60" s="42">
        <f>'Dec 02'!$K60/$K$2</f>
        <v>1.5365700740453128E-3</v>
      </c>
      <c r="M60" s="43"/>
    </row>
    <row r="61" spans="1:16" s="44" customFormat="1" ht="25.5" x14ac:dyDescent="0.25">
      <c r="A61" s="36" t="s">
        <v>154</v>
      </c>
      <c r="B61" s="36" t="s">
        <v>77</v>
      </c>
      <c r="C61" s="36" t="s">
        <v>78</v>
      </c>
      <c r="D61" s="37">
        <v>1E-3</v>
      </c>
      <c r="E61" s="38">
        <f>'Dec 02'!$D61*$C$6*$C$2</f>
        <v>246963.73896000002</v>
      </c>
      <c r="F61" s="38">
        <v>8390</v>
      </c>
      <c r="G61" s="74">
        <f>'Dec 02'!$E61/'Dec 02'!$F61</f>
        <v>29.435487361144222</v>
      </c>
      <c r="H61" s="36">
        <v>26</v>
      </c>
      <c r="I61" s="36">
        <v>29</v>
      </c>
      <c r="J61" s="40">
        <f t="shared" si="2"/>
        <v>3</v>
      </c>
      <c r="K61" s="41">
        <f>'Dec 02'!$F61*'Dec 02'!$I61</f>
        <v>243310</v>
      </c>
      <c r="L61" s="42">
        <f>'Dec 02'!$K61/$K$2</f>
        <v>1.4438762009653769E-3</v>
      </c>
      <c r="M61" s="43"/>
    </row>
    <row r="62" spans="1:16" s="44" customFormat="1" ht="25.5" x14ac:dyDescent="0.25">
      <c r="A62" s="36" t="s">
        <v>154</v>
      </c>
      <c r="B62" s="36" t="s">
        <v>63</v>
      </c>
      <c r="C62" s="36" t="s">
        <v>64</v>
      </c>
      <c r="D62" s="37">
        <v>1E-3</v>
      </c>
      <c r="E62" s="38">
        <f>'Dec 02'!$D62*$C$6*$C$2</f>
        <v>246963.73896000002</v>
      </c>
      <c r="F62" s="38">
        <v>27053</v>
      </c>
      <c r="G62" s="74">
        <f>'Dec 02'!$E62/'Dec 02'!$F62</f>
        <v>9.1288854825712491</v>
      </c>
      <c r="H62" s="36">
        <v>7</v>
      </c>
      <c r="I62" s="36">
        <v>9</v>
      </c>
      <c r="J62" s="40">
        <f t="shared" si="2"/>
        <v>2</v>
      </c>
      <c r="K62" s="41">
        <f>'Dec 02'!$F62*'Dec 02'!$I62</f>
        <v>243477</v>
      </c>
      <c r="L62" s="42">
        <f>'Dec 02'!$K62/$K$2</f>
        <v>1.4448672302102136E-3</v>
      </c>
      <c r="M62" s="43"/>
    </row>
    <row r="63" spans="1:16" s="44" customFormat="1" ht="25.5" x14ac:dyDescent="0.25">
      <c r="A63" s="36" t="s">
        <v>154</v>
      </c>
      <c r="B63" s="36" t="s">
        <v>88</v>
      </c>
      <c r="C63" s="36" t="s">
        <v>89</v>
      </c>
      <c r="D63" s="37">
        <v>1E-3</v>
      </c>
      <c r="E63" s="38">
        <f>'Dec 02'!$D63*$C$6*$C$2</f>
        <v>246963.73896000002</v>
      </c>
      <c r="F63" s="38">
        <v>57624.75</v>
      </c>
      <c r="G63" s="74">
        <f>'Dec 02'!$E63/'Dec 02'!$F63</f>
        <v>4.2857233907305456</v>
      </c>
      <c r="H63" s="36">
        <v>4</v>
      </c>
      <c r="I63" s="36">
        <v>4</v>
      </c>
      <c r="J63" s="40">
        <f t="shared" si="2"/>
        <v>0</v>
      </c>
      <c r="K63" s="41">
        <f>'Dec 02'!$F63*'Dec 02'!$I63</f>
        <v>230499</v>
      </c>
      <c r="L63" s="42">
        <f>'Dec 02'!$K63/$K$2</f>
        <v>1.3678517958420058E-3</v>
      </c>
      <c r="M63" s="43"/>
    </row>
    <row r="64" spans="1:16" s="44" customFormat="1" ht="12.75" x14ac:dyDescent="0.25">
      <c r="A64" s="36"/>
      <c r="B64" s="36"/>
      <c r="C64" s="36"/>
      <c r="D64" s="37"/>
      <c r="E64" s="38"/>
      <c r="F64" s="38"/>
      <c r="G64" s="39"/>
      <c r="H64" s="36"/>
      <c r="I64" s="36"/>
      <c r="J64" s="43"/>
      <c r="K64" s="41"/>
      <c r="L64" s="42"/>
      <c r="M64" s="43"/>
    </row>
    <row r="65" spans="1:13" s="17" customFormat="1" ht="12.75" x14ac:dyDescent="0.2">
      <c r="A65" s="48" t="s">
        <v>164</v>
      </c>
      <c r="B65" s="67"/>
      <c r="C65" s="67"/>
      <c r="D65" s="75">
        <f>SUM(D53:D64)</f>
        <v>1.0000000000000002E-2</v>
      </c>
      <c r="E65" s="50">
        <f>SUM(E52:E64)</f>
        <v>2469637.3896000003</v>
      </c>
      <c r="F65" s="70"/>
      <c r="G65" s="70"/>
      <c r="H65" s="67"/>
      <c r="I65" s="67"/>
      <c r="J65" s="48"/>
      <c r="K65" s="50">
        <f>SUM(K52:K64)</f>
        <v>2543650.5882352935</v>
      </c>
      <c r="L65" s="53">
        <f>'Dec 02'!$K65/$K$2</f>
        <v>1.5094803123276979E-2</v>
      </c>
      <c r="M65" s="60"/>
    </row>
    <row r="66" spans="1:13" s="4" customFormat="1" ht="12.75" x14ac:dyDescent="0.2">
      <c r="A66" s="36"/>
      <c r="B66" s="63"/>
      <c r="C66" s="63"/>
      <c r="D66" s="76"/>
      <c r="E66" s="38"/>
      <c r="F66" s="38"/>
      <c r="G66" s="39"/>
      <c r="H66" s="63"/>
      <c r="I66" s="63"/>
      <c r="J66" s="36"/>
      <c r="K66" s="36"/>
      <c r="L66" s="42"/>
      <c r="M66" s="64"/>
    </row>
    <row r="67" spans="1:13" s="44" customFormat="1" ht="25.5" x14ac:dyDescent="0.25">
      <c r="A67" s="48" t="s">
        <v>165</v>
      </c>
      <c r="B67" s="55" t="s">
        <v>166</v>
      </c>
      <c r="C67" s="55" t="s">
        <v>167</v>
      </c>
      <c r="D67" s="56">
        <v>0</v>
      </c>
      <c r="E67" s="57">
        <f>'Dec 02'!$D67*$C$6*$C$2</f>
        <v>0</v>
      </c>
      <c r="F67" s="57">
        <v>0</v>
      </c>
      <c r="G67" s="58" t="s">
        <v>168</v>
      </c>
      <c r="H67" s="55">
        <v>0</v>
      </c>
      <c r="I67" s="55">
        <v>0</v>
      </c>
      <c r="J67" s="77">
        <f>I67-H67</f>
        <v>0</v>
      </c>
      <c r="K67" s="57">
        <f>'Dec 02'!$F67*'Dec 02'!$I67</f>
        <v>0</v>
      </c>
      <c r="L67" s="78">
        <f>'Dec 02'!$K67/$K$2</f>
        <v>0</v>
      </c>
      <c r="M67" s="55"/>
    </row>
    <row r="68" spans="1:13" s="4" customFormat="1" ht="12.75" x14ac:dyDescent="0.2">
      <c r="A68" s="36"/>
      <c r="B68" s="63"/>
      <c r="C68" s="63"/>
      <c r="D68" s="76"/>
      <c r="E68" s="38"/>
      <c r="F68" s="38"/>
      <c r="G68" s="39"/>
      <c r="H68" s="63"/>
      <c r="I68" s="63"/>
      <c r="J68" s="36"/>
      <c r="K68" s="36"/>
      <c r="L68" s="42"/>
      <c r="M68" s="64"/>
    </row>
    <row r="69" spans="1:13" s="4" customFormat="1" ht="12.75" x14ac:dyDescent="0.2">
      <c r="A69" s="36"/>
      <c r="B69" s="63"/>
      <c r="C69" s="63"/>
      <c r="D69" s="79"/>
      <c r="E69" s="65"/>
      <c r="F69" s="38"/>
      <c r="G69" s="39"/>
      <c r="H69" s="63"/>
      <c r="I69" s="63"/>
      <c r="J69" s="36"/>
      <c r="K69" s="36"/>
      <c r="L69" s="42"/>
      <c r="M69" s="64"/>
    </row>
    <row r="70" spans="1:13" s="17" customFormat="1" ht="12.75" x14ac:dyDescent="0.2">
      <c r="A70" s="48" t="s">
        <v>169</v>
      </c>
      <c r="B70" s="67"/>
      <c r="C70" s="67"/>
      <c r="D70" s="67"/>
      <c r="E70" s="80"/>
      <c r="F70" s="80"/>
      <c r="G70" s="48"/>
      <c r="H70" s="67"/>
      <c r="I70" s="67"/>
      <c r="J70" s="67"/>
      <c r="K70" s="80">
        <f>SUM(K27,K29,K42,K50,K65,K67:K67)</f>
        <v>168511676.9964923</v>
      </c>
      <c r="L70" s="53">
        <f>'Dec 02'!$K70/$K$2</f>
        <v>1</v>
      </c>
      <c r="M70" s="67"/>
    </row>
    <row r="71" spans="1:13" s="4" customFormat="1" ht="12.75" x14ac:dyDescent="0.2">
      <c r="A71" s="64"/>
      <c r="B71" s="64"/>
      <c r="C71" s="64"/>
      <c r="D71" s="81"/>
      <c r="E71" s="82"/>
      <c r="F71" s="38"/>
      <c r="G71" s="83"/>
      <c r="H71" s="64"/>
      <c r="I71" s="64"/>
      <c r="J71" s="64"/>
      <c r="K71" s="64"/>
      <c r="L71" s="42"/>
      <c r="M71" s="64"/>
    </row>
    <row r="72" spans="1:13" s="4" customFormat="1" ht="12.75" x14ac:dyDescent="0.2">
      <c r="A72" s="64"/>
      <c r="B72" s="64"/>
      <c r="C72" s="64"/>
      <c r="D72" s="81"/>
      <c r="E72" s="82"/>
      <c r="F72" s="38"/>
      <c r="G72" s="83"/>
      <c r="H72" s="64"/>
      <c r="I72" s="64"/>
      <c r="J72" s="64"/>
      <c r="K72" s="64"/>
      <c r="L72" s="42"/>
      <c r="M72" s="64"/>
    </row>
    <row r="73" spans="1:13" s="4" customFormat="1" ht="12.75" x14ac:dyDescent="0.2">
      <c r="A73" s="64"/>
      <c r="B73" s="64"/>
      <c r="C73" s="64"/>
      <c r="D73" s="81"/>
      <c r="E73" s="82"/>
      <c r="F73" s="38"/>
      <c r="G73" s="83"/>
      <c r="H73" s="64"/>
      <c r="I73" s="64"/>
      <c r="J73" s="64"/>
      <c r="K73" s="64"/>
      <c r="L73" s="42"/>
      <c r="M73" s="64"/>
    </row>
    <row r="74" spans="1:13" s="4" customFormat="1" ht="12.75" x14ac:dyDescent="0.2">
      <c r="A74" s="64"/>
      <c r="B74" s="64"/>
      <c r="C74" s="64"/>
      <c r="D74" s="81"/>
      <c r="E74" s="82"/>
      <c r="F74" s="38"/>
      <c r="G74" s="83"/>
      <c r="H74" s="64"/>
      <c r="I74" s="64"/>
      <c r="J74" s="64"/>
      <c r="K74" s="64"/>
      <c r="L74" s="42"/>
      <c r="M74" s="64"/>
    </row>
    <row r="75" spans="1:13" s="4" customFormat="1" ht="12.75" x14ac:dyDescent="0.2">
      <c r="A75" s="64"/>
      <c r="B75" s="64"/>
      <c r="C75" s="64"/>
      <c r="D75" s="81"/>
      <c r="E75" s="82"/>
      <c r="F75" s="38"/>
      <c r="G75" s="83"/>
      <c r="H75" s="64"/>
      <c r="I75" s="64"/>
      <c r="J75" s="64"/>
      <c r="K75" s="64"/>
      <c r="L75" s="42"/>
      <c r="M75" s="64"/>
    </row>
    <row r="76" spans="1:13" s="4" customFormat="1" ht="12.75" x14ac:dyDescent="0.2">
      <c r="A76" s="64"/>
      <c r="B76" s="64"/>
      <c r="C76" s="64"/>
      <c r="D76" s="81"/>
      <c r="E76" s="82"/>
      <c r="F76" s="38"/>
      <c r="G76" s="83"/>
      <c r="H76" s="64"/>
      <c r="I76" s="64"/>
      <c r="J76" s="64"/>
      <c r="K76" s="64"/>
      <c r="L76" s="42"/>
      <c r="M76" s="64"/>
    </row>
    <row r="77" spans="1:13" s="4" customFormat="1" ht="12.75" x14ac:dyDescent="0.2">
      <c r="A77" s="64"/>
      <c r="B77" s="64"/>
      <c r="C77" s="64"/>
      <c r="D77" s="81"/>
      <c r="E77" s="82"/>
      <c r="F77" s="38"/>
      <c r="G77" s="83"/>
      <c r="H77" s="64"/>
      <c r="I77" s="64"/>
      <c r="J77" s="64"/>
      <c r="K77" s="64"/>
      <c r="L77" s="42"/>
      <c r="M77" s="64"/>
    </row>
    <row r="78" spans="1:13" s="4" customFormat="1" ht="12.75" x14ac:dyDescent="0.2">
      <c r="A78" s="64"/>
      <c r="B78" s="64"/>
      <c r="C78" s="64"/>
      <c r="D78" s="81"/>
      <c r="E78" s="82"/>
      <c r="F78" s="38"/>
      <c r="G78" s="83"/>
      <c r="H78" s="64"/>
      <c r="I78" s="64"/>
      <c r="J78" s="64"/>
      <c r="K78" s="64"/>
      <c r="L78" s="42"/>
      <c r="M78" s="64"/>
    </row>
    <row r="79" spans="1:13" s="4" customFormat="1" ht="12.75" x14ac:dyDescent="0.2">
      <c r="A79" s="64"/>
      <c r="B79" s="64"/>
      <c r="C79" s="64"/>
      <c r="D79" s="81"/>
      <c r="E79" s="82"/>
      <c r="F79" s="38"/>
      <c r="G79" s="83"/>
      <c r="H79" s="64"/>
      <c r="I79" s="64"/>
      <c r="J79" s="64"/>
      <c r="K79" s="64"/>
      <c r="L79" s="42"/>
      <c r="M79" s="64"/>
    </row>
    <row r="80" spans="1:13" s="4" customFormat="1" ht="12.75" x14ac:dyDescent="0.2"/>
    <row r="81" spans="1:13" s="4" customFormat="1" ht="12.75" x14ac:dyDescent="0.2"/>
    <row r="83" spans="1:13" s="4" customFormat="1" ht="12.75" x14ac:dyDescent="0.2">
      <c r="A83" s="84"/>
      <c r="B83" s="84"/>
      <c r="E83" s="84"/>
      <c r="F83" s="84"/>
      <c r="G83" s="84"/>
      <c r="H83" s="85"/>
      <c r="M83" s="84"/>
    </row>
    <row r="84" spans="1:13" s="4" customFormat="1" ht="12.75" x14ac:dyDescent="0.2">
      <c r="A84" s="84"/>
      <c r="B84" s="84"/>
      <c r="E84" s="84"/>
      <c r="F84" s="84"/>
      <c r="G84" s="84"/>
      <c r="H84" s="85"/>
      <c r="M84" s="84"/>
    </row>
    <row r="85" spans="1:13" s="4" customFormat="1" ht="12.75" x14ac:dyDescent="0.2">
      <c r="A85" s="86"/>
      <c r="B85" s="86"/>
    </row>
    <row r="86" spans="1:13" s="4" customFormat="1" ht="12.75" x14ac:dyDescent="0.2">
      <c r="A86" s="87"/>
      <c r="B86" s="87"/>
      <c r="E86" s="87"/>
      <c r="F86" s="86"/>
      <c r="G86" s="86"/>
      <c r="M86" s="88"/>
    </row>
    <row r="87" spans="1:13" s="4" customFormat="1" ht="12.75" x14ac:dyDescent="0.2"/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H84"/>
  <sheetViews>
    <sheetView zoomScale="140" zoomScaleNormal="140" workbookViewId="0">
      <pane xSplit="2" topLeftCell="C1" activePane="topRight" state="frozen"/>
      <selection pane="topRight" activeCell="F4" sqref="F4"/>
    </sheetView>
  </sheetViews>
  <sheetFormatPr defaultColWidth="9.140625" defaultRowHeight="15" x14ac:dyDescent="0.25"/>
  <cols>
    <col min="1" max="2" width="15.140625" style="4" customWidth="1"/>
    <col min="3" max="3" width="29.28515625" style="4" customWidth="1"/>
    <col min="4" max="4" width="14.85546875" style="4" customWidth="1"/>
    <col min="5" max="5" width="27.42578125" style="4" customWidth="1"/>
    <col min="6" max="7" width="13.7109375" style="4" customWidth="1"/>
    <col min="8" max="8" width="16.42578125" style="4" customWidth="1"/>
    <col min="9" max="9" width="15.42578125" style="4" customWidth="1"/>
    <col min="10" max="10" width="13.42578125" customWidth="1"/>
    <col min="11" max="11" width="23.42578125" customWidth="1"/>
    <col min="12" max="12" width="13.42578125" customWidth="1"/>
    <col min="13" max="13" width="22.42578125" style="4" customWidth="1"/>
    <col min="14" max="16" width="10.85546875" style="4" customWidth="1"/>
    <col min="17" max="17" width="11.28515625" style="4" customWidth="1"/>
    <col min="18" max="1022" width="9.140625" style="4"/>
  </cols>
  <sheetData>
    <row r="1" spans="1:17" s="4" customFormat="1" ht="25.5" x14ac:dyDescent="0.2">
      <c r="A1" s="5"/>
      <c r="B1" s="5" t="s">
        <v>95</v>
      </c>
      <c r="C1" s="6">
        <v>44168</v>
      </c>
      <c r="D1" s="7"/>
      <c r="E1" s="8" t="s">
        <v>96</v>
      </c>
      <c r="F1" s="9"/>
      <c r="G1" s="10"/>
      <c r="K1" s="11" t="s">
        <v>97</v>
      </c>
      <c r="L1" s="11" t="s">
        <v>98</v>
      </c>
      <c r="M1" s="12" t="s">
        <v>99</v>
      </c>
    </row>
    <row r="2" spans="1:17" x14ac:dyDescent="0.25">
      <c r="A2" s="5"/>
      <c r="B2" s="5" t="s">
        <v>100</v>
      </c>
      <c r="C2" s="13">
        <v>8.5</v>
      </c>
      <c r="D2" s="14"/>
      <c r="E2" s="15">
        <f>SUM(E27,E42,E48,E62,E29,E64)</f>
        <v>188442348.47476998</v>
      </c>
      <c r="F2" s="16"/>
      <c r="G2" s="17"/>
      <c r="H2" s="14"/>
      <c r="I2" s="14"/>
      <c r="J2" s="14"/>
      <c r="K2" s="15">
        <f>SUM(K27,K42,K48,K62,K29,K64:K64)</f>
        <v>152307340.33331081</v>
      </c>
      <c r="L2" s="18">
        <f>SUM(L48,L62,L42,L27,L29,L64)</f>
        <v>0.99999999999999989</v>
      </c>
      <c r="M2" s="19">
        <f>K2/$C$6</f>
        <v>5.4960502670278819</v>
      </c>
      <c r="N2" s="20"/>
    </row>
    <row r="3" spans="1:17" ht="26.25" x14ac:dyDescent="0.25">
      <c r="A3" s="5"/>
      <c r="B3" s="5" t="s">
        <v>101</v>
      </c>
      <c r="C3" s="21">
        <v>27712144.710000001</v>
      </c>
      <c r="D3" s="22"/>
      <c r="E3" s="8" t="s">
        <v>102</v>
      </c>
      <c r="F3" s="16"/>
      <c r="H3" s="14"/>
      <c r="I3" s="14"/>
      <c r="J3" s="14"/>
      <c r="K3" s="8" t="s">
        <v>102</v>
      </c>
      <c r="L3" s="14"/>
      <c r="M3" s="12" t="s">
        <v>103</v>
      </c>
      <c r="N3" s="23"/>
    </row>
    <row r="4" spans="1:17" x14ac:dyDescent="0.25">
      <c r="A4" s="5"/>
      <c r="B4" s="5" t="s">
        <v>104</v>
      </c>
      <c r="C4" s="21">
        <v>0</v>
      </c>
      <c r="D4" s="22"/>
      <c r="E4" s="15">
        <f>SUM(E27,E62,E29)</f>
        <v>48288176.603944972</v>
      </c>
      <c r="F4" s="16"/>
      <c r="G4" s="17"/>
      <c r="H4" s="14"/>
      <c r="I4" s="14"/>
      <c r="J4" s="14"/>
      <c r="K4" s="15">
        <f>SUM(K27,K29,K62)</f>
        <v>48458721.830576845</v>
      </c>
      <c r="L4" s="14"/>
      <c r="M4" s="19">
        <f>K4/$C$6</f>
        <v>1.7486456691708305</v>
      </c>
      <c r="N4" s="23"/>
    </row>
    <row r="5" spans="1:17" x14ac:dyDescent="0.25">
      <c r="A5" s="5"/>
      <c r="B5" s="5" t="s">
        <v>105</v>
      </c>
      <c r="C5" s="21">
        <v>0</v>
      </c>
      <c r="D5" s="22"/>
      <c r="E5" s="16"/>
      <c r="F5" s="16"/>
      <c r="G5" s="24">
        <f>SUM(D27,D29,D42,D48,D62,D64:D64)</f>
        <v>0.79999900000000002</v>
      </c>
      <c r="H5" s="14"/>
      <c r="I5" s="14"/>
      <c r="J5" s="14"/>
      <c r="K5" s="14"/>
      <c r="L5" s="14"/>
      <c r="M5" s="14"/>
      <c r="N5" s="23"/>
    </row>
    <row r="6" spans="1:17" x14ac:dyDescent="0.25">
      <c r="A6" s="5"/>
      <c r="B6" s="5" t="s">
        <v>106</v>
      </c>
      <c r="C6" s="21">
        <f>C3+C4-C5</f>
        <v>27712144.710000001</v>
      </c>
      <c r="D6" s="22"/>
      <c r="E6" s="16"/>
      <c r="F6" s="16"/>
      <c r="G6" s="17"/>
      <c r="H6" s="14"/>
      <c r="I6" s="14"/>
      <c r="J6" s="14"/>
      <c r="K6" s="14"/>
      <c r="L6" s="14"/>
      <c r="M6" s="14"/>
      <c r="N6" s="23"/>
    </row>
    <row r="7" spans="1:17" x14ac:dyDescent="0.25">
      <c r="A7" s="25"/>
      <c r="B7" s="26"/>
      <c r="C7" s="26"/>
      <c r="D7" s="27"/>
      <c r="E7" s="28"/>
      <c r="F7" s="28"/>
      <c r="G7" s="28"/>
      <c r="H7" s="29"/>
      <c r="I7" s="29"/>
      <c r="J7" s="29"/>
      <c r="K7" s="14"/>
      <c r="L7" s="14"/>
      <c r="M7" s="14"/>
      <c r="N7" s="23"/>
    </row>
    <row r="8" spans="1:17" s="34" customFormat="1" ht="38.25" x14ac:dyDescent="0.2">
      <c r="A8" s="30" t="s">
        <v>107</v>
      </c>
      <c r="B8" s="30" t="s">
        <v>108</v>
      </c>
      <c r="C8" s="31" t="s">
        <v>1</v>
      </c>
      <c r="D8" s="31" t="s">
        <v>109</v>
      </c>
      <c r="E8" s="31" t="s">
        <v>110</v>
      </c>
      <c r="F8" s="31" t="s">
        <v>111</v>
      </c>
      <c r="G8" s="31" t="s">
        <v>112</v>
      </c>
      <c r="H8" s="31" t="s">
        <v>113</v>
      </c>
      <c r="I8" s="31" t="s">
        <v>114</v>
      </c>
      <c r="J8" s="31" t="s">
        <v>115</v>
      </c>
      <c r="K8" s="32" t="s">
        <v>116</v>
      </c>
      <c r="L8" s="32" t="s">
        <v>117</v>
      </c>
      <c r="M8" s="32" t="s">
        <v>118</v>
      </c>
      <c r="N8" s="33"/>
      <c r="Q8" s="35"/>
    </row>
    <row r="9" spans="1:17" s="44" customFormat="1" ht="12.75" customHeight="1" x14ac:dyDescent="0.25">
      <c r="A9" s="36" t="s">
        <v>119</v>
      </c>
      <c r="B9" s="36" t="s">
        <v>120</v>
      </c>
      <c r="C9" s="36" t="s">
        <v>121</v>
      </c>
      <c r="D9" s="37">
        <v>8.0770000000000008E-3</v>
      </c>
      <c r="E9" s="38">
        <f>'Dec 03'!$D9*$C$6*$C$2</f>
        <v>1902563.4389926952</v>
      </c>
      <c r="F9" s="38">
        <v>586</v>
      </c>
      <c r="G9" s="39">
        <f>'Dec 03'!$E9/'Dec 03'!$F9</f>
        <v>3246.6952883834388</v>
      </c>
      <c r="H9" s="36">
        <v>3775</v>
      </c>
      <c r="I9" s="36">
        <f>ROUND(Table138958456799101112131445626789101112131415161718192021345678910111213141516171819202122233456789101112131415161718192034[[#This Row],[Target Quantity]],0)</f>
        <v>3247</v>
      </c>
      <c r="J9" s="40">
        <f t="shared" ref="J9:J25" si="0">I9-H9</f>
        <v>-528</v>
      </c>
      <c r="K9" s="41">
        <f>'Dec 03'!$F9*'Dec 03'!$I9</f>
        <v>1902742</v>
      </c>
      <c r="L9" s="42">
        <f>'Dec 03'!$K9/$K$2</f>
        <v>1.2492779375150413E-2</v>
      </c>
      <c r="M9" s="43"/>
    </row>
    <row r="10" spans="1:17" s="44" customFormat="1" ht="12.75" customHeight="1" x14ac:dyDescent="0.25">
      <c r="A10" s="36" t="s">
        <v>119</v>
      </c>
      <c r="B10" s="36" t="s">
        <v>122</v>
      </c>
      <c r="C10" s="36" t="s">
        <v>123</v>
      </c>
      <c r="D10" s="37">
        <v>8.0770000000000008E-3</v>
      </c>
      <c r="E10" s="38">
        <f>'Dec 03'!$D10*$C$6*$C$2</f>
        <v>1902563.4389926952</v>
      </c>
      <c r="F10" s="38">
        <v>84.900007775445104</v>
      </c>
      <c r="G10" s="39">
        <f>'Dec 03'!$E10/'Dec 03'!$F10</f>
        <v>22409.461304465949</v>
      </c>
      <c r="H10" s="36">
        <v>25722</v>
      </c>
      <c r="I10" s="36">
        <f>ROUND(Table138958456799101112131445626789101112131415161718192021345678910111213141516171819202122233456789101112131415161718192034[[#This Row],[Target Quantity]],0)</f>
        <v>22409</v>
      </c>
      <c r="J10" s="40">
        <f t="shared" si="0"/>
        <v>-3313</v>
      </c>
      <c r="K10" s="41">
        <f>'Dec 03'!$F10*'Dec 03'!$I10</f>
        <v>1902524.2742399494</v>
      </c>
      <c r="L10" s="42">
        <f>'Dec 03'!$K10/$K$2</f>
        <v>1.2491349859280895E-2</v>
      </c>
      <c r="M10" s="43"/>
    </row>
    <row r="11" spans="1:17" s="45" customFormat="1" ht="12.75" customHeight="1" x14ac:dyDescent="0.25">
      <c r="A11" s="36" t="s">
        <v>119</v>
      </c>
      <c r="B11" s="36" t="s">
        <v>124</v>
      </c>
      <c r="C11" s="36" t="s">
        <v>125</v>
      </c>
      <c r="D11" s="37">
        <v>0</v>
      </c>
      <c r="E11" s="38">
        <f>'Dec 03'!$D11*$C$6*$C$2</f>
        <v>0</v>
      </c>
      <c r="F11" s="38">
        <v>221</v>
      </c>
      <c r="G11" s="39">
        <f>'Dec 03'!$E11/'Dec 03'!$F11</f>
        <v>0</v>
      </c>
      <c r="H11" s="36">
        <v>10018</v>
      </c>
      <c r="I11" s="36">
        <f>ROUND(Table138958456799101112131445626789101112131415161718192021345678910111213141516171819202122233456789101112131415161718192034[[#This Row],[Target Quantity]],0)</f>
        <v>0</v>
      </c>
      <c r="J11" s="40">
        <f t="shared" si="0"/>
        <v>-10018</v>
      </c>
      <c r="K11" s="41">
        <f>'Dec 03'!$F11*'Dec 03'!$I11</f>
        <v>0</v>
      </c>
      <c r="L11" s="42">
        <f>'Dec 03'!$K11/$K$2</f>
        <v>0</v>
      </c>
      <c r="M11" s="36"/>
    </row>
    <row r="12" spans="1:17" s="45" customFormat="1" ht="12.75" customHeight="1" x14ac:dyDescent="0.25">
      <c r="A12" s="36" t="s">
        <v>119</v>
      </c>
      <c r="B12" s="36" t="s">
        <v>43</v>
      </c>
      <c r="C12" s="36" t="s">
        <v>44</v>
      </c>
      <c r="D12" s="37">
        <v>8.0770000000000008E-3</v>
      </c>
      <c r="E12" s="38">
        <f>'Dec 03'!$D12*$C$6*$C$2</f>
        <v>1902563.4389926952</v>
      </c>
      <c r="F12" s="38">
        <v>412.86002282236598</v>
      </c>
      <c r="G12" s="39">
        <f>'Dec 03'!$E12/'Dec 03'!$F12</f>
        <v>4608.2530005848439</v>
      </c>
      <c r="H12" s="36">
        <v>5258</v>
      </c>
      <c r="I12" s="36">
        <f>ROUND(Table138958456799101112131445626789101112131415161718192021345678910111213141516171819202122233456789101112131415161718192034[[#This Row],[Target Quantity]],0)</f>
        <v>4608</v>
      </c>
      <c r="J12" s="40">
        <f t="shared" si="0"/>
        <v>-650</v>
      </c>
      <c r="K12" s="41">
        <f>'Dec 03'!$F12*'Dec 03'!$I12</f>
        <v>1902458.9851654624</v>
      </c>
      <c r="L12" s="42">
        <f>'Dec 03'!$K12/$K$2</f>
        <v>1.2490921192649699E-2</v>
      </c>
      <c r="M12" s="36"/>
    </row>
    <row r="13" spans="1:17" s="45" customFormat="1" ht="12.75" customHeight="1" x14ac:dyDescent="0.25">
      <c r="A13" s="36" t="s">
        <v>119</v>
      </c>
      <c r="B13" s="36" t="s">
        <v>126</v>
      </c>
      <c r="C13" s="36" t="s">
        <v>127</v>
      </c>
      <c r="D13" s="37">
        <v>8.0770000000000008E-3</v>
      </c>
      <c r="E13" s="38">
        <f>'Dec 03'!$D13*$C$6*$C$2</f>
        <v>1902563.4389926952</v>
      </c>
      <c r="F13" s="38">
        <v>1522.8598591549301</v>
      </c>
      <c r="G13" s="39">
        <f>'Dec 03'!$E13/'Dec 03'!$F13</f>
        <v>1249.3358647252487</v>
      </c>
      <c r="H13" s="36">
        <v>1420</v>
      </c>
      <c r="I13" s="36">
        <f>ROUND(Table138958456799101112131445626789101112131415161718192021345678910111213141516171819202122233456789101112131415161718192034[[#This Row],[Target Quantity]],0)</f>
        <v>1249</v>
      </c>
      <c r="J13" s="40">
        <f t="shared" si="0"/>
        <v>-171</v>
      </c>
      <c r="K13" s="41">
        <f>'Dec 03'!$F13*'Dec 03'!$I13</f>
        <v>1902051.9640845077</v>
      </c>
      <c r="L13" s="42">
        <f>'Dec 03'!$K13/$K$2</f>
        <v>1.2488248825841481E-2</v>
      </c>
      <c r="M13" s="36"/>
    </row>
    <row r="14" spans="1:17" s="45" customFormat="1" ht="12.75" customHeight="1" x14ac:dyDescent="0.25">
      <c r="A14" s="36" t="s">
        <v>119</v>
      </c>
      <c r="B14" s="36" t="s">
        <v>25</v>
      </c>
      <c r="C14" s="36" t="s">
        <v>26</v>
      </c>
      <c r="D14" s="37">
        <v>8.0770000000000008E-3</v>
      </c>
      <c r="E14" s="38">
        <f>'Dec 03'!$D14*$C$6*$C$2</f>
        <v>1902563.4389926952</v>
      </c>
      <c r="F14" s="38">
        <v>293.50006658676301</v>
      </c>
      <c r="G14" s="39">
        <f>'Dec 03'!$E14/'Dec 03'!$F14</f>
        <v>6482.3271119438368</v>
      </c>
      <c r="H14" s="36">
        <v>7509</v>
      </c>
      <c r="I14" s="36">
        <f>ROUND(Table138958456799101112131445626789101112131415161718192021345678910111213141516171819202122233456789101112131415161718192034[[#This Row],[Target Quantity]],0)</f>
        <v>6482</v>
      </c>
      <c r="J14" s="40">
        <f t="shared" si="0"/>
        <v>-1027</v>
      </c>
      <c r="K14" s="41">
        <f>'Dec 03'!$F14*'Dec 03'!$I14</f>
        <v>1902467.4316153978</v>
      </c>
      <c r="L14" s="42">
        <f>'Dec 03'!$K14/$K$2</f>
        <v>1.2490976649267332E-2</v>
      </c>
      <c r="M14" s="36"/>
    </row>
    <row r="15" spans="1:17" s="45" customFormat="1" ht="12.75" customHeight="1" x14ac:dyDescent="0.25">
      <c r="A15" s="36" t="s">
        <v>119</v>
      </c>
      <c r="B15" s="36" t="s">
        <v>128</v>
      </c>
      <c r="C15" s="36" t="s">
        <v>129</v>
      </c>
      <c r="D15" s="37">
        <v>8.0770000000000008E-3</v>
      </c>
      <c r="E15" s="38">
        <f>'Dec 03'!$D15*$C$6*$C$2</f>
        <v>1902563.4389926952</v>
      </c>
      <c r="F15" s="38">
        <v>24.199995566737201</v>
      </c>
      <c r="G15" s="39">
        <f>'Dec 03'!$E15/'Dec 03'!$F15</f>
        <v>78618.338327621896</v>
      </c>
      <c r="H15" s="36">
        <v>90227</v>
      </c>
      <c r="I15" s="36">
        <f>ROUND(Table138958456799101112131445626789101112131415161718192021345678910111213141516171819202122233456789101112131415161718192034[[#This Row],[Target Quantity]],0)</f>
        <v>78618</v>
      </c>
      <c r="J15" s="40">
        <f t="shared" si="0"/>
        <v>-11609</v>
      </c>
      <c r="K15" s="41">
        <f>'Dec 03'!$F15*'Dec 03'!$I15</f>
        <v>1902555.2514657453</v>
      </c>
      <c r="L15" s="42">
        <f>'Dec 03'!$K15/$K$2</f>
        <v>1.2491553245576841E-2</v>
      </c>
      <c r="M15" s="36"/>
    </row>
    <row r="16" spans="1:17" s="45" customFormat="1" ht="12.75" customHeight="1" x14ac:dyDescent="0.25">
      <c r="A16" s="36" t="s">
        <v>119</v>
      </c>
      <c r="B16" s="36" t="s">
        <v>33</v>
      </c>
      <c r="C16" s="36" t="s">
        <v>34</v>
      </c>
      <c r="D16" s="37">
        <v>4.0379999999999999E-3</v>
      </c>
      <c r="E16" s="38">
        <f>'Dec 03'!$D16*$C$6*$C$2</f>
        <v>951163.94288132992</v>
      </c>
      <c r="F16" s="38">
        <v>38.669990999099902</v>
      </c>
      <c r="G16" s="39">
        <f>'Dec 03'!$E16/'Dec 03'!$F16</f>
        <v>24596.952787071234</v>
      </c>
      <c r="H16" s="36">
        <v>27775</v>
      </c>
      <c r="I16" s="36">
        <f>ROUND(Table138958456799101112131445626789101112131415161718192021345678910111213141516171819202122233456789101112131415161718192034[[#This Row],[Target Quantity]],0)</f>
        <v>24597</v>
      </c>
      <c r="J16" s="40">
        <f t="shared" si="0"/>
        <v>-3178</v>
      </c>
      <c r="K16" s="41">
        <f>'Dec 03'!$F16*'Dec 03'!$I16</f>
        <v>951165.76860486029</v>
      </c>
      <c r="L16" s="42">
        <f>'Dec 03'!$K16/$K$2</f>
        <v>6.2450422056042751E-3</v>
      </c>
      <c r="M16" s="36"/>
    </row>
    <row r="17" spans="1:15" s="45" customFormat="1" ht="12.75" customHeight="1" x14ac:dyDescent="0.25">
      <c r="A17" s="36" t="s">
        <v>119</v>
      </c>
      <c r="B17" s="36" t="s">
        <v>19</v>
      </c>
      <c r="C17" s="36" t="s">
        <v>20</v>
      </c>
      <c r="D17" s="37">
        <v>8.0770000000000008E-3</v>
      </c>
      <c r="E17" s="38">
        <f>'Dec 03'!$D17*$C$6*$C$2</f>
        <v>1902563.4389926952</v>
      </c>
      <c r="F17" s="38">
        <v>505.47998148576698</v>
      </c>
      <c r="G17" s="39">
        <f>'Dec 03'!$E17/'Dec 03'!$F17</f>
        <v>3763.8749479266303</v>
      </c>
      <c r="H17" s="36">
        <v>4321</v>
      </c>
      <c r="I17" s="36">
        <f>ROUND(Table138958456799101112131445626789101112131415161718192021345678910111213141516171819202122233456789101112131415161718192034[[#This Row],[Target Quantity]],0)</f>
        <v>3764</v>
      </c>
      <c r="J17" s="40">
        <f t="shared" si="0"/>
        <v>-557</v>
      </c>
      <c r="K17" s="41">
        <f>'Dec 03'!$F17*'Dec 03'!$I17</f>
        <v>1902626.650312427</v>
      </c>
      <c r="L17" s="42">
        <f>'Dec 03'!$K17/$K$2</f>
        <v>1.2492022026966665E-2</v>
      </c>
      <c r="M17" s="36"/>
    </row>
    <row r="18" spans="1:15" s="45" customFormat="1" ht="12.75" customHeight="1" x14ac:dyDescent="0.25">
      <c r="A18" s="36" t="s">
        <v>119</v>
      </c>
      <c r="B18" s="36" t="s">
        <v>29</v>
      </c>
      <c r="C18" s="36" t="s">
        <v>30</v>
      </c>
      <c r="D18" s="37">
        <v>4.0379999999999999E-3</v>
      </c>
      <c r="E18" s="38">
        <f>'Dec 03'!$D18*$C$6*$C$2</f>
        <v>951163.94288132992</v>
      </c>
      <c r="F18" s="38">
        <v>20.920009618081998</v>
      </c>
      <c r="G18" s="39">
        <f>'Dec 03'!$E18/'Dec 03'!$F18</f>
        <v>45466.706767629832</v>
      </c>
      <c r="H18" s="36">
        <v>49906</v>
      </c>
      <c r="I18" s="36">
        <f>ROUND(Table138958456799101112131445626789101112131415161718192021345678910111213141516171819202122233456789101112131415161718192034[[#This Row],[Target Quantity]],0)</f>
        <v>45467</v>
      </c>
      <c r="J18" s="40">
        <f t="shared" si="0"/>
        <v>-4439</v>
      </c>
      <c r="K18" s="41">
        <f>'Dec 03'!$F18*'Dec 03'!$I18</f>
        <v>951170.07730533427</v>
      </c>
      <c r="L18" s="42">
        <f>'Dec 03'!$K18/$K$2</f>
        <v>6.2450704951172069E-3</v>
      </c>
      <c r="M18" s="36"/>
    </row>
    <row r="19" spans="1:15" s="45" customFormat="1" ht="12.75" customHeight="1" x14ac:dyDescent="0.25">
      <c r="A19" s="36" t="s">
        <v>119</v>
      </c>
      <c r="B19" s="36" t="s">
        <v>21</v>
      </c>
      <c r="C19" s="36" t="s">
        <v>22</v>
      </c>
      <c r="D19" s="37">
        <v>8.0770000000000008E-3</v>
      </c>
      <c r="E19" s="38">
        <f>'Dec 03'!$D19*$C$6*$C$2</f>
        <v>1902563.4389926952</v>
      </c>
      <c r="F19" s="38">
        <v>36.910008351893097</v>
      </c>
      <c r="G19" s="39">
        <f>'Dec 03'!$E19/'Dec 03'!$F19</f>
        <v>51546.004022920075</v>
      </c>
      <c r="H19" s="36">
        <v>57472</v>
      </c>
      <c r="I19" s="36">
        <f>ROUND(Table138958456799101112131445626789101112131415161718192021345678910111213141516171819202122233456789101112131415161718192034[[#This Row],[Target Quantity]],0)</f>
        <v>51546</v>
      </c>
      <c r="J19" s="40">
        <f t="shared" si="0"/>
        <v>-5926</v>
      </c>
      <c r="K19" s="41">
        <f>'Dec 03'!$F19*'Dec 03'!$I19</f>
        <v>1902563.2905066817</v>
      </c>
      <c r="L19" s="42">
        <f>'Dec 03'!$K19/$K$2</f>
        <v>1.2491606027280723E-2</v>
      </c>
      <c r="M19" s="36"/>
    </row>
    <row r="20" spans="1:15" s="45" customFormat="1" ht="12.75" customHeight="1" x14ac:dyDescent="0.25">
      <c r="A20" s="36" t="s">
        <v>119</v>
      </c>
      <c r="B20" s="36" t="s">
        <v>37</v>
      </c>
      <c r="C20" s="36" t="s">
        <v>38</v>
      </c>
      <c r="D20" s="37">
        <v>4.0379999999999999E-3</v>
      </c>
      <c r="E20" s="38">
        <f>'Dec 03'!$D20*$C$6*$C$2</f>
        <v>951163.94288132992</v>
      </c>
      <c r="F20" s="38">
        <v>68.599974099974105</v>
      </c>
      <c r="G20" s="39">
        <f>'Dec 03'!$E20/'Dec 03'!$F20</f>
        <v>13865.368833742592</v>
      </c>
      <c r="H20" s="36">
        <v>15444</v>
      </c>
      <c r="I20" s="36">
        <f>ROUND(Table138958456799101112131445626789101112131415161718192021345678910111213141516171819202122233456789101112131415161718192034[[#This Row],[Target Quantity]],0)</f>
        <v>13865</v>
      </c>
      <c r="J20" s="40">
        <f t="shared" si="0"/>
        <v>-1579</v>
      </c>
      <c r="K20" s="41">
        <f>'Dec 03'!$F20*'Dec 03'!$I20</f>
        <v>951138.64089614095</v>
      </c>
      <c r="L20" s="42">
        <f>'Dec 03'!$K20/$K$2</f>
        <v>6.2448640939738046E-3</v>
      </c>
      <c r="M20" s="36"/>
    </row>
    <row r="21" spans="1:15" s="45" customFormat="1" ht="12.75" customHeight="1" x14ac:dyDescent="0.25">
      <c r="A21" s="36" t="s">
        <v>119</v>
      </c>
      <c r="B21" s="36" t="s">
        <v>23</v>
      </c>
      <c r="C21" s="36" t="s">
        <v>24</v>
      </c>
      <c r="D21" s="37">
        <v>8.0770000000000008E-3</v>
      </c>
      <c r="E21" s="38">
        <f>'Dec 03'!$D21*$C$6*$C$2</f>
        <v>1902563.4389926952</v>
      </c>
      <c r="F21" s="38">
        <v>259</v>
      </c>
      <c r="G21" s="39">
        <f>'Dec 03'!$E21/'Dec 03'!$F21</f>
        <v>7345.8047837555796</v>
      </c>
      <c r="H21" s="36">
        <v>8470</v>
      </c>
      <c r="I21" s="36">
        <f>ROUND(Table138958456799101112131445626789101112131415161718192021345678910111213141516171819202122233456789101112131415161718192034[[#This Row],[Target Quantity]],0)</f>
        <v>7346</v>
      </c>
      <c r="J21" s="40">
        <f t="shared" si="0"/>
        <v>-1124</v>
      </c>
      <c r="K21" s="41">
        <f>'Dec 03'!$F21*'Dec 03'!$I21</f>
        <v>1902614</v>
      </c>
      <c r="L21" s="42">
        <f>'Dec 03'!$K21/$K$2</f>
        <v>1.2491938969167879E-2</v>
      </c>
      <c r="M21" s="36"/>
    </row>
    <row r="22" spans="1:15" s="45" customFormat="1" ht="12.75" customHeight="1" x14ac:dyDescent="0.25">
      <c r="A22" s="36" t="s">
        <v>119</v>
      </c>
      <c r="B22" s="36" t="s">
        <v>15</v>
      </c>
      <c r="C22" s="36" t="s">
        <v>16</v>
      </c>
      <c r="D22" s="37">
        <v>4.0379999999999999E-3</v>
      </c>
      <c r="E22" s="38">
        <f>'Dec 03'!$D22*$C$6*$C$2</f>
        <v>951163.94288132992</v>
      </c>
      <c r="F22" s="38">
        <v>135.25</v>
      </c>
      <c r="G22" s="39">
        <f>'Dec 03'!$E22/'Dec 03'!$F22</f>
        <v>7032.6354372002215</v>
      </c>
      <c r="H22" s="36">
        <v>7952</v>
      </c>
      <c r="I22" s="36">
        <f>ROUND(Table138958456799101112131445626789101112131415161718192021345678910111213141516171819202122233456789101112131415161718192034[[#This Row],[Target Quantity]],0)</f>
        <v>7033</v>
      </c>
      <c r="J22" s="40">
        <f t="shared" si="0"/>
        <v>-919</v>
      </c>
      <c r="K22" s="41">
        <f>'Dec 03'!$F22*'Dec 03'!$I22</f>
        <v>951213.25</v>
      </c>
      <c r="L22" s="42">
        <f>'Dec 03'!$K22/$K$2</f>
        <v>6.2453539528584505E-3</v>
      </c>
      <c r="M22" s="36"/>
    </row>
    <row r="23" spans="1:15" s="45" customFormat="1" ht="12.75" customHeight="1" x14ac:dyDescent="0.25">
      <c r="A23" s="36" t="s">
        <v>119</v>
      </c>
      <c r="B23" s="36" t="s">
        <v>27</v>
      </c>
      <c r="C23" s="36" t="s">
        <v>28</v>
      </c>
      <c r="D23" s="37">
        <v>8.0770000000000008E-3</v>
      </c>
      <c r="E23" s="38">
        <f>'Dec 03'!$D23*$C$6*$C$2</f>
        <v>1902563.4389926952</v>
      </c>
      <c r="F23" s="38">
        <v>44.580000410837897</v>
      </c>
      <c r="G23" s="39">
        <f>'Dec 03'!$E23/'Dec 03'!$F23</f>
        <v>42677.510575575514</v>
      </c>
      <c r="H23" s="36">
        <v>48681</v>
      </c>
      <c r="I23" s="36">
        <f>ROUND(Table138958456799101112131445626789101112131415161718192021345678910111213141516171819202122233456789101112131415161718192034[[#This Row],[Target Quantity]],0)</f>
        <v>42678</v>
      </c>
      <c r="J23" s="40">
        <f t="shared" si="0"/>
        <v>-6003</v>
      </c>
      <c r="K23" s="41">
        <f>'Dec 03'!$F23*'Dec 03'!$I23</f>
        <v>1902585.2575337398</v>
      </c>
      <c r="L23" s="42">
        <f>'Dec 03'!$K23/$K$2</f>
        <v>1.2491750255569457E-2</v>
      </c>
      <c r="M23" s="36"/>
    </row>
    <row r="24" spans="1:15" s="45" customFormat="1" ht="12.75" customHeight="1" x14ac:dyDescent="0.25">
      <c r="A24" s="36" t="s">
        <v>119</v>
      </c>
      <c r="B24" s="36" t="s">
        <v>39</v>
      </c>
      <c r="C24" s="36" t="s">
        <v>40</v>
      </c>
      <c r="D24" s="37">
        <v>7.0000000000000007E-2</v>
      </c>
      <c r="E24" s="38">
        <f>'Dec 03'!$D24*$C$6*$C$2</f>
        <v>16488726.102450002</v>
      </c>
      <c r="F24" s="38">
        <v>304.250011702476</v>
      </c>
      <c r="G24" s="39">
        <f>'Dec 03'!$E24/'Dec 03'!$F24</f>
        <v>54194.660536526826</v>
      </c>
      <c r="H24" s="36">
        <v>42726</v>
      </c>
      <c r="I24" s="36">
        <f>ROUND(Table138958456799101112131445626789101112131415161718192021345678910111213141516171819202122233456789101112131415161718192034[[#This Row],[Target Quantity]],0)</f>
        <v>54195</v>
      </c>
      <c r="J24" s="40">
        <f t="shared" si="0"/>
        <v>11469</v>
      </c>
      <c r="K24" s="41">
        <f>'Dec 03'!$F24*'Dec 03'!$I24</f>
        <v>16488829.384215686</v>
      </c>
      <c r="L24" s="42">
        <f>'Dec 03'!$K24/$K$2</f>
        <v>0.10826024108970309</v>
      </c>
      <c r="M24" s="36"/>
    </row>
    <row r="25" spans="1:15" s="45" customFormat="1" ht="12.75" customHeight="1" x14ac:dyDescent="0.25">
      <c r="A25" s="36" t="s">
        <v>119</v>
      </c>
      <c r="B25" s="45" t="s">
        <v>11</v>
      </c>
      <c r="C25" s="36" t="s">
        <v>12</v>
      </c>
      <c r="D25" s="37">
        <v>8.0770000000000008E-3</v>
      </c>
      <c r="E25" s="38">
        <f>'Dec 03'!$D25*$C$6*$C$2</f>
        <v>1902563.4389926952</v>
      </c>
      <c r="F25" s="38">
        <v>2.52594901181148</v>
      </c>
      <c r="G25" s="39">
        <f>'Dec 03'!$E25/'Dec 03'!$F25</f>
        <v>753207.38070966641</v>
      </c>
      <c r="H25" s="36">
        <v>855100</v>
      </c>
      <c r="I25" s="36">
        <f>ROUND(Table138958456799101112131445626789101112131415161718192021345678910111213141516171819202122233456789101112131415161718192034[[#This Row],[Target Quantity]],-2)</f>
        <v>753200</v>
      </c>
      <c r="J25" s="40">
        <f t="shared" si="0"/>
        <v>-101900</v>
      </c>
      <c r="K25" s="41">
        <f>'Dec 03'!$F25*'Dec 03'!$I25</f>
        <v>1902544.7956964069</v>
      </c>
      <c r="L25" s="42">
        <f>'Dec 03'!$K25/$K$2</f>
        <v>1.2491484596427592E-2</v>
      </c>
      <c r="M25" s="36"/>
    </row>
    <row r="26" spans="1:15" s="45" customFormat="1" ht="12.75" customHeight="1" x14ac:dyDescent="0.25">
      <c r="A26" s="36"/>
      <c r="B26" s="36"/>
      <c r="C26" s="36"/>
      <c r="D26" s="37"/>
      <c r="E26" s="38"/>
      <c r="F26" s="38"/>
      <c r="G26" s="39"/>
      <c r="H26" s="36"/>
      <c r="I26" s="36"/>
      <c r="J26" s="46"/>
      <c r="K26" s="38"/>
      <c r="L26" s="47"/>
      <c r="M26" s="36"/>
    </row>
    <row r="27" spans="1:15" s="54" customFormat="1" ht="12.75" customHeight="1" x14ac:dyDescent="0.25">
      <c r="A27" s="48" t="s">
        <v>136</v>
      </c>
      <c r="B27" s="48"/>
      <c r="C27" s="48"/>
      <c r="D27" s="49">
        <f>SUM(D9:D26)</f>
        <v>0.17499900000000002</v>
      </c>
      <c r="E27" s="50">
        <f>'Dec 03'!$D27*$C$6*$C$2</f>
        <v>41221579.702894971</v>
      </c>
      <c r="F27" s="51"/>
      <c r="G27" s="51"/>
      <c r="H27" s="48"/>
      <c r="I27" s="48"/>
      <c r="J27" s="52"/>
      <c r="K27" s="50">
        <f>SUM(K9:K26)</f>
        <v>41221251.021642342</v>
      </c>
      <c r="L27" s="53">
        <f>'Dec 03'!$K27/$K$2</f>
        <v>0.27064520286043581</v>
      </c>
      <c r="M27" s="48"/>
    </row>
    <row r="28" spans="1:15" s="45" customFormat="1" ht="12.75" customHeight="1" x14ac:dyDescent="0.25">
      <c r="A28" s="36"/>
      <c r="B28" s="36"/>
      <c r="C28" s="36"/>
      <c r="D28" s="37"/>
      <c r="E28" s="38"/>
      <c r="F28" s="38"/>
      <c r="G28" s="39"/>
      <c r="H28" s="36"/>
      <c r="I28" s="36"/>
      <c r="J28" s="46"/>
      <c r="K28" s="38"/>
      <c r="L28" s="42"/>
      <c r="M28" s="36"/>
      <c r="O28" s="89"/>
    </row>
    <row r="29" spans="1:15" s="44" customFormat="1" ht="12.75" customHeight="1" x14ac:dyDescent="0.25">
      <c r="A29" s="55"/>
      <c r="B29" s="48" t="s">
        <v>31</v>
      </c>
      <c r="C29" s="55" t="s">
        <v>32</v>
      </c>
      <c r="D29" s="56">
        <v>0.02</v>
      </c>
      <c r="E29" s="57">
        <f>'Dec 03'!$D29*$C$6*$C$2</f>
        <v>4711064.6007000003</v>
      </c>
      <c r="F29" s="51">
        <v>17.530000070455799</v>
      </c>
      <c r="G29" s="58">
        <f>'Dec 03'!$E29/'Dec 03'!$F29</f>
        <v>268742.98812124919</v>
      </c>
      <c r="H29" s="55">
        <v>283866</v>
      </c>
      <c r="I29" s="55">
        <f>ROUND(Table138958456799101112131445626789101112131415161718192021345678910111213141516171819202122233456789101112131415161718192034[[#This Row],[Target Quantity]],0)</f>
        <v>268743</v>
      </c>
      <c r="J29" s="59">
        <f>I29-H29</f>
        <v>-15123</v>
      </c>
      <c r="K29" s="60">
        <f>'Dec 03'!$F29*'Dec 03'!$I29</f>
        <v>4711064.8089345023</v>
      </c>
      <c r="L29" s="53">
        <f>'Dec 03'!$K29/$K$2</f>
        <v>3.0931305074494531E-2</v>
      </c>
      <c r="M29" s="48"/>
      <c r="O29" s="61"/>
    </row>
    <row r="30" spans="1:15" s="44" customFormat="1" ht="12.75" customHeight="1" x14ac:dyDescent="0.25">
      <c r="A30" s="36"/>
      <c r="B30" s="36"/>
      <c r="C30" s="36"/>
      <c r="D30" s="37"/>
      <c r="E30" s="38"/>
      <c r="F30" s="38"/>
      <c r="G30" s="39"/>
      <c r="H30" s="36"/>
      <c r="I30" s="36"/>
      <c r="J30" s="46"/>
      <c r="K30" s="41"/>
      <c r="L30" s="42"/>
      <c r="M30" s="36"/>
      <c r="O30" s="61"/>
    </row>
    <row r="31" spans="1:15" s="4" customFormat="1" ht="25.5" x14ac:dyDescent="0.2">
      <c r="A31" s="36" t="s">
        <v>137</v>
      </c>
      <c r="B31" s="62" t="s">
        <v>75</v>
      </c>
      <c r="C31" s="63" t="s">
        <v>76</v>
      </c>
      <c r="D31" s="37">
        <v>2.9499999999999998E-2</v>
      </c>
      <c r="E31" s="38">
        <f>'Dec 03'!$D31*$C$6*$C$2</f>
        <v>6948820.2860324997</v>
      </c>
      <c r="F31" s="38">
        <v>155791.212765957</v>
      </c>
      <c r="G31" s="39">
        <f>'Dec 03'!$E31/'Dec 03'!$F31</f>
        <v>44.603416089145007</v>
      </c>
      <c r="H31" s="36">
        <v>47</v>
      </c>
      <c r="I31" s="36">
        <f>ROUND(Table138958456799101112131445626789101112131415161718192021345678910111213141516171819202122233456789101112131415161718192034[[#This Row],[Target Quantity]],0)</f>
        <v>45</v>
      </c>
      <c r="J31" s="40">
        <f t="shared" ref="J31:J40" si="1">I31-H31</f>
        <v>-2</v>
      </c>
      <c r="K31" s="41">
        <f>'Dec 03'!$F31*'Dec 03'!$I31</f>
        <v>7010604.5744680651</v>
      </c>
      <c r="L31" s="42">
        <f>'Dec 03'!$K31/$K$2</f>
        <v>4.6029328324728093E-2</v>
      </c>
      <c r="M31" s="64"/>
    </row>
    <row r="32" spans="1:15" s="4" customFormat="1" ht="25.5" x14ac:dyDescent="0.2">
      <c r="A32" s="36" t="s">
        <v>137</v>
      </c>
      <c r="B32" s="62" t="s">
        <v>80</v>
      </c>
      <c r="C32" s="63" t="s">
        <v>81</v>
      </c>
      <c r="D32" s="37">
        <v>2.9499999999999998E-2</v>
      </c>
      <c r="E32" s="38">
        <f>'Dec 03'!$D32*$C$6*$C$2</f>
        <v>6948820.2860324997</v>
      </c>
      <c r="F32" s="38">
        <v>211488.91176470599</v>
      </c>
      <c r="G32" s="39">
        <f>'Dec 03'!$E32/'Dec 03'!$F32</f>
        <v>32.856664815427656</v>
      </c>
      <c r="H32" s="36">
        <v>34</v>
      </c>
      <c r="I32" s="36">
        <f>ROUND(Table138958456799101112131445626789101112131415161718192021345678910111213141516171819202122233456789101112131415161718192034[[#This Row],[Target Quantity]],0)</f>
        <v>33</v>
      </c>
      <c r="J32" s="40">
        <f t="shared" si="1"/>
        <v>-1</v>
      </c>
      <c r="K32" s="41">
        <f>'Dec 03'!$F32*'Dec 03'!$I32</f>
        <v>6979134.0882352972</v>
      </c>
      <c r="L32" s="42">
        <f>'Dec 03'!$K32/$K$2</f>
        <v>4.5822703442671212E-2</v>
      </c>
      <c r="M32" s="64"/>
    </row>
    <row r="33" spans="1:15" s="4" customFormat="1" ht="25.5" x14ac:dyDescent="0.2">
      <c r="A33" s="36" t="s">
        <v>137</v>
      </c>
      <c r="B33" s="62" t="s">
        <v>82</v>
      </c>
      <c r="C33" s="63" t="s">
        <v>83</v>
      </c>
      <c r="D33" s="37">
        <v>2.9499999999999998E-2</v>
      </c>
      <c r="E33" s="38">
        <f>'Dec 03'!$D33*$C$6*$C$2</f>
        <v>6948820.2860324997</v>
      </c>
      <c r="F33" s="38">
        <v>172555.33333333299</v>
      </c>
      <c r="G33" s="39">
        <f>'Dec 03'!$E33/'Dec 03'!$F33</f>
        <v>40.270098592717197</v>
      </c>
      <c r="H33" s="36">
        <v>42</v>
      </c>
      <c r="I33" s="36">
        <f>ROUND(Table138958456799101112131445626789101112131415161718192021345678910111213141516171819202122233456789101112131415161718192034[[#This Row],[Target Quantity]],0)</f>
        <v>40</v>
      </c>
      <c r="J33" s="40">
        <f t="shared" si="1"/>
        <v>-2</v>
      </c>
      <c r="K33" s="41">
        <f>'Dec 03'!$F33*'Dec 03'!$I33</f>
        <v>6902213.33333332</v>
      </c>
      <c r="L33" s="42">
        <f>'Dec 03'!$K33/$K$2</f>
        <v>4.5317667016103437E-2</v>
      </c>
      <c r="M33" s="64"/>
    </row>
    <row r="34" spans="1:15" s="4" customFormat="1" ht="25.5" x14ac:dyDescent="0.2">
      <c r="A34" s="36" t="s">
        <v>137</v>
      </c>
      <c r="B34" s="62" t="s">
        <v>84</v>
      </c>
      <c r="C34" s="63" t="s">
        <v>85</v>
      </c>
      <c r="D34" s="37">
        <v>2.9499999999999998E-2</v>
      </c>
      <c r="E34" s="38">
        <f>'Dec 03'!$D34*$C$6*$C$2</f>
        <v>6948820.2860324997</v>
      </c>
      <c r="F34" s="38">
        <v>125767.620689655</v>
      </c>
      <c r="G34" s="39">
        <f>'Dec 03'!$E34/'Dec 03'!$F34</f>
        <v>55.251266167938837</v>
      </c>
      <c r="H34" s="36">
        <v>58</v>
      </c>
      <c r="I34" s="36">
        <f>ROUND(Table138958456799101112131445626789101112131415161718192021345678910111213141516171819202122233456789101112131415161718192034[[#This Row],[Target Quantity]],0)</f>
        <v>55</v>
      </c>
      <c r="J34" s="40">
        <f t="shared" si="1"/>
        <v>-3</v>
      </c>
      <c r="K34" s="41">
        <f>'Dec 03'!$F34*'Dec 03'!$I34</f>
        <v>6917219.1379310247</v>
      </c>
      <c r="L34" s="42">
        <f>'Dec 03'!$K34/$K$2</f>
        <v>4.5416190203264775E-2</v>
      </c>
      <c r="M34" s="64"/>
    </row>
    <row r="35" spans="1:15" s="4" customFormat="1" ht="25.5" x14ac:dyDescent="0.2">
      <c r="A35" s="36" t="s">
        <v>137</v>
      </c>
      <c r="B35" s="62" t="s">
        <v>86</v>
      </c>
      <c r="C35" s="63" t="s">
        <v>87</v>
      </c>
      <c r="D35" s="37">
        <v>2.9499999999999998E-2</v>
      </c>
      <c r="E35" s="38">
        <f>'Dec 03'!$D35*$C$6*$C$2</f>
        <v>6948820.2860324997</v>
      </c>
      <c r="F35" s="38">
        <v>137537.52830188701</v>
      </c>
      <c r="G35" s="39">
        <f>'Dec 03'!$E35/'Dec 03'!$F35</f>
        <v>50.523085384959344</v>
      </c>
      <c r="H35" s="36">
        <v>53</v>
      </c>
      <c r="I35" s="36">
        <f>ROUND(Table138958456799101112131445626789101112131415161718192021345678910111213141516171819202122233456789101112131415161718192034[[#This Row],[Target Quantity]],0)</f>
        <v>51</v>
      </c>
      <c r="J35" s="40">
        <f t="shared" si="1"/>
        <v>-2</v>
      </c>
      <c r="K35" s="41">
        <f>'Dec 03'!$F35*'Dec 03'!$I35</f>
        <v>7014413.9433962377</v>
      </c>
      <c r="L35" s="42">
        <f>'Dec 03'!$K35/$K$2</f>
        <v>4.6054339390641505E-2</v>
      </c>
      <c r="M35" s="64"/>
    </row>
    <row r="36" spans="1:15" s="4" customFormat="1" ht="25.5" x14ac:dyDescent="0.2">
      <c r="A36" s="36" t="s">
        <v>137</v>
      </c>
      <c r="B36" s="62" t="s">
        <v>92</v>
      </c>
      <c r="C36" s="63" t="s">
        <v>93</v>
      </c>
      <c r="D36" s="37">
        <v>2.9499999999999998E-2</v>
      </c>
      <c r="E36" s="38">
        <f>'Dec 03'!$D36*$C$6*$C$2</f>
        <v>6948820.2860324997</v>
      </c>
      <c r="F36" s="38">
        <v>220782.272727273</v>
      </c>
      <c r="G36" s="39">
        <f>'Dec 03'!$E36/'Dec 03'!$F36</f>
        <v>31.473633277687153</v>
      </c>
      <c r="H36" s="36">
        <v>33</v>
      </c>
      <c r="I36" s="36">
        <f>ROUND(Table138958456799101112131445626789101112131415161718192021345678910111213141516171819202122233456789101112131415161718192034[[#This Row],[Target Quantity]],0)</f>
        <v>31</v>
      </c>
      <c r="J36" s="40">
        <f t="shared" si="1"/>
        <v>-2</v>
      </c>
      <c r="K36" s="41">
        <f>'Dec 03'!$F36*'Dec 03'!$I36</f>
        <v>6844250.4545454625</v>
      </c>
      <c r="L36" s="42">
        <f>'Dec 03'!$K36/$K$2</f>
        <v>4.4937101780961053E-2</v>
      </c>
      <c r="M36" s="64"/>
    </row>
    <row r="37" spans="1:15" s="44" customFormat="1" ht="25.5" customHeight="1" x14ac:dyDescent="0.2">
      <c r="A37" s="36" t="s">
        <v>138</v>
      </c>
      <c r="B37" s="36" t="s">
        <v>54</v>
      </c>
      <c r="C37" s="36" t="s">
        <v>55</v>
      </c>
      <c r="D37" s="37">
        <v>2.9499999999999998E-2</v>
      </c>
      <c r="E37" s="38">
        <f>'Dec 03'!$D37*$C$6*$C$2</f>
        <v>6948820.2860324997</v>
      </c>
      <c r="F37" s="38">
        <v>114554</v>
      </c>
      <c r="G37" s="39">
        <f>'Dec 03'!$E37/'Dec 03'!$F37</f>
        <v>60.659778672351031</v>
      </c>
      <c r="H37" s="36">
        <v>64</v>
      </c>
      <c r="I37" s="36">
        <f>ROUND(Table138958456799101112131445626789101112131415161718192021345678910111213141516171819202122233456789101112131415161718192034[[#This Row],[Target Quantity]],0)</f>
        <v>61</v>
      </c>
      <c r="J37" s="40">
        <f t="shared" si="1"/>
        <v>-3</v>
      </c>
      <c r="K37" s="41">
        <f>'Dec 03'!$F37*'Dec 03'!$I37</f>
        <v>6987794</v>
      </c>
      <c r="L37" s="42">
        <f>'Dec 03'!$K37/$K$2</f>
        <v>4.5879561580603051E-2</v>
      </c>
      <c r="M37" s="43"/>
      <c r="O37" s="4"/>
    </row>
    <row r="38" spans="1:15" s="44" customFormat="1" ht="25.5" x14ac:dyDescent="0.2">
      <c r="A38" s="36" t="s">
        <v>138</v>
      </c>
      <c r="B38" s="36" t="s">
        <v>52</v>
      </c>
      <c r="C38" s="36" t="s">
        <v>53</v>
      </c>
      <c r="D38" s="37">
        <v>2.9499999999999998E-2</v>
      </c>
      <c r="E38" s="38">
        <f>'Dec 03'!$D38*$C$6*$C$2</f>
        <v>6948820.2860324997</v>
      </c>
      <c r="F38" s="38">
        <v>137155.03773584901</v>
      </c>
      <c r="G38" s="39">
        <f>'Dec 03'!$E38/'Dec 03'!$F38</f>
        <v>50.663981438402871</v>
      </c>
      <c r="H38" s="36">
        <v>53</v>
      </c>
      <c r="I38" s="36">
        <f>ROUND(Table138958456799101112131445626789101112131415161718192021345678910111213141516171819202122233456789101112131415161718192034[[#This Row],[Target Quantity]],0)</f>
        <v>51</v>
      </c>
      <c r="J38" s="40">
        <f t="shared" si="1"/>
        <v>-2</v>
      </c>
      <c r="K38" s="41">
        <f>'Dec 03'!$F38*'Dec 03'!$I38</f>
        <v>6994906.9245282998</v>
      </c>
      <c r="L38" s="42">
        <f>'Dec 03'!$K38/$K$2</f>
        <v>4.5926262708156938E-2</v>
      </c>
      <c r="M38" s="43"/>
      <c r="O38" s="4"/>
    </row>
    <row r="39" spans="1:15" s="44" customFormat="1" ht="24.95" customHeight="1" x14ac:dyDescent="0.2">
      <c r="A39" s="36" t="s">
        <v>138</v>
      </c>
      <c r="B39" s="36" t="s">
        <v>48</v>
      </c>
      <c r="C39" s="36" t="s">
        <v>49</v>
      </c>
      <c r="D39" s="37">
        <v>2.9499999999999998E-2</v>
      </c>
      <c r="E39" s="38">
        <f>'Dec 03'!$D39*$C$6*$C$2</f>
        <v>6948820.2860324997</v>
      </c>
      <c r="F39" s="38">
        <v>183312.125</v>
      </c>
      <c r="G39" s="39">
        <f>'Dec 03'!$E39/'Dec 03'!$F39</f>
        <v>37.907041261086789</v>
      </c>
      <c r="H39" s="36">
        <v>40</v>
      </c>
      <c r="I39" s="36">
        <f>ROUND(Table138958456799101112131445626789101112131415161718192021345678910111213141516171819202122233456789101112131415161718192034[[#This Row],[Target Quantity]],0)</f>
        <v>38</v>
      </c>
      <c r="J39" s="40">
        <f t="shared" si="1"/>
        <v>-2</v>
      </c>
      <c r="K39" s="41">
        <f>'Dec 03'!$F39*'Dec 03'!$I39</f>
        <v>6965860.75</v>
      </c>
      <c r="L39" s="42">
        <f>'Dec 03'!$K39/$K$2</f>
        <v>4.5735555060943518E-2</v>
      </c>
      <c r="M39" s="43"/>
      <c r="O39" s="4"/>
    </row>
    <row r="40" spans="1:15" s="44" customFormat="1" ht="25.5" x14ac:dyDescent="0.2">
      <c r="A40" s="36" t="s">
        <v>138</v>
      </c>
      <c r="B40" s="36" t="s">
        <v>58</v>
      </c>
      <c r="C40" s="36" t="s">
        <v>59</v>
      </c>
      <c r="D40" s="37">
        <v>2.9499999999999998E-2</v>
      </c>
      <c r="E40" s="38">
        <f>'Dec 03'!$D40*$C$6*$C$2</f>
        <v>6948820.2860324997</v>
      </c>
      <c r="F40" s="38">
        <v>270565.03703703702</v>
      </c>
      <c r="G40" s="39">
        <f>'Dec 03'!$E40/'Dec 03'!$F40</f>
        <v>25.682624636683165</v>
      </c>
      <c r="H40" s="36">
        <v>27</v>
      </c>
      <c r="I40" s="36">
        <f>ROUND(Table138958456799101112131445626789101112131415161718192021345678910111213141516171819202122233456789101112131415161718192034[[#This Row],[Target Quantity]],0)</f>
        <v>26</v>
      </c>
      <c r="J40" s="40">
        <f t="shared" si="1"/>
        <v>-1</v>
      </c>
      <c r="K40" s="41">
        <f>'Dec 03'!$F40*'Dec 03'!$I40</f>
        <v>7034690.9629629627</v>
      </c>
      <c r="L40" s="42">
        <f>'Dec 03'!$K40/$K$2</f>
        <v>4.6187471644952759E-2</v>
      </c>
      <c r="M40" s="43"/>
      <c r="O40" s="4"/>
    </row>
    <row r="41" spans="1:15" s="66" customFormat="1" ht="12.75" x14ac:dyDescent="0.2">
      <c r="A41" s="36"/>
      <c r="B41" s="63"/>
      <c r="C41" s="63"/>
      <c r="D41" s="37"/>
      <c r="E41" s="65"/>
      <c r="F41" s="38"/>
      <c r="G41" s="39"/>
      <c r="H41" s="36"/>
      <c r="I41" s="36"/>
      <c r="J41" s="46"/>
      <c r="K41" s="38"/>
      <c r="L41" s="47"/>
      <c r="M41" s="64"/>
    </row>
    <row r="42" spans="1:15" s="17" customFormat="1" ht="12.75" x14ac:dyDescent="0.2">
      <c r="A42" s="48" t="s">
        <v>142</v>
      </c>
      <c r="B42" s="67"/>
      <c r="C42" s="67"/>
      <c r="D42" s="56">
        <f>SUBTOTAL(9,D31:D41)</f>
        <v>0.29499999999999993</v>
      </c>
      <c r="E42" s="68">
        <f>'Dec 03'!$D42*$C$6*$C$2</f>
        <v>69488202.860324994</v>
      </c>
      <c r="F42" s="69"/>
      <c r="G42" s="70"/>
      <c r="H42" s="55"/>
      <c r="I42" s="55"/>
      <c r="J42" s="59"/>
      <c r="K42" s="68">
        <f>SUM(K31:K41)</f>
        <v>69651088.169400662</v>
      </c>
      <c r="L42" s="71">
        <f>'Dec 03'!$K42/$K$2</f>
        <v>0.45730618115302629</v>
      </c>
      <c r="M42" s="72"/>
    </row>
    <row r="43" spans="1:15" s="66" customFormat="1" ht="12.75" x14ac:dyDescent="0.2">
      <c r="A43" s="36"/>
      <c r="B43" s="63"/>
      <c r="C43" s="63"/>
      <c r="D43" s="37"/>
      <c r="E43" s="65"/>
      <c r="F43" s="38"/>
      <c r="G43" s="39"/>
      <c r="H43" s="36"/>
      <c r="I43" s="36"/>
      <c r="J43" s="46"/>
      <c r="K43" s="38"/>
      <c r="L43" s="42"/>
      <c r="M43" s="64"/>
    </row>
    <row r="44" spans="1:15" s="44" customFormat="1" ht="25.5" x14ac:dyDescent="0.25">
      <c r="A44" s="36" t="s">
        <v>138</v>
      </c>
      <c r="B44" s="36" t="s">
        <v>145</v>
      </c>
      <c r="C44" s="36" t="s">
        <v>146</v>
      </c>
      <c r="D44" s="37">
        <v>0.1</v>
      </c>
      <c r="E44" s="38">
        <f>'Dec 03'!$D44*$C$6*$C$2</f>
        <v>23555323.003500003</v>
      </c>
      <c r="F44" s="38">
        <v>249387.5</v>
      </c>
      <c r="G44" s="39">
        <f>'Dec 03'!$E44/'Dec 03'!$F44</f>
        <v>94.452701131772855</v>
      </c>
      <c r="H44" s="36">
        <v>60</v>
      </c>
      <c r="I44" s="36">
        <v>45</v>
      </c>
      <c r="J44" s="40">
        <f>I44-H44</f>
        <v>-15</v>
      </c>
      <c r="K44" s="41">
        <f>'Dec 03'!$F44*'Dec 03'!$I44</f>
        <v>11222437.5</v>
      </c>
      <c r="L44" s="42">
        <f>'Dec 03'!$K44/$K$2</f>
        <v>7.3682840731383745E-2</v>
      </c>
      <c r="M44" s="43"/>
    </row>
    <row r="45" spans="1:15" s="44" customFormat="1" ht="25.5" x14ac:dyDescent="0.25">
      <c r="A45" s="36" t="s">
        <v>138</v>
      </c>
      <c r="B45" s="36" t="s">
        <v>149</v>
      </c>
      <c r="C45" s="36" t="s">
        <v>150</v>
      </c>
      <c r="D45" s="37">
        <v>0.1</v>
      </c>
      <c r="E45" s="38">
        <f>'Dec 03'!$D45*$C$6*$C$2</f>
        <v>23555323.003500003</v>
      </c>
      <c r="F45" s="38">
        <v>249791.23333333299</v>
      </c>
      <c r="G45" s="39">
        <f>'Dec 03'!$E45/'Dec 03'!$F45</f>
        <v>94.30003883309503</v>
      </c>
      <c r="H45" s="36">
        <v>60</v>
      </c>
      <c r="I45" s="36">
        <v>45</v>
      </c>
      <c r="J45" s="40">
        <f>I45-H45</f>
        <v>-15</v>
      </c>
      <c r="K45" s="41">
        <f>'Dec 03'!$F45*'Dec 03'!$I45</f>
        <v>11240605.499999985</v>
      </c>
      <c r="L45" s="42">
        <f>'Dec 03'!$K45/$K$2</f>
        <v>7.3802125855529602E-2</v>
      </c>
      <c r="M45" s="43"/>
    </row>
    <row r="46" spans="1:15" s="44" customFormat="1" ht="25.5" x14ac:dyDescent="0.25">
      <c r="A46" s="36" t="s">
        <v>138</v>
      </c>
      <c r="B46" s="36" t="s">
        <v>151</v>
      </c>
      <c r="C46" s="36" t="s">
        <v>152</v>
      </c>
      <c r="D46" s="37">
        <v>0.1</v>
      </c>
      <c r="E46" s="38">
        <f>'Dec 03'!$D46*$C$6*$C$2</f>
        <v>23555323.003500003</v>
      </c>
      <c r="F46" s="38">
        <v>167635.53333333301</v>
      </c>
      <c r="G46" s="39">
        <f>'Dec 03'!$E46/'Dec 03'!$F46</f>
        <v>140.51509566686966</v>
      </c>
      <c r="H46" s="36">
        <v>90</v>
      </c>
      <c r="I46" s="36">
        <v>70</v>
      </c>
      <c r="J46" s="40">
        <f>I46-H46</f>
        <v>-20</v>
      </c>
      <c r="K46" s="41">
        <f>'Dec 03'!$F46*'Dec 03'!$I46</f>
        <v>11734487.33333331</v>
      </c>
      <c r="L46" s="42">
        <f>'Dec 03'!$K46/$K$2</f>
        <v>7.7044791850829034E-2</v>
      </c>
      <c r="M46" s="43"/>
    </row>
    <row r="47" spans="1:15" s="45" customFormat="1" ht="12.75" x14ac:dyDescent="0.25">
      <c r="A47" s="36"/>
      <c r="B47" s="36"/>
      <c r="C47" s="36"/>
      <c r="D47" s="37"/>
      <c r="E47" s="38"/>
      <c r="F47" s="38"/>
      <c r="G47" s="39"/>
      <c r="H47" s="36"/>
      <c r="I47" s="36"/>
      <c r="J47" s="46"/>
      <c r="K47" s="38"/>
      <c r="L47" s="42"/>
      <c r="M47" s="36"/>
    </row>
    <row r="48" spans="1:15" s="54" customFormat="1" ht="25.5" x14ac:dyDescent="0.25">
      <c r="A48" s="48" t="s">
        <v>153</v>
      </c>
      <c r="B48" s="48"/>
      <c r="C48" s="48"/>
      <c r="D48" s="56">
        <f>SUBTOTAL(9,D44:D47)</f>
        <v>0.30000000000000004</v>
      </c>
      <c r="E48" s="50">
        <f>'Dec 03'!$D48*$C$6*$C$2</f>
        <v>70665969.010500014</v>
      </c>
      <c r="F48" s="70"/>
      <c r="G48" s="70"/>
      <c r="H48" s="55"/>
      <c r="I48" s="55"/>
      <c r="J48" s="59"/>
      <c r="K48" s="50">
        <f>SUM(K44:K47)</f>
        <v>34197530.333333299</v>
      </c>
      <c r="L48" s="73">
        <f>'Dec 03'!$K48/$K$2</f>
        <v>0.22452975843774242</v>
      </c>
      <c r="M48" s="48"/>
    </row>
    <row r="49" spans="1:16" s="45" customFormat="1" ht="12.75" x14ac:dyDescent="0.25">
      <c r="A49" s="36"/>
      <c r="B49" s="36"/>
      <c r="C49" s="36"/>
      <c r="D49" s="37"/>
      <c r="E49" s="38"/>
      <c r="F49" s="38"/>
      <c r="G49" s="39"/>
      <c r="H49" s="36"/>
      <c r="I49" s="36"/>
      <c r="J49" s="46"/>
      <c r="K49" s="38"/>
      <c r="L49" s="42"/>
      <c r="M49" s="36"/>
    </row>
    <row r="50" spans="1:16" s="44" customFormat="1" ht="12.75" x14ac:dyDescent="0.25">
      <c r="A50" s="36"/>
      <c r="B50" s="36"/>
      <c r="C50" s="36"/>
      <c r="D50" s="37"/>
      <c r="E50" s="38"/>
      <c r="F50" s="38"/>
      <c r="G50" s="74"/>
      <c r="H50" s="36"/>
      <c r="I50" s="36"/>
      <c r="J50" s="40"/>
      <c r="K50" s="41"/>
      <c r="L50" s="42"/>
      <c r="M50" s="43"/>
    </row>
    <row r="51" spans="1:16" s="44" customFormat="1" ht="25.5" x14ac:dyDescent="0.25">
      <c r="A51" s="36" t="s">
        <v>154</v>
      </c>
      <c r="B51" s="36" t="s">
        <v>155</v>
      </c>
      <c r="C51" s="36" t="s">
        <v>46</v>
      </c>
      <c r="D51" s="37">
        <v>1E-3</v>
      </c>
      <c r="E51" s="38">
        <f>'Dec 03'!$D51*$C$6*$C$2</f>
        <v>235553.23003500002</v>
      </c>
      <c r="F51" s="38">
        <v>50743.199999999997</v>
      </c>
      <c r="G51" s="74">
        <f>'Dec 03'!$E51/'Dec 03'!$F51</f>
        <v>4.642064947322992</v>
      </c>
      <c r="H51" s="36">
        <v>5</v>
      </c>
      <c r="I51" s="36">
        <v>5</v>
      </c>
      <c r="J51" s="40">
        <f t="shared" ref="J51:J60" si="2">I51-H51</f>
        <v>0</v>
      </c>
      <c r="K51" s="41">
        <f>'Dec 03'!$F51*'Dec 03'!$I51</f>
        <v>253716</v>
      </c>
      <c r="L51" s="42">
        <f>'Dec 03'!$K51/$K$2</f>
        <v>1.6658159708177263E-3</v>
      </c>
      <c r="M51" s="43"/>
    </row>
    <row r="52" spans="1:16" s="44" customFormat="1" ht="25.5" x14ac:dyDescent="0.25">
      <c r="A52" s="36" t="s">
        <v>154</v>
      </c>
      <c r="B52" s="36" t="s">
        <v>156</v>
      </c>
      <c r="C52" s="36" t="s">
        <v>61</v>
      </c>
      <c r="D52" s="37">
        <v>1E-3</v>
      </c>
      <c r="E52" s="38">
        <f>'Dec 03'!$D52*$C$6*$C$2</f>
        <v>235553.23003500002</v>
      </c>
      <c r="F52" s="38">
        <v>87082.333333333299</v>
      </c>
      <c r="G52" s="74">
        <f>'Dec 03'!$E52/'Dec 03'!$F52</f>
        <v>2.7049485356961047</v>
      </c>
      <c r="H52" s="36">
        <v>3</v>
      </c>
      <c r="I52" s="36">
        <v>3</v>
      </c>
      <c r="J52" s="40">
        <f t="shared" si="2"/>
        <v>0</v>
      </c>
      <c r="K52" s="41">
        <f>'Dec 03'!$F52*'Dec 03'!$I52</f>
        <v>261246.99999999988</v>
      </c>
      <c r="L52" s="42">
        <f>'Dec 03'!$K52/$K$2</f>
        <v>1.7152620446807389E-3</v>
      </c>
      <c r="M52" s="43"/>
      <c r="P52" s="44" t="s">
        <v>157</v>
      </c>
    </row>
    <row r="53" spans="1:16" s="44" customFormat="1" ht="25.5" x14ac:dyDescent="0.25">
      <c r="A53" s="36" t="s">
        <v>154</v>
      </c>
      <c r="B53" s="36" t="s">
        <v>158</v>
      </c>
      <c r="C53" s="36" t="s">
        <v>69</v>
      </c>
      <c r="D53" s="37">
        <v>1E-3</v>
      </c>
      <c r="E53" s="38">
        <f>'Dec 03'!$D53*$C$6*$C$2</f>
        <v>235553.23003500002</v>
      </c>
      <c r="F53" s="38">
        <v>95606</v>
      </c>
      <c r="G53" s="74">
        <f>'Dec 03'!$E53/'Dec 03'!$F53</f>
        <v>2.4637912896157146</v>
      </c>
      <c r="H53" s="36">
        <v>3</v>
      </c>
      <c r="I53" s="36">
        <v>3</v>
      </c>
      <c r="J53" s="40">
        <f t="shared" si="2"/>
        <v>0</v>
      </c>
      <c r="K53" s="41">
        <f>'Dec 03'!$F53*'Dec 03'!$I53</f>
        <v>286818</v>
      </c>
      <c r="L53" s="42">
        <f>'Dec 03'!$K53/$K$2</f>
        <v>1.8831528367071789E-3</v>
      </c>
      <c r="M53" s="43"/>
    </row>
    <row r="54" spans="1:16" s="44" customFormat="1" ht="25.5" x14ac:dyDescent="0.25">
      <c r="A54" s="36" t="s">
        <v>154</v>
      </c>
      <c r="B54" s="36" t="s">
        <v>70</v>
      </c>
      <c r="C54" s="36" t="s">
        <v>71</v>
      </c>
      <c r="D54" s="37">
        <v>1E-3</v>
      </c>
      <c r="E54" s="38">
        <f>'Dec 03'!$D54*$C$6*$C$2</f>
        <v>235553.23003500002</v>
      </c>
      <c r="F54" s="38">
        <v>241736</v>
      </c>
      <c r="G54" s="74">
        <f>'Dec 03'!$E54/'Dec 03'!$F54</f>
        <v>0.97442346210328634</v>
      </c>
      <c r="H54" s="36">
        <v>1</v>
      </c>
      <c r="I54" s="36">
        <v>1</v>
      </c>
      <c r="J54" s="40">
        <f t="shared" si="2"/>
        <v>0</v>
      </c>
      <c r="K54" s="41">
        <f>'Dec 03'!$F54*'Dec 03'!$I54</f>
        <v>241736</v>
      </c>
      <c r="L54" s="42">
        <f>'Dec 03'!$K54/$K$2</f>
        <v>1.587159223389908E-3</v>
      </c>
      <c r="M54" s="43"/>
    </row>
    <row r="55" spans="1:16" s="44" customFormat="1" ht="25.5" x14ac:dyDescent="0.25">
      <c r="A55" s="36" t="s">
        <v>154</v>
      </c>
      <c r="B55" s="36" t="s">
        <v>159</v>
      </c>
      <c r="C55" s="36" t="s">
        <v>73</v>
      </c>
      <c r="D55" s="37">
        <v>1E-3</v>
      </c>
      <c r="E55" s="38">
        <f>'Dec 03'!$D55*$C$6*$C$2</f>
        <v>235553.23003500002</v>
      </c>
      <c r="F55" s="38">
        <v>13563.6111111111</v>
      </c>
      <c r="G55" s="74">
        <f>'Dec 03'!$E55/'Dec 03'!$F55</f>
        <v>17.366557335313047</v>
      </c>
      <c r="H55" s="36">
        <v>18</v>
      </c>
      <c r="I55" s="36">
        <v>18</v>
      </c>
      <c r="J55" s="40">
        <f t="shared" si="2"/>
        <v>0</v>
      </c>
      <c r="K55" s="41">
        <f>'Dec 03'!$F55*'Dec 03'!$I55</f>
        <v>244144.9999999998</v>
      </c>
      <c r="L55" s="42">
        <f>'Dec 03'!$K55/$K$2</f>
        <v>1.6029759266080715E-3</v>
      </c>
      <c r="M55" s="43"/>
    </row>
    <row r="56" spans="1:16" s="4" customFormat="1" ht="25.5" x14ac:dyDescent="0.2">
      <c r="A56" s="36" t="s">
        <v>154</v>
      </c>
      <c r="B56" s="63" t="s">
        <v>162</v>
      </c>
      <c r="C56" s="63" t="s">
        <v>91</v>
      </c>
      <c r="D56" s="37">
        <v>1E-3</v>
      </c>
      <c r="E56" s="38">
        <f>'Dec 03'!$D56*$C$6*$C$2</f>
        <v>235553.23003500002</v>
      </c>
      <c r="F56" s="38">
        <v>68788.25</v>
      </c>
      <c r="G56" s="74">
        <f>'Dec 03'!$E56/'Dec 03'!$F56</f>
        <v>3.4243236313614611</v>
      </c>
      <c r="H56" s="36">
        <v>4</v>
      </c>
      <c r="I56" s="36">
        <v>4</v>
      </c>
      <c r="J56" s="40">
        <f t="shared" si="2"/>
        <v>0</v>
      </c>
      <c r="K56" s="41">
        <f>'Dec 03'!$F56*'Dec 03'!$I56</f>
        <v>275153</v>
      </c>
      <c r="L56" s="42">
        <f>'Dec 03'!$K56/$K$2</f>
        <v>1.8065642758770036E-3</v>
      </c>
      <c r="M56" s="64"/>
    </row>
    <row r="57" spans="1:16" s="44" customFormat="1" ht="25.5" x14ac:dyDescent="0.25">
      <c r="A57" s="36" t="s">
        <v>154</v>
      </c>
      <c r="B57" s="36" t="s">
        <v>163</v>
      </c>
      <c r="C57" s="36" t="s">
        <v>67</v>
      </c>
      <c r="D57" s="37">
        <v>1E-3</v>
      </c>
      <c r="E57" s="38">
        <f>'Dec 03'!$D57*$C$6*$C$2</f>
        <v>235553.23003500002</v>
      </c>
      <c r="F57" s="38">
        <v>26970</v>
      </c>
      <c r="G57" s="74">
        <f>'Dec 03'!$E57/'Dec 03'!$F57</f>
        <v>8.7338980361512792</v>
      </c>
      <c r="H57" s="36">
        <v>9</v>
      </c>
      <c r="I57" s="36">
        <v>9</v>
      </c>
      <c r="J57" s="40">
        <f t="shared" si="2"/>
        <v>0</v>
      </c>
      <c r="K57" s="41">
        <f>'Dec 03'!$F57*'Dec 03'!$I57</f>
        <v>242730</v>
      </c>
      <c r="L57" s="42">
        <f>'Dec 03'!$K57/$K$2</f>
        <v>1.5936855010980258E-3</v>
      </c>
      <c r="M57" s="43"/>
    </row>
    <row r="58" spans="1:16" s="44" customFormat="1" ht="25.5" x14ac:dyDescent="0.25">
      <c r="A58" s="36" t="s">
        <v>154</v>
      </c>
      <c r="B58" s="36" t="s">
        <v>77</v>
      </c>
      <c r="C58" s="36" t="s">
        <v>78</v>
      </c>
      <c r="D58" s="37">
        <v>1E-3</v>
      </c>
      <c r="E58" s="38">
        <f>'Dec 03'!$D58*$C$6*$C$2</f>
        <v>235553.23003500002</v>
      </c>
      <c r="F58" s="38">
        <v>8265.4482758620707</v>
      </c>
      <c r="G58" s="74">
        <f>'Dec 03'!$E58/'Dec 03'!$F58</f>
        <v>28.498542628703614</v>
      </c>
      <c r="H58" s="36">
        <v>29</v>
      </c>
      <c r="I58" s="36">
        <v>29</v>
      </c>
      <c r="J58" s="40">
        <f t="shared" si="2"/>
        <v>0</v>
      </c>
      <c r="K58" s="41">
        <f>'Dec 03'!$F58*'Dec 03'!$I58</f>
        <v>239698.00000000006</v>
      </c>
      <c r="L58" s="42">
        <f>'Dec 03'!$K58/$K$2</f>
        <v>1.5737783843867454E-3</v>
      </c>
      <c r="M58" s="43"/>
    </row>
    <row r="59" spans="1:16" s="44" customFormat="1" ht="25.5" x14ac:dyDescent="0.25">
      <c r="A59" s="36" t="s">
        <v>154</v>
      </c>
      <c r="B59" s="36" t="s">
        <v>63</v>
      </c>
      <c r="C59" s="36" t="s">
        <v>64</v>
      </c>
      <c r="D59" s="37">
        <v>1E-3</v>
      </c>
      <c r="E59" s="38">
        <f>'Dec 03'!$D59*$C$6*$C$2</f>
        <v>235553.23003500002</v>
      </c>
      <c r="F59" s="38">
        <v>27637.555555555598</v>
      </c>
      <c r="G59" s="74">
        <f>'Dec 03'!$E59/'Dec 03'!$F59</f>
        <v>8.5229400827979518</v>
      </c>
      <c r="H59" s="36">
        <v>9</v>
      </c>
      <c r="I59" s="36">
        <v>9</v>
      </c>
      <c r="J59" s="40">
        <f t="shared" si="2"/>
        <v>0</v>
      </c>
      <c r="K59" s="41">
        <f>'Dec 03'!$F59*'Dec 03'!$I59</f>
        <v>248738.00000000038</v>
      </c>
      <c r="L59" s="42">
        <f>'Dec 03'!$K59/$K$2</f>
        <v>1.6331320569032313E-3</v>
      </c>
      <c r="M59" s="43"/>
    </row>
    <row r="60" spans="1:16" s="44" customFormat="1" ht="25.5" x14ac:dyDescent="0.25">
      <c r="A60" s="36" t="s">
        <v>154</v>
      </c>
      <c r="B60" s="36" t="s">
        <v>88</v>
      </c>
      <c r="C60" s="36" t="s">
        <v>89</v>
      </c>
      <c r="D60" s="37">
        <v>1E-3</v>
      </c>
      <c r="E60" s="38">
        <f>'Dec 03'!$D60*$C$6*$C$2</f>
        <v>235553.23003500002</v>
      </c>
      <c r="F60" s="38">
        <v>58106.25</v>
      </c>
      <c r="G60" s="74">
        <f>'Dec 03'!$E60/'Dec 03'!$F60</f>
        <v>4.0538363779283646</v>
      </c>
      <c r="H60" s="36">
        <v>4</v>
      </c>
      <c r="I60" s="36">
        <v>4</v>
      </c>
      <c r="J60" s="40">
        <f t="shared" si="2"/>
        <v>0</v>
      </c>
      <c r="K60" s="41">
        <f>'Dec 03'!$F60*'Dec 03'!$I60</f>
        <v>232425</v>
      </c>
      <c r="L60" s="42">
        <f>'Dec 03'!$K60/$K$2</f>
        <v>1.5260262538322772E-3</v>
      </c>
      <c r="M60" s="43"/>
    </row>
    <row r="61" spans="1:16" s="44" customFormat="1" ht="12.75" x14ac:dyDescent="0.25">
      <c r="A61" s="36"/>
      <c r="B61" s="36"/>
      <c r="C61" s="36"/>
      <c r="D61" s="37"/>
      <c r="E61" s="38"/>
      <c r="F61" s="38"/>
      <c r="G61" s="39"/>
      <c r="H61" s="36"/>
      <c r="I61" s="36"/>
      <c r="J61" s="43"/>
      <c r="K61" s="41"/>
      <c r="L61" s="42"/>
      <c r="M61" s="43"/>
    </row>
    <row r="62" spans="1:16" s="17" customFormat="1" ht="12.75" x14ac:dyDescent="0.2">
      <c r="A62" s="48" t="s">
        <v>164</v>
      </c>
      <c r="B62" s="67"/>
      <c r="C62" s="67"/>
      <c r="D62" s="75">
        <f>SUM(D51:D61)</f>
        <v>1.0000000000000002E-2</v>
      </c>
      <c r="E62" s="50">
        <f>SUM(E50:E61)</f>
        <v>2355532.3003500002</v>
      </c>
      <c r="F62" s="70"/>
      <c r="G62" s="70"/>
      <c r="H62" s="67"/>
      <c r="I62" s="67"/>
      <c r="J62" s="48"/>
      <c r="K62" s="50">
        <f>SUM(K50:K61)</f>
        <v>2526406</v>
      </c>
      <c r="L62" s="53">
        <f>'Dec 03'!$K62/$K$2</f>
        <v>1.6587552474300906E-2</v>
      </c>
      <c r="M62" s="60"/>
    </row>
    <row r="63" spans="1:16" s="4" customFormat="1" ht="12.75" x14ac:dyDescent="0.2">
      <c r="A63" s="36"/>
      <c r="B63" s="63"/>
      <c r="C63" s="63"/>
      <c r="D63" s="76"/>
      <c r="E63" s="38"/>
      <c r="F63" s="38"/>
      <c r="G63" s="39"/>
      <c r="H63" s="63"/>
      <c r="I63" s="63"/>
      <c r="J63" s="36"/>
      <c r="K63" s="36"/>
      <c r="L63" s="42"/>
      <c r="M63" s="64"/>
    </row>
    <row r="64" spans="1:16" s="44" customFormat="1" ht="25.5" x14ac:dyDescent="0.25">
      <c r="A64" s="48" t="s">
        <v>165</v>
      </c>
      <c r="B64" s="55" t="s">
        <v>166</v>
      </c>
      <c r="C64" s="55" t="s">
        <v>167</v>
      </c>
      <c r="D64" s="56">
        <v>0</v>
      </c>
      <c r="E64" s="57">
        <f>'Dec 03'!$D64*$C$6*$C$2</f>
        <v>0</v>
      </c>
      <c r="F64" s="57">
        <v>0</v>
      </c>
      <c r="G64" s="58" t="s">
        <v>168</v>
      </c>
      <c r="H64" s="55">
        <v>0</v>
      </c>
      <c r="I64" s="55">
        <v>0</v>
      </c>
      <c r="J64" s="77">
        <f>I64-H64</f>
        <v>0</v>
      </c>
      <c r="K64" s="57">
        <f>'Dec 03'!$F64*'Dec 03'!$I64</f>
        <v>0</v>
      </c>
      <c r="L64" s="78">
        <f>'Dec 03'!$K64/$K$2</f>
        <v>0</v>
      </c>
      <c r="M64" s="55"/>
    </row>
    <row r="65" spans="1:13" s="4" customFormat="1" ht="12.75" x14ac:dyDescent="0.2">
      <c r="A65" s="36"/>
      <c r="B65" s="63"/>
      <c r="C65" s="63"/>
      <c r="D65" s="76"/>
      <c r="E65" s="38"/>
      <c r="F65" s="38"/>
      <c r="G65" s="39"/>
      <c r="H65" s="63"/>
      <c r="I65" s="63"/>
      <c r="J65" s="36"/>
      <c r="K65" s="36"/>
      <c r="L65" s="42"/>
      <c r="M65" s="64"/>
    </row>
    <row r="66" spans="1:13" s="4" customFormat="1" ht="12.75" x14ac:dyDescent="0.2">
      <c r="A66" s="36"/>
      <c r="B66" s="63"/>
      <c r="C66" s="63"/>
      <c r="D66" s="79"/>
      <c r="E66" s="65"/>
      <c r="F66" s="38"/>
      <c r="G66" s="39"/>
      <c r="H66" s="63"/>
      <c r="I66" s="63"/>
      <c r="J66" s="36"/>
      <c r="K66" s="36"/>
      <c r="L66" s="42"/>
      <c r="M66" s="64"/>
    </row>
    <row r="67" spans="1:13" s="17" customFormat="1" ht="12.75" x14ac:dyDescent="0.2">
      <c r="A67" s="48" t="s">
        <v>169</v>
      </c>
      <c r="B67" s="67"/>
      <c r="C67" s="67"/>
      <c r="D67" s="67"/>
      <c r="E67" s="80"/>
      <c r="F67" s="80"/>
      <c r="G67" s="48"/>
      <c r="H67" s="67"/>
      <c r="I67" s="67"/>
      <c r="J67" s="67"/>
      <c r="K67" s="80">
        <f>SUM(K27,K29,K42,K48,K62,K64:K64)</f>
        <v>152307340.33331078</v>
      </c>
      <c r="L67" s="53">
        <f>'Dec 03'!$K67/$K$2</f>
        <v>0.99999999999999978</v>
      </c>
      <c r="M67" s="67"/>
    </row>
    <row r="68" spans="1:13" s="4" customFormat="1" ht="12.75" x14ac:dyDescent="0.2">
      <c r="A68" s="64"/>
      <c r="B68" s="64"/>
      <c r="C68" s="64"/>
      <c r="D68" s="81"/>
      <c r="E68" s="82"/>
      <c r="F68" s="38"/>
      <c r="G68" s="83"/>
      <c r="H68" s="64"/>
      <c r="I68" s="64"/>
      <c r="J68" s="64"/>
      <c r="K68" s="64"/>
      <c r="L68" s="42"/>
      <c r="M68" s="64"/>
    </row>
    <row r="69" spans="1:13" s="4" customFormat="1" ht="12.75" x14ac:dyDescent="0.2">
      <c r="A69" s="64"/>
      <c r="B69" s="64"/>
      <c r="C69" s="64"/>
      <c r="D69" s="81"/>
      <c r="E69" s="82"/>
      <c r="F69" s="38"/>
      <c r="G69" s="83"/>
      <c r="H69" s="64"/>
      <c r="I69" s="64"/>
      <c r="J69" s="64"/>
      <c r="K69" s="64"/>
      <c r="L69" s="42"/>
      <c r="M69" s="64"/>
    </row>
    <row r="70" spans="1:13" s="4" customFormat="1" ht="12.75" x14ac:dyDescent="0.2">
      <c r="A70" s="64"/>
      <c r="B70" s="64"/>
      <c r="C70" s="64"/>
      <c r="D70" s="81"/>
      <c r="E70" s="82"/>
      <c r="F70" s="38"/>
      <c r="G70" s="83"/>
      <c r="H70" s="64"/>
      <c r="I70" s="64"/>
      <c r="J70" s="64"/>
      <c r="K70" s="64"/>
      <c r="L70" s="42"/>
      <c r="M70" s="64"/>
    </row>
    <row r="71" spans="1:13" s="4" customFormat="1" ht="12.75" x14ac:dyDescent="0.2">
      <c r="A71" s="64"/>
      <c r="B71" s="64"/>
      <c r="C71" s="64"/>
      <c r="D71" s="81"/>
      <c r="E71" s="82"/>
      <c r="F71" s="38"/>
      <c r="G71" s="83"/>
      <c r="H71" s="64"/>
      <c r="I71" s="64"/>
      <c r="J71" s="64"/>
      <c r="K71" s="64"/>
      <c r="L71" s="42"/>
      <c r="M71" s="64"/>
    </row>
    <row r="72" spans="1:13" s="4" customFormat="1" ht="12.75" x14ac:dyDescent="0.2">
      <c r="A72" s="64"/>
      <c r="B72" s="64"/>
      <c r="C72" s="64"/>
      <c r="D72" s="81"/>
      <c r="E72" s="82"/>
      <c r="F72" s="38"/>
      <c r="G72" s="83"/>
      <c r="H72" s="64"/>
      <c r="I72" s="64"/>
      <c r="J72" s="64"/>
      <c r="K72" s="64"/>
      <c r="L72" s="42"/>
      <c r="M72" s="64"/>
    </row>
    <row r="73" spans="1:13" s="4" customFormat="1" ht="12.75" x14ac:dyDescent="0.2">
      <c r="A73" s="64"/>
      <c r="B73" s="64"/>
      <c r="C73" s="64"/>
      <c r="D73" s="81"/>
      <c r="E73" s="82"/>
      <c r="F73" s="38"/>
      <c r="G73" s="83"/>
      <c r="H73" s="64"/>
      <c r="I73" s="64"/>
      <c r="J73" s="64"/>
      <c r="K73" s="64"/>
      <c r="L73" s="42"/>
      <c r="M73" s="64"/>
    </row>
    <row r="74" spans="1:13" s="4" customFormat="1" ht="12.75" x14ac:dyDescent="0.2">
      <c r="A74" s="64"/>
      <c r="B74" s="64"/>
      <c r="C74" s="64"/>
      <c r="D74" s="81"/>
      <c r="E74" s="82"/>
      <c r="F74" s="38"/>
      <c r="G74" s="83"/>
      <c r="H74" s="64"/>
      <c r="I74" s="64"/>
      <c r="J74" s="64"/>
      <c r="K74" s="64"/>
      <c r="L74" s="42"/>
      <c r="M74" s="64"/>
    </row>
    <row r="75" spans="1:13" s="4" customFormat="1" ht="12.75" x14ac:dyDescent="0.2">
      <c r="A75" s="64"/>
      <c r="B75" s="64"/>
      <c r="C75" s="64"/>
      <c r="D75" s="81"/>
      <c r="E75" s="82"/>
      <c r="F75" s="38"/>
      <c r="G75" s="83"/>
      <c r="H75" s="64"/>
      <c r="I75" s="64"/>
      <c r="J75" s="64"/>
      <c r="K75" s="64"/>
      <c r="L75" s="42"/>
      <c r="M75" s="64"/>
    </row>
    <row r="76" spans="1:13" s="4" customFormat="1" ht="12.75" x14ac:dyDescent="0.2">
      <c r="A76" s="64"/>
      <c r="B76" s="64"/>
      <c r="C76" s="64"/>
      <c r="D76" s="81"/>
      <c r="E76" s="82"/>
      <c r="F76" s="38"/>
      <c r="G76" s="83"/>
      <c r="H76" s="64"/>
      <c r="I76" s="64"/>
      <c r="J76" s="64"/>
      <c r="K76" s="64"/>
      <c r="L76" s="42"/>
      <c r="M76" s="64"/>
    </row>
    <row r="77" spans="1:13" s="4" customFormat="1" ht="12.75" x14ac:dyDescent="0.2"/>
    <row r="78" spans="1:13" s="4" customFormat="1" ht="12.75" x14ac:dyDescent="0.2"/>
    <row r="80" spans="1:13" s="4" customFormat="1" ht="12.75" x14ac:dyDescent="0.2">
      <c r="A80" s="84"/>
      <c r="B80" s="84"/>
      <c r="E80" s="84"/>
      <c r="F80" s="84"/>
      <c r="G80" s="84"/>
      <c r="H80" s="85"/>
      <c r="M80" s="84"/>
    </row>
    <row r="81" spans="1:13" s="4" customFormat="1" ht="12.75" x14ac:dyDescent="0.2">
      <c r="A81" s="84"/>
      <c r="B81" s="84"/>
      <c r="E81" s="84"/>
      <c r="F81" s="84"/>
      <c r="G81" s="84"/>
      <c r="H81" s="85"/>
      <c r="M81" s="84"/>
    </row>
    <row r="82" spans="1:13" s="4" customFormat="1" ht="12.75" x14ac:dyDescent="0.2">
      <c r="A82" s="86"/>
      <c r="B82" s="86"/>
    </row>
    <row r="83" spans="1:13" s="4" customFormat="1" ht="12.75" x14ac:dyDescent="0.2">
      <c r="A83" s="87"/>
      <c r="B83" s="87"/>
      <c r="E83" s="87"/>
      <c r="F83" s="86"/>
      <c r="G83" s="86"/>
      <c r="M83" s="88"/>
    </row>
    <row r="84" spans="1:13" s="4" customFormat="1" ht="12.75" x14ac:dyDescent="0.2"/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H83"/>
  <sheetViews>
    <sheetView zoomScale="140" zoomScaleNormal="140" workbookViewId="0">
      <pane xSplit="2" topLeftCell="C1" activePane="topRight" state="frozen"/>
      <selection pane="topRight" activeCell="D9" sqref="D9"/>
    </sheetView>
  </sheetViews>
  <sheetFormatPr defaultColWidth="9.140625" defaultRowHeight="15" x14ac:dyDescent="0.25"/>
  <cols>
    <col min="1" max="2" width="15.140625" style="4" customWidth="1"/>
    <col min="3" max="3" width="29.28515625" style="4" customWidth="1"/>
    <col min="4" max="4" width="14.85546875" style="4" customWidth="1"/>
    <col min="5" max="5" width="27.42578125" style="4" customWidth="1"/>
    <col min="6" max="7" width="13.7109375" style="4" customWidth="1"/>
    <col min="8" max="8" width="16.42578125" style="4" customWidth="1"/>
    <col min="9" max="9" width="15.42578125" style="4" customWidth="1"/>
    <col min="10" max="10" width="13.42578125" customWidth="1"/>
    <col min="11" max="11" width="23.42578125" customWidth="1"/>
    <col min="12" max="12" width="13.42578125" customWidth="1"/>
    <col min="13" max="13" width="22.42578125" style="4" customWidth="1"/>
    <col min="14" max="16" width="10.85546875" style="4" customWidth="1"/>
    <col min="17" max="17" width="11.28515625" style="4" customWidth="1"/>
    <col min="18" max="1022" width="9.140625" style="4"/>
  </cols>
  <sheetData>
    <row r="1" spans="1:17" s="4" customFormat="1" ht="25.5" x14ac:dyDescent="0.2">
      <c r="A1" s="5"/>
      <c r="B1" s="5" t="s">
        <v>95</v>
      </c>
      <c r="C1" s="6">
        <v>44169</v>
      </c>
      <c r="D1" s="7"/>
      <c r="E1" s="8" t="s">
        <v>96</v>
      </c>
      <c r="F1" s="9"/>
      <c r="G1" s="10"/>
      <c r="K1" s="11" t="s">
        <v>97</v>
      </c>
      <c r="L1" s="11" t="s">
        <v>98</v>
      </c>
      <c r="M1" s="12" t="s">
        <v>99</v>
      </c>
    </row>
    <row r="2" spans="1:17" x14ac:dyDescent="0.25">
      <c r="A2" s="5"/>
      <c r="B2" s="5" t="s">
        <v>100</v>
      </c>
      <c r="C2" s="13">
        <v>9.0299999999999994</v>
      </c>
      <c r="D2" s="14"/>
      <c r="E2" s="15">
        <f>SUM(E26,E41,E47,E61,E28,E63)</f>
        <v>202022175.49068365</v>
      </c>
      <c r="F2" s="16"/>
      <c r="G2" s="17"/>
      <c r="H2" s="14"/>
      <c r="I2" s="14"/>
      <c r="J2" s="14"/>
      <c r="K2" s="15">
        <f>SUM(K26,K41,K47,K61,K28,K63:K63)</f>
        <v>144428447.91547161</v>
      </c>
      <c r="L2" s="18">
        <f>SUM(L47,L61,L41,L26,L28,L63)</f>
        <v>0.99999999999999989</v>
      </c>
      <c r="M2" s="19">
        <f>K2/$C$6</f>
        <v>5.16454398828294</v>
      </c>
      <c r="N2" s="20"/>
    </row>
    <row r="3" spans="1:17" ht="26.25" x14ac:dyDescent="0.25">
      <c r="A3" s="5"/>
      <c r="B3" s="5" t="s">
        <v>101</v>
      </c>
      <c r="C3" s="21">
        <v>27965382.469999999</v>
      </c>
      <c r="D3" s="22"/>
      <c r="E3" s="8" t="s">
        <v>102</v>
      </c>
      <c r="F3" s="16"/>
      <c r="H3" s="14"/>
      <c r="I3" s="14"/>
      <c r="J3" s="14"/>
      <c r="K3" s="8" t="s">
        <v>102</v>
      </c>
      <c r="L3" s="14"/>
      <c r="M3" s="12" t="s">
        <v>103</v>
      </c>
      <c r="N3" s="23"/>
    </row>
    <row r="4" spans="1:17" x14ac:dyDescent="0.25">
      <c r="A4" s="5"/>
      <c r="B4" s="5" t="s">
        <v>104</v>
      </c>
      <c r="C4" s="21">
        <v>0</v>
      </c>
      <c r="D4" s="22"/>
      <c r="E4" s="15">
        <f>SUM(E26,E61,E28)</f>
        <v>51768370.286744192</v>
      </c>
      <c r="F4" s="16"/>
      <c r="G4" s="17"/>
      <c r="H4" s="14"/>
      <c r="I4" s="14"/>
      <c r="J4" s="14"/>
      <c r="K4" s="15">
        <f>SUM(K26,K28,K61)</f>
        <v>51756299.123776585</v>
      </c>
      <c r="L4" s="14"/>
      <c r="M4" s="19">
        <f>K4/$C$6</f>
        <v>1.850727383374728</v>
      </c>
      <c r="N4" s="23"/>
    </row>
    <row r="5" spans="1:17" x14ac:dyDescent="0.25">
      <c r="A5" s="5"/>
      <c r="B5" s="5" t="s">
        <v>105</v>
      </c>
      <c r="C5" s="21">
        <v>0</v>
      </c>
      <c r="D5" s="22"/>
      <c r="E5" s="16"/>
      <c r="F5" s="16"/>
      <c r="G5" s="24">
        <f>SUM(D26,D28,D41,D47,D61,D63:D63)</f>
        <v>0.80000099999999996</v>
      </c>
      <c r="H5" s="14"/>
      <c r="I5" s="14"/>
      <c r="J5" s="14"/>
      <c r="K5" s="14"/>
      <c r="L5" s="14"/>
      <c r="M5" s="14"/>
      <c r="N5" s="23"/>
    </row>
    <row r="6" spans="1:17" x14ac:dyDescent="0.25">
      <c r="A6" s="5"/>
      <c r="B6" s="5" t="s">
        <v>106</v>
      </c>
      <c r="C6" s="21">
        <f>C3+C4-C5</f>
        <v>27965382.469999999</v>
      </c>
      <c r="D6" s="22"/>
      <c r="E6" s="16"/>
      <c r="F6" s="16"/>
      <c r="G6" s="17"/>
      <c r="H6" s="14"/>
      <c r="I6" s="14"/>
      <c r="J6" s="14"/>
      <c r="K6" s="14"/>
      <c r="L6" s="14"/>
      <c r="M6" s="14"/>
      <c r="N6" s="23"/>
    </row>
    <row r="7" spans="1:17" x14ac:dyDescent="0.25">
      <c r="A7" s="25"/>
      <c r="B7" s="26"/>
      <c r="C7" s="26"/>
      <c r="D7" s="27"/>
      <c r="E7" s="28"/>
      <c r="F7" s="28"/>
      <c r="G7" s="28"/>
      <c r="H7" s="29"/>
      <c r="I7" s="29"/>
      <c r="J7" s="29"/>
      <c r="K7" s="14"/>
      <c r="L7" s="14"/>
      <c r="M7" s="14"/>
      <c r="N7" s="23"/>
    </row>
    <row r="8" spans="1:17" s="34" customFormat="1" ht="38.25" x14ac:dyDescent="0.2">
      <c r="A8" s="30" t="s">
        <v>107</v>
      </c>
      <c r="B8" s="30" t="s">
        <v>108</v>
      </c>
      <c r="C8" s="31" t="s">
        <v>1</v>
      </c>
      <c r="D8" s="31" t="s">
        <v>109</v>
      </c>
      <c r="E8" s="31" t="s">
        <v>110</v>
      </c>
      <c r="F8" s="31" t="s">
        <v>111</v>
      </c>
      <c r="G8" s="31" t="s">
        <v>112</v>
      </c>
      <c r="H8" s="31" t="s">
        <v>113</v>
      </c>
      <c r="I8" s="31" t="s">
        <v>114</v>
      </c>
      <c r="J8" s="31" t="s">
        <v>115</v>
      </c>
      <c r="K8" s="32" t="s">
        <v>116</v>
      </c>
      <c r="L8" s="32" t="s">
        <v>117</v>
      </c>
      <c r="M8" s="32" t="s">
        <v>118</v>
      </c>
      <c r="N8" s="33"/>
      <c r="Q8" s="35"/>
    </row>
    <row r="9" spans="1:17" s="44" customFormat="1" ht="12.75" customHeight="1" x14ac:dyDescent="0.25">
      <c r="A9" s="36" t="s">
        <v>119</v>
      </c>
      <c r="B9" s="36" t="s">
        <v>120</v>
      </c>
      <c r="C9" s="36" t="s">
        <v>121</v>
      </c>
      <c r="D9" s="37">
        <v>6.731E-3</v>
      </c>
      <c r="E9" s="38">
        <f>'Dec 04'!$D9*$C$6*$C$2</f>
        <v>1699761.954332297</v>
      </c>
      <c r="F9" s="38">
        <v>597.72990452725605</v>
      </c>
      <c r="G9" s="39">
        <f>'Dec 04'!$E9/'Dec 04'!$F9</f>
        <v>2843.6956917466541</v>
      </c>
      <c r="H9" s="36">
        <v>3247</v>
      </c>
      <c r="I9" s="36">
        <f>ROUND(Table1389584567991011121314456267891011121314151617181920213456789101112131415161718192021222334567891011121314151617181920345[[#This Row],[Target Quantity]],0)</f>
        <v>2844</v>
      </c>
      <c r="J9" s="40">
        <f t="shared" ref="J9:J24" si="0">I9-H9</f>
        <v>-403</v>
      </c>
      <c r="K9" s="41">
        <f>'Dec 04'!$F9*'Dec 04'!$I9</f>
        <v>1699943.8484755163</v>
      </c>
      <c r="L9" s="42">
        <f>'Dec 04'!$K9/$K$2</f>
        <v>1.1770145515033352E-2</v>
      </c>
      <c r="M9" s="43"/>
    </row>
    <row r="10" spans="1:17" s="44" customFormat="1" ht="12.75" customHeight="1" x14ac:dyDescent="0.25">
      <c r="A10" s="36" t="s">
        <v>119</v>
      </c>
      <c r="B10" s="36" t="s">
        <v>122</v>
      </c>
      <c r="C10" s="36" t="s">
        <v>123</v>
      </c>
      <c r="D10" s="37">
        <v>6.731E-3</v>
      </c>
      <c r="E10" s="38">
        <f>'Dec 04'!$D10*$C$6*$C$2</f>
        <v>1699761.954332297</v>
      </c>
      <c r="F10" s="38">
        <v>87.180016957472404</v>
      </c>
      <c r="G10" s="39">
        <f>'Dec 04'!$E10/'Dec 04'!$F10</f>
        <v>19497.150994607673</v>
      </c>
      <c r="H10" s="36">
        <v>22409</v>
      </c>
      <c r="I10" s="36">
        <f>ROUND(Table1389584567991011121314456267891011121314151617181920213456789101112131415161718192021222334567891011121314151617181920345[[#This Row],[Target Quantity]],0)</f>
        <v>19497</v>
      </c>
      <c r="J10" s="40">
        <f t="shared" si="0"/>
        <v>-2912</v>
      </c>
      <c r="K10" s="41">
        <f>'Dec 04'!$F10*'Dec 04'!$I10</f>
        <v>1699748.7906198394</v>
      </c>
      <c r="L10" s="42">
        <f>'Dec 04'!$K10/$K$2</f>
        <v>1.1768794964927108E-2</v>
      </c>
      <c r="M10" s="43"/>
    </row>
    <row r="11" spans="1:17" s="45" customFormat="1" ht="12.75" customHeight="1" x14ac:dyDescent="0.25">
      <c r="A11" s="36" t="s">
        <v>119</v>
      </c>
      <c r="B11" s="36" t="s">
        <v>43</v>
      </c>
      <c r="C11" s="36" t="s">
        <v>44</v>
      </c>
      <c r="D11" s="37">
        <v>6.731E-3</v>
      </c>
      <c r="E11" s="38">
        <f>'Dec 04'!$D11*$C$6*$C$2</f>
        <v>1699761.954332297</v>
      </c>
      <c r="F11" s="38">
        <v>413</v>
      </c>
      <c r="G11" s="39">
        <f>'Dec 04'!$E11/'Dec 04'!$F11</f>
        <v>4115.6463785285641</v>
      </c>
      <c r="H11" s="36">
        <v>4608</v>
      </c>
      <c r="I11" s="36">
        <f>ROUND(Table1389584567991011121314456267891011121314151617181920213456789101112131415161718192021222334567891011121314151617181920345[[#This Row],[Target Quantity]],0)</f>
        <v>4116</v>
      </c>
      <c r="J11" s="40">
        <f t="shared" si="0"/>
        <v>-492</v>
      </c>
      <c r="K11" s="41">
        <f>'Dec 04'!$F11*'Dec 04'!$I11</f>
        <v>1699908</v>
      </c>
      <c r="L11" s="42">
        <f>'Dec 04'!$K11/$K$2</f>
        <v>1.1769897305791796E-2</v>
      </c>
      <c r="M11" s="36"/>
    </row>
    <row r="12" spans="1:17" s="45" customFormat="1" ht="12.75" customHeight="1" x14ac:dyDescent="0.25">
      <c r="A12" s="36" t="s">
        <v>119</v>
      </c>
      <c r="B12" s="36" t="s">
        <v>126</v>
      </c>
      <c r="C12" s="36" t="s">
        <v>127</v>
      </c>
      <c r="D12" s="37">
        <v>6.731E-3</v>
      </c>
      <c r="E12" s="38">
        <f>'Dec 04'!$D12*$C$6*$C$2</f>
        <v>1699761.954332297</v>
      </c>
      <c r="F12" s="38">
        <v>1560.34027221777</v>
      </c>
      <c r="G12" s="39">
        <f>'Dec 04'!$E12/'Dec 04'!$F12</f>
        <v>1089.3533831030086</v>
      </c>
      <c r="H12" s="36">
        <v>1249</v>
      </c>
      <c r="I12" s="36">
        <f>ROUND(Table1389584567991011121314456267891011121314151617181920213456789101112131415161718192021222334567891011121314151617181920345[[#This Row],[Target Quantity]],0)</f>
        <v>1089</v>
      </c>
      <c r="J12" s="40">
        <f t="shared" si="0"/>
        <v>-160</v>
      </c>
      <c r="K12" s="41">
        <f>'Dec 04'!$F12*'Dec 04'!$I12</f>
        <v>1699210.5564451516</v>
      </c>
      <c r="L12" s="42">
        <f>'Dec 04'!$K12/$K$2</f>
        <v>1.1765068315624591E-2</v>
      </c>
      <c r="M12" s="36"/>
    </row>
    <row r="13" spans="1:17" s="45" customFormat="1" ht="12.75" customHeight="1" x14ac:dyDescent="0.25">
      <c r="A13" s="36" t="s">
        <v>119</v>
      </c>
      <c r="B13" s="36" t="s">
        <v>25</v>
      </c>
      <c r="C13" s="36" t="s">
        <v>26</v>
      </c>
      <c r="D13" s="37">
        <v>6.731E-3</v>
      </c>
      <c r="E13" s="38">
        <f>'Dec 04'!$D13*$C$6*$C$2</f>
        <v>1699761.954332297</v>
      </c>
      <c r="F13" s="38">
        <v>292.699938290651</v>
      </c>
      <c r="G13" s="39">
        <f>'Dec 04'!$E13/'Dec 04'!$F13</f>
        <v>5807.1824827118126</v>
      </c>
      <c r="H13" s="36">
        <v>6482</v>
      </c>
      <c r="I13" s="36">
        <f>ROUND(Table1389584567991011121314456267891011121314151617181920213456789101112131415161718192021222334567891011121314151617181920345[[#This Row],[Target Quantity]],0)</f>
        <v>5807</v>
      </c>
      <c r="J13" s="40">
        <f t="shared" si="0"/>
        <v>-675</v>
      </c>
      <c r="K13" s="41">
        <f>'Dec 04'!$F13*'Dec 04'!$I13</f>
        <v>1699708.5416538103</v>
      </c>
      <c r="L13" s="42">
        <f>'Dec 04'!$K13/$K$2</f>
        <v>1.1768516287377013E-2</v>
      </c>
      <c r="M13" s="36"/>
    </row>
    <row r="14" spans="1:17" s="45" customFormat="1" ht="12.75" customHeight="1" x14ac:dyDescent="0.25">
      <c r="A14" s="36" t="s">
        <v>119</v>
      </c>
      <c r="B14" s="36" t="s">
        <v>128</v>
      </c>
      <c r="C14" s="36" t="s">
        <v>129</v>
      </c>
      <c r="D14" s="37">
        <v>6.731E-3</v>
      </c>
      <c r="E14" s="38">
        <f>'Dec 04'!$D14*$C$6*$C$2</f>
        <v>1699761.954332297</v>
      </c>
      <c r="F14" s="38">
        <v>24.650003815920002</v>
      </c>
      <c r="G14" s="39">
        <f>'Dec 04'!$E14/'Dec 04'!$F14</f>
        <v>68955.84954167511</v>
      </c>
      <c r="H14" s="36">
        <v>78618</v>
      </c>
      <c r="I14" s="36">
        <f>ROUND(Table1389584567991011121314456267891011121314151617181920213456789101112131415161718192021222334567891011121314151617181920345[[#This Row],[Target Quantity]],0)</f>
        <v>68956</v>
      </c>
      <c r="J14" s="40">
        <f t="shared" si="0"/>
        <v>-9662</v>
      </c>
      <c r="K14" s="41">
        <f>'Dec 04'!$F14*'Dec 04'!$I14</f>
        <v>1699765.6631305797</v>
      </c>
      <c r="L14" s="42">
        <f>'Dec 04'!$K14/$K$2</f>
        <v>1.1768911787554395E-2</v>
      </c>
      <c r="M14" s="36"/>
    </row>
    <row r="15" spans="1:17" s="45" customFormat="1" ht="12.75" customHeight="1" x14ac:dyDescent="0.25">
      <c r="A15" s="36" t="s">
        <v>119</v>
      </c>
      <c r="B15" s="36" t="s">
        <v>33</v>
      </c>
      <c r="C15" s="36" t="s">
        <v>34</v>
      </c>
      <c r="D15" s="37">
        <v>3.3649999999999999E-3</v>
      </c>
      <c r="E15" s="38">
        <f>'Dec 04'!$D15*$C$6*$C$2</f>
        <v>849754.71346429631</v>
      </c>
      <c r="F15" s="38">
        <v>38.350002032768202</v>
      </c>
      <c r="G15" s="39">
        <f>'Dec 04'!$E15/'Dec 04'!$F15</f>
        <v>22157.879228747432</v>
      </c>
      <c r="H15" s="36">
        <v>24597</v>
      </c>
      <c r="I15" s="36">
        <f>ROUND(Table1389584567991011121314456267891011121314151617181920213456789101112131415161718192021222334567891011121314151617181920345[[#This Row],[Target Quantity]],0)</f>
        <v>22158</v>
      </c>
      <c r="J15" s="40">
        <f t="shared" si="0"/>
        <v>-2439</v>
      </c>
      <c r="K15" s="41">
        <f>'Dec 04'!$F15*'Dec 04'!$I15</f>
        <v>849759.34504207782</v>
      </c>
      <c r="L15" s="42">
        <f>'Dec 04'!$K15/$K$2</f>
        <v>5.8836008923907369E-3</v>
      </c>
      <c r="M15" s="36"/>
    </row>
    <row r="16" spans="1:17" s="45" customFormat="1" ht="12.75" customHeight="1" x14ac:dyDescent="0.25">
      <c r="A16" s="36" t="s">
        <v>119</v>
      </c>
      <c r="B16" s="36" t="s">
        <v>19</v>
      </c>
      <c r="C16" s="36" t="s">
        <v>20</v>
      </c>
      <c r="D16" s="37">
        <v>6.731E-3</v>
      </c>
      <c r="E16" s="38">
        <f>'Dec 04'!$D16*$C$6*$C$2</f>
        <v>1699761.954332297</v>
      </c>
      <c r="F16" s="38">
        <v>511</v>
      </c>
      <c r="G16" s="39">
        <f>'Dec 04'!$E16/'Dec 04'!$F16</f>
        <v>3326.3443333313053</v>
      </c>
      <c r="H16" s="36">
        <v>3764</v>
      </c>
      <c r="I16" s="36">
        <f>ROUND(Table1389584567991011121314456267891011121314151617181920213456789101112131415161718192021222334567891011121314151617181920345[[#This Row],[Target Quantity]],0)</f>
        <v>3326</v>
      </c>
      <c r="J16" s="40">
        <f t="shared" si="0"/>
        <v>-438</v>
      </c>
      <c r="K16" s="41">
        <f>'Dec 04'!$F16*'Dec 04'!$I16</f>
        <v>1699586</v>
      </c>
      <c r="L16" s="42">
        <f>'Dec 04'!$K16/$K$2</f>
        <v>1.1767667828118613E-2</v>
      </c>
      <c r="M16" s="36"/>
    </row>
    <row r="17" spans="1:15" s="45" customFormat="1" ht="12.75" customHeight="1" x14ac:dyDescent="0.25">
      <c r="A17" s="36" t="s">
        <v>119</v>
      </c>
      <c r="B17" s="36" t="s">
        <v>29</v>
      </c>
      <c r="C17" s="36" t="s">
        <v>30</v>
      </c>
      <c r="D17" s="37">
        <v>3.3649999999999999E-3</v>
      </c>
      <c r="E17" s="38">
        <f>'Dec 04'!$D17*$C$6*$C$2</f>
        <v>849754.71346429631</v>
      </c>
      <c r="F17" s="38">
        <v>21.199991202410502</v>
      </c>
      <c r="G17" s="39">
        <f>'Dec 04'!$E17/'Dec 04'!$F17</f>
        <v>40082.786136612958</v>
      </c>
      <c r="H17" s="36">
        <v>45467</v>
      </c>
      <c r="I17" s="36">
        <f>ROUND(Table1389584567991011121314456267891011121314151617181920213456789101112131415161718192021222334567891011121314151617181920345[[#This Row],[Target Quantity]],0)</f>
        <v>40083</v>
      </c>
      <c r="J17" s="40">
        <f t="shared" si="0"/>
        <v>-5384</v>
      </c>
      <c r="K17" s="41">
        <f>'Dec 04'!$F17*'Dec 04'!$I17</f>
        <v>849759.24736622011</v>
      </c>
      <c r="L17" s="42">
        <f>'Dec 04'!$K17/$K$2</f>
        <v>5.8836002160983641E-3</v>
      </c>
      <c r="M17" s="36"/>
    </row>
    <row r="18" spans="1:15" s="45" customFormat="1" ht="12.75" customHeight="1" x14ac:dyDescent="0.25">
      <c r="A18" s="36" t="s">
        <v>119</v>
      </c>
      <c r="B18" s="36" t="s">
        <v>21</v>
      </c>
      <c r="C18" s="36" t="s">
        <v>22</v>
      </c>
      <c r="D18" s="37">
        <v>6.731E-3</v>
      </c>
      <c r="E18" s="38">
        <f>'Dec 04'!$D18*$C$6*$C$2</f>
        <v>1699761.954332297</v>
      </c>
      <c r="F18" s="38">
        <v>36.6999961199705</v>
      </c>
      <c r="G18" s="39">
        <f>'Dec 04'!$E18/'Dec 04'!$F18</f>
        <v>46315.044524142671</v>
      </c>
      <c r="H18" s="36">
        <v>51546</v>
      </c>
      <c r="I18" s="36">
        <f>ROUND(Table1389584567991011121314456267891011121314151617181920213456789101112131415161718192021222334567891011121314151617181920345[[#This Row],[Target Quantity]],0)</f>
        <v>46315</v>
      </c>
      <c r="J18" s="40">
        <f t="shared" si="0"/>
        <v>-5231</v>
      </c>
      <c r="K18" s="41">
        <f>'Dec 04'!$F18*'Dec 04'!$I18</f>
        <v>1699760.3202964338</v>
      </c>
      <c r="L18" s="42">
        <f>'Dec 04'!$K18/$K$2</f>
        <v>1.1768874794605822E-2</v>
      </c>
      <c r="M18" s="36"/>
    </row>
    <row r="19" spans="1:15" s="45" customFormat="1" ht="12.75" customHeight="1" x14ac:dyDescent="0.25">
      <c r="A19" s="36" t="s">
        <v>119</v>
      </c>
      <c r="B19" s="36" t="s">
        <v>37</v>
      </c>
      <c r="C19" s="36" t="s">
        <v>38</v>
      </c>
      <c r="D19" s="37">
        <v>3.3649999999999999E-3</v>
      </c>
      <c r="E19" s="38">
        <f>'Dec 04'!$D19*$C$6*$C$2</f>
        <v>849754.71346429631</v>
      </c>
      <c r="F19" s="38">
        <v>69.369996393797294</v>
      </c>
      <c r="G19" s="39">
        <f>'Dec 04'!$E19/'Dec 04'!$F19</f>
        <v>12249.600081286395</v>
      </c>
      <c r="H19" s="36">
        <v>13865</v>
      </c>
      <c r="I19" s="36">
        <f>ROUND(Table1389584567991011121314456267891011121314151617181920213456789101112131415161718192021222334567891011121314151617181920345[[#This Row],[Target Quantity]],0)</f>
        <v>12250</v>
      </c>
      <c r="J19" s="40">
        <f t="shared" si="0"/>
        <v>-1615</v>
      </c>
      <c r="K19" s="41">
        <f>'Dec 04'!$F19*'Dec 04'!$I19</f>
        <v>849782.45582401683</v>
      </c>
      <c r="L19" s="42">
        <f>'Dec 04'!$K19/$K$2</f>
        <v>5.8837609078327951E-3</v>
      </c>
      <c r="M19" s="36"/>
    </row>
    <row r="20" spans="1:15" s="45" customFormat="1" ht="12.75" customHeight="1" x14ac:dyDescent="0.25">
      <c r="A20" s="36" t="s">
        <v>119</v>
      </c>
      <c r="B20" s="36" t="s">
        <v>23</v>
      </c>
      <c r="C20" s="36" t="s">
        <v>24</v>
      </c>
      <c r="D20" s="37">
        <v>6.731E-3</v>
      </c>
      <c r="E20" s="38">
        <f>'Dec 04'!$D20*$C$6*$C$2</f>
        <v>1699761.954332297</v>
      </c>
      <c r="F20" s="38">
        <v>252.67996188401901</v>
      </c>
      <c r="G20" s="39">
        <f>'Dec 04'!$E20/'Dec 04'!$F20</f>
        <v>6726.9360880800423</v>
      </c>
      <c r="H20" s="36">
        <v>7346</v>
      </c>
      <c r="I20" s="36">
        <f>ROUND(Table1389584567991011121314456267891011121314151617181920213456789101112131415161718192021222334567891011121314151617181920345[[#This Row],[Target Quantity]],0)</f>
        <v>6727</v>
      </c>
      <c r="J20" s="40">
        <f t="shared" si="0"/>
        <v>-619</v>
      </c>
      <c r="K20" s="41">
        <f>'Dec 04'!$F20*'Dec 04'!$I20</f>
        <v>1699778.1035937958</v>
      </c>
      <c r="L20" s="42">
        <f>'Dec 04'!$K20/$K$2</f>
        <v>1.1768997923377326E-2</v>
      </c>
      <c r="M20" s="36"/>
    </row>
    <row r="21" spans="1:15" s="45" customFormat="1" ht="12.75" customHeight="1" x14ac:dyDescent="0.25">
      <c r="A21" s="36" t="s">
        <v>119</v>
      </c>
      <c r="B21" s="36" t="s">
        <v>15</v>
      </c>
      <c r="C21" s="36" t="s">
        <v>16</v>
      </c>
      <c r="D21" s="37">
        <v>3.3649999999999999E-3</v>
      </c>
      <c r="E21" s="38">
        <f>'Dec 04'!$D21*$C$6*$C$2</f>
        <v>849754.71346429631</v>
      </c>
      <c r="F21" s="38">
        <v>131.72003412484</v>
      </c>
      <c r="G21" s="39">
        <f>'Dec 04'!$E21/'Dec 04'!$F21</f>
        <v>6451.2184430420521</v>
      </c>
      <c r="H21" s="36">
        <v>7033</v>
      </c>
      <c r="I21" s="36">
        <f>ROUND(Table1389584567991011121314456267891011121314151617181920213456789101112131415161718192021222334567891011121314151617181920345[[#This Row],[Target Quantity]],0)</f>
        <v>6451</v>
      </c>
      <c r="J21" s="40">
        <f t="shared" si="0"/>
        <v>-582</v>
      </c>
      <c r="K21" s="41">
        <f>'Dec 04'!$F21*'Dec 04'!$I21</f>
        <v>849725.9401393428</v>
      </c>
      <c r="L21" s="42">
        <f>'Dec 04'!$K21/$K$2</f>
        <v>5.8833696020652009E-3</v>
      </c>
      <c r="M21" s="36"/>
    </row>
    <row r="22" spans="1:15" s="45" customFormat="1" ht="12.75" customHeight="1" x14ac:dyDescent="0.25">
      <c r="A22" s="36" t="s">
        <v>119</v>
      </c>
      <c r="B22" s="36" t="s">
        <v>27</v>
      </c>
      <c r="C22" s="36" t="s">
        <v>28</v>
      </c>
      <c r="D22" s="37">
        <v>6.731E-3</v>
      </c>
      <c r="E22" s="38">
        <f>'Dec 04'!$D22*$C$6*$C$2</f>
        <v>1699761.954332297</v>
      </c>
      <c r="F22" s="38">
        <v>44.190004217629699</v>
      </c>
      <c r="G22" s="39">
        <f>'Dec 04'!$E22/'Dec 04'!$F22</f>
        <v>38464.851597687179</v>
      </c>
      <c r="H22" s="36">
        <v>42678</v>
      </c>
      <c r="I22" s="36">
        <f>ROUND(Table1389584567991011121314456267891011121314151617181920213456789101112131415161718192021222334567891011121314151617181920345[[#This Row],[Target Quantity]],0)</f>
        <v>38465</v>
      </c>
      <c r="J22" s="40">
        <f t="shared" si="0"/>
        <v>-4213</v>
      </c>
      <c r="K22" s="41">
        <f>'Dec 04'!$F22*'Dec 04'!$I22</f>
        <v>1699768.5122311264</v>
      </c>
      <c r="L22" s="42">
        <f>'Dec 04'!$K22/$K$2</f>
        <v>1.1768931514281281E-2</v>
      </c>
      <c r="M22" s="36"/>
    </row>
    <row r="23" spans="1:15" s="45" customFormat="1" ht="12.75" customHeight="1" x14ac:dyDescent="0.25">
      <c r="A23" s="36" t="s">
        <v>119</v>
      </c>
      <c r="B23" s="36" t="s">
        <v>39</v>
      </c>
      <c r="C23" s="36" t="s">
        <v>40</v>
      </c>
      <c r="D23" s="37">
        <v>8.7499999999999994E-2</v>
      </c>
      <c r="E23" s="38">
        <f>'Dec 04'!$D23*$C$6*$C$2</f>
        <v>22096147.824108746</v>
      </c>
      <c r="F23" s="38">
        <v>305.07998892886798</v>
      </c>
      <c r="G23" s="39">
        <f>'Dec 04'!$E23/'Dec 04'!$F23</f>
        <v>72427.391588966697</v>
      </c>
      <c r="H23" s="36">
        <v>54195</v>
      </c>
      <c r="I23" s="36">
        <f>ROUND(Table1389584567991011121314456267891011121314151617181920213456789101112131415161718192021222334567891011121314151617181920345[[#This Row],[Target Quantity]],0)</f>
        <v>72427</v>
      </c>
      <c r="J23" s="40">
        <f t="shared" si="0"/>
        <v>18232</v>
      </c>
      <c r="K23" s="41">
        <f>'Dec 04'!$F23*'Dec 04'!$I23</f>
        <v>22096028.358151119</v>
      </c>
      <c r="L23" s="42">
        <f>'Dec 04'!$K23/$K$2</f>
        <v>0.15298944686494914</v>
      </c>
      <c r="M23" s="36"/>
    </row>
    <row r="24" spans="1:15" s="45" customFormat="1" ht="12.75" customHeight="1" x14ac:dyDescent="0.25">
      <c r="A24" s="36" t="s">
        <v>119</v>
      </c>
      <c r="B24" s="45" t="s">
        <v>11</v>
      </c>
      <c r="C24" s="36" t="s">
        <v>12</v>
      </c>
      <c r="D24" s="37">
        <v>6.731E-3</v>
      </c>
      <c r="E24" s="38">
        <f>'Dec 04'!$D24*$C$6*$C$2</f>
        <v>1699761.954332297</v>
      </c>
      <c r="F24" s="38">
        <v>2.54043547530536</v>
      </c>
      <c r="G24" s="39">
        <f>'Dec 04'!$E24/'Dec 04'!$F24</f>
        <v>669082.907578271</v>
      </c>
      <c r="H24" s="36">
        <v>753200</v>
      </c>
      <c r="I24" s="36">
        <f>ROUND(Table1389584567991011121314456267891011121314151617181920213456789101112131415161718192021222334567891011121314151617181920345[[#This Row],[Target Quantity]],-2)</f>
        <v>669100</v>
      </c>
      <c r="J24" s="40">
        <f t="shared" si="0"/>
        <v>-84100</v>
      </c>
      <c r="K24" s="41">
        <f>'Dec 04'!$F24*'Dec 04'!$I24</f>
        <v>1699805.3765268163</v>
      </c>
      <c r="L24" s="42">
        <f>'Dec 04'!$K24/$K$2</f>
        <v>1.1769186756902953E-2</v>
      </c>
      <c r="M24" s="36"/>
    </row>
    <row r="25" spans="1:15" s="45" customFormat="1" ht="12.75" customHeight="1" x14ac:dyDescent="0.25">
      <c r="A25" s="36"/>
      <c r="B25" s="36"/>
      <c r="C25" s="36"/>
      <c r="D25" s="37"/>
      <c r="E25" s="38"/>
      <c r="F25" s="38"/>
      <c r="G25" s="39"/>
      <c r="H25" s="36"/>
      <c r="I25" s="36"/>
      <c r="J25" s="46"/>
      <c r="K25" s="38"/>
      <c r="L25" s="47"/>
      <c r="M25" s="36"/>
    </row>
    <row r="26" spans="1:15" s="54" customFormat="1" ht="12.75" customHeight="1" x14ac:dyDescent="0.25">
      <c r="A26" s="48" t="s">
        <v>136</v>
      </c>
      <c r="B26" s="48"/>
      <c r="C26" s="48"/>
      <c r="D26" s="49">
        <f>SUM(D9:D25)</f>
        <v>0.17500099999999996</v>
      </c>
      <c r="E26" s="50">
        <f>'Dec 04'!$D26*$C$6*$C$2</f>
        <v>44192548.175621189</v>
      </c>
      <c r="F26" s="51"/>
      <c r="G26" s="51"/>
      <c r="H26" s="48"/>
      <c r="I26" s="48"/>
      <c r="J26" s="52"/>
      <c r="K26" s="50">
        <f>SUM(K9:K25)</f>
        <v>44192039.059495851</v>
      </c>
      <c r="L26" s="53">
        <f>'Dec 04'!$K26/$K$2</f>
        <v>0.30597877147693053</v>
      </c>
      <c r="M26" s="48"/>
    </row>
    <row r="27" spans="1:15" s="45" customFormat="1" ht="12.75" customHeight="1" x14ac:dyDescent="0.25">
      <c r="A27" s="36"/>
      <c r="B27" s="36"/>
      <c r="C27" s="36"/>
      <c r="D27" s="37"/>
      <c r="E27" s="38"/>
      <c r="F27" s="38"/>
      <c r="G27" s="39"/>
      <c r="H27" s="36"/>
      <c r="I27" s="36"/>
      <c r="J27" s="46"/>
      <c r="K27" s="38"/>
      <c r="L27" s="42"/>
      <c r="M27" s="36"/>
      <c r="O27" s="89"/>
    </row>
    <row r="28" spans="1:15" s="44" customFormat="1" ht="12.75" customHeight="1" x14ac:dyDescent="0.25">
      <c r="A28" s="55"/>
      <c r="B28" s="48" t="s">
        <v>31</v>
      </c>
      <c r="C28" s="55" t="s">
        <v>32</v>
      </c>
      <c r="D28" s="56">
        <v>0.02</v>
      </c>
      <c r="E28" s="57">
        <f>'Dec 04'!$D28*$C$6*$C$2</f>
        <v>5050548.0740819992</v>
      </c>
      <c r="F28" s="51">
        <v>17.539999181374</v>
      </c>
      <c r="G28" s="58">
        <f>'Dec 04'!$E28/'Dec 04'!$F28</f>
        <v>287944.60147097701</v>
      </c>
      <c r="H28" s="55">
        <v>268743</v>
      </c>
      <c r="I28" s="55">
        <f>ROUND(Table1389584567991011121314456267891011121314151617181920213456789101112131415161718192021222334567891011121314151617181920345[[#This Row],[Target Quantity]],0)</f>
        <v>287945</v>
      </c>
      <c r="J28" s="59">
        <f>I28-H28</f>
        <v>19202</v>
      </c>
      <c r="K28" s="60">
        <f>'Dec 04'!$F28*'Dec 04'!$I28</f>
        <v>5050555.0642807363</v>
      </c>
      <c r="L28" s="53">
        <f>'Dec 04'!$K28/$K$2</f>
        <v>3.4969253891287612E-2</v>
      </c>
      <c r="M28" s="48"/>
      <c r="O28" s="61"/>
    </row>
    <row r="29" spans="1:15" s="44" customFormat="1" ht="12.75" customHeight="1" x14ac:dyDescent="0.25">
      <c r="A29" s="36"/>
      <c r="B29" s="36"/>
      <c r="C29" s="36"/>
      <c r="D29" s="37"/>
      <c r="E29" s="38"/>
      <c r="F29" s="38"/>
      <c r="G29" s="39"/>
      <c r="H29" s="36"/>
      <c r="I29" s="36"/>
      <c r="J29" s="46"/>
      <c r="K29" s="41"/>
      <c r="L29" s="42"/>
      <c r="M29" s="36"/>
      <c r="O29" s="61"/>
    </row>
    <row r="30" spans="1:15" s="4" customFormat="1" ht="25.5" x14ac:dyDescent="0.2">
      <c r="A30" s="36" t="s">
        <v>137</v>
      </c>
      <c r="B30" s="62" t="s">
        <v>75</v>
      </c>
      <c r="C30" s="63" t="s">
        <v>76</v>
      </c>
      <c r="D30" s="37">
        <v>2.9499999999999998E-2</v>
      </c>
      <c r="E30" s="38">
        <f>'Dec 04'!$D30*$C$6*$C$2</f>
        <v>7449558.4092709487</v>
      </c>
      <c r="F30" s="38">
        <v>155896.88888888899</v>
      </c>
      <c r="G30" s="39">
        <f>'Dec 04'!$E30/'Dec 04'!$F30</f>
        <v>47.78516404249995</v>
      </c>
      <c r="H30" s="36">
        <v>45</v>
      </c>
      <c r="I30" s="36">
        <f>ROUND(Table1389584567991011121314456267891011121314151617181920213456789101112131415161718192021222334567891011121314151617181920345[[#This Row],[Target Quantity]],0)</f>
        <v>48</v>
      </c>
      <c r="J30" s="40">
        <f t="shared" ref="J30:J39" si="1">I30-H30</f>
        <v>3</v>
      </c>
      <c r="K30" s="41">
        <f>'Dec 04'!$F30*'Dec 04'!$I30</f>
        <v>7483050.6666666716</v>
      </c>
      <c r="L30" s="42">
        <f>'Dec 04'!$K30/$K$2</f>
        <v>5.181147325661363E-2</v>
      </c>
      <c r="M30" s="64"/>
    </row>
    <row r="31" spans="1:15" s="4" customFormat="1" ht="25.5" x14ac:dyDescent="0.2">
      <c r="A31" s="36" t="s">
        <v>137</v>
      </c>
      <c r="B31" s="62" t="s">
        <v>80</v>
      </c>
      <c r="C31" s="63" t="s">
        <v>81</v>
      </c>
      <c r="D31" s="37">
        <v>2.9499999999999998E-2</v>
      </c>
      <c r="E31" s="38">
        <f>'Dec 04'!$D31*$C$6*$C$2</f>
        <v>7449558.4092709487</v>
      </c>
      <c r="F31" s="38">
        <v>211738.66666666701</v>
      </c>
      <c r="G31" s="39">
        <f>'Dec 04'!$E31/'Dec 04'!$F31</f>
        <v>35.182796446898081</v>
      </c>
      <c r="H31" s="36">
        <v>33</v>
      </c>
      <c r="I31" s="36">
        <f>ROUND(Table1389584567991011121314456267891011121314151617181920213456789101112131415161718192021222334567891011121314151617181920345[[#This Row],[Target Quantity]],0)</f>
        <v>35</v>
      </c>
      <c r="J31" s="40">
        <f t="shared" si="1"/>
        <v>2</v>
      </c>
      <c r="K31" s="41">
        <f>'Dec 04'!$F31*'Dec 04'!$I31</f>
        <v>7410853.3333333451</v>
      </c>
      <c r="L31" s="42">
        <f>'Dec 04'!$K31/$K$2</f>
        <v>5.1311590204657129E-2</v>
      </c>
      <c r="M31" s="64"/>
    </row>
    <row r="32" spans="1:15" s="4" customFormat="1" ht="25.5" x14ac:dyDescent="0.2">
      <c r="A32" s="36" t="s">
        <v>137</v>
      </c>
      <c r="B32" s="62" t="s">
        <v>82</v>
      </c>
      <c r="C32" s="63" t="s">
        <v>83</v>
      </c>
      <c r="D32" s="37">
        <v>2.9499999999999998E-2</v>
      </c>
      <c r="E32" s="38">
        <f>'Dec 04'!$D32*$C$6*$C$2</f>
        <v>7449558.4092709487</v>
      </c>
      <c r="F32" s="38">
        <v>172660.92499999999</v>
      </c>
      <c r="G32" s="39">
        <f>'Dec 04'!$E32/'Dec 04'!$F32</f>
        <v>43.145595387438988</v>
      </c>
      <c r="H32" s="36">
        <v>40</v>
      </c>
      <c r="I32" s="36">
        <f>ROUND(Table1389584567991011121314456267891011121314151617181920213456789101112131415161718192021222334567891011121314151617181920345[[#This Row],[Target Quantity]],0)</f>
        <v>43</v>
      </c>
      <c r="J32" s="40">
        <f t="shared" si="1"/>
        <v>3</v>
      </c>
      <c r="K32" s="41">
        <f>'Dec 04'!$F32*'Dec 04'!$I32</f>
        <v>7424419.7749999994</v>
      </c>
      <c r="L32" s="42">
        <f>'Dec 04'!$K32/$K$2</f>
        <v>5.1405522126397325E-2</v>
      </c>
      <c r="M32" s="64"/>
    </row>
    <row r="33" spans="1:15" s="4" customFormat="1" ht="25.5" x14ac:dyDescent="0.2">
      <c r="A33" s="36" t="s">
        <v>137</v>
      </c>
      <c r="B33" s="62" t="s">
        <v>84</v>
      </c>
      <c r="C33" s="63" t="s">
        <v>85</v>
      </c>
      <c r="D33" s="37">
        <v>2.9499999999999998E-2</v>
      </c>
      <c r="E33" s="38">
        <f>'Dec 04'!$D33*$C$6*$C$2</f>
        <v>7449558.4092709487</v>
      </c>
      <c r="F33" s="38">
        <v>125806.41818181799</v>
      </c>
      <c r="G33" s="39">
        <f>'Dec 04'!$E33/'Dec 04'!$F33</f>
        <v>59.21445437310436</v>
      </c>
      <c r="H33" s="36">
        <v>55</v>
      </c>
      <c r="I33" s="36">
        <f>ROUND(Table1389584567991011121314456267891011121314151617181920213456789101112131415161718192021222334567891011121314151617181920345[[#This Row],[Target Quantity]],0)</f>
        <v>59</v>
      </c>
      <c r="J33" s="40">
        <f t="shared" si="1"/>
        <v>4</v>
      </c>
      <c r="K33" s="41">
        <f>'Dec 04'!$F33*'Dec 04'!$I33</f>
        <v>7422578.6727272617</v>
      </c>
      <c r="L33" s="42">
        <f>'Dec 04'!$K33/$K$2</f>
        <v>5.1392774622014976E-2</v>
      </c>
      <c r="M33" s="64"/>
    </row>
    <row r="34" spans="1:15" s="4" customFormat="1" ht="25.5" x14ac:dyDescent="0.2">
      <c r="A34" s="36" t="s">
        <v>137</v>
      </c>
      <c r="B34" s="62" t="s">
        <v>86</v>
      </c>
      <c r="C34" s="63" t="s">
        <v>87</v>
      </c>
      <c r="D34" s="37">
        <v>2.9499999999999998E-2</v>
      </c>
      <c r="E34" s="38">
        <f>'Dec 04'!$D34*$C$6*$C$2</f>
        <v>7449558.4092709487</v>
      </c>
      <c r="F34" s="38">
        <v>137609.37254901999</v>
      </c>
      <c r="G34" s="39">
        <f>'Dec 04'!$E34/'Dec 04'!$F34</f>
        <v>54.135545212352632</v>
      </c>
      <c r="H34" s="36">
        <v>51</v>
      </c>
      <c r="I34" s="36">
        <f>ROUND(Table1389584567991011121314456267891011121314151617181920213456789101112131415161718192021222334567891011121314151617181920345[[#This Row],[Target Quantity]],0)</f>
        <v>54</v>
      </c>
      <c r="J34" s="40">
        <f t="shared" si="1"/>
        <v>3</v>
      </c>
      <c r="K34" s="41">
        <f>'Dec 04'!$F34*'Dec 04'!$I34</f>
        <v>7430906.1176470798</v>
      </c>
      <c r="L34" s="42">
        <f>'Dec 04'!$K34/$K$2</f>
        <v>5.1450432549106265E-2</v>
      </c>
      <c r="M34" s="64"/>
    </row>
    <row r="35" spans="1:15" s="4" customFormat="1" ht="25.5" x14ac:dyDescent="0.2">
      <c r="A35" s="36" t="s">
        <v>137</v>
      </c>
      <c r="B35" s="62" t="s">
        <v>92</v>
      </c>
      <c r="C35" s="63" t="s">
        <v>93</v>
      </c>
      <c r="D35" s="37">
        <v>2.9499999999999998E-2</v>
      </c>
      <c r="E35" s="38">
        <f>'Dec 04'!$D35*$C$6*$C$2</f>
        <v>7449558.4092709487</v>
      </c>
      <c r="F35" s="38">
        <v>220791.870967742</v>
      </c>
      <c r="G35" s="39">
        <f>'Dec 04'!$E35/'Dec 04'!$F35</f>
        <v>33.740184258682874</v>
      </c>
      <c r="H35" s="36">
        <v>31</v>
      </c>
      <c r="I35" s="36">
        <f>ROUND(Table1389584567991011121314456267891011121314151617181920213456789101112131415161718192021222334567891011121314151617181920345[[#This Row],[Target Quantity]],0)</f>
        <v>34</v>
      </c>
      <c r="J35" s="40">
        <f t="shared" si="1"/>
        <v>3</v>
      </c>
      <c r="K35" s="41">
        <f>'Dec 04'!$F35*'Dec 04'!$I35</f>
        <v>7506923.612903228</v>
      </c>
      <c r="L35" s="42">
        <f>'Dec 04'!$K35/$K$2</f>
        <v>5.1976765805146229E-2</v>
      </c>
      <c r="M35" s="64"/>
    </row>
    <row r="36" spans="1:15" s="44" customFormat="1" ht="25.5" customHeight="1" x14ac:dyDescent="0.2">
      <c r="A36" s="36" t="s">
        <v>138</v>
      </c>
      <c r="B36" s="36" t="s">
        <v>54</v>
      </c>
      <c r="C36" s="36" t="s">
        <v>55</v>
      </c>
      <c r="D36" s="37">
        <v>2.9499999999999998E-2</v>
      </c>
      <c r="E36" s="38">
        <f>'Dec 04'!$D36*$C$6*$C$2</f>
        <v>7449558.4092709487</v>
      </c>
      <c r="F36" s="38">
        <v>115074.442622951</v>
      </c>
      <c r="G36" s="39">
        <f>'Dec 04'!$E36/'Dec 04'!$F36</f>
        <v>64.736862846947858</v>
      </c>
      <c r="H36" s="36">
        <v>61</v>
      </c>
      <c r="I36" s="36">
        <f>ROUND(Table1389584567991011121314456267891011121314151617181920213456789101112131415161718192021222334567891011121314151617181920345[[#This Row],[Target Quantity]],0)</f>
        <v>65</v>
      </c>
      <c r="J36" s="40">
        <f t="shared" si="1"/>
        <v>4</v>
      </c>
      <c r="K36" s="41">
        <f>'Dec 04'!$F36*'Dec 04'!$I36</f>
        <v>7479838.7704918152</v>
      </c>
      <c r="L36" s="42">
        <f>'Dec 04'!$K36/$K$2</f>
        <v>5.1789234589500507E-2</v>
      </c>
      <c r="M36" s="43"/>
      <c r="O36" s="4"/>
    </row>
    <row r="37" spans="1:15" s="44" customFormat="1" ht="25.5" x14ac:dyDescent="0.2">
      <c r="A37" s="36" t="s">
        <v>138</v>
      </c>
      <c r="B37" s="36" t="s">
        <v>52</v>
      </c>
      <c r="C37" s="36" t="s">
        <v>53</v>
      </c>
      <c r="D37" s="37">
        <v>2.9499999999999998E-2</v>
      </c>
      <c r="E37" s="38">
        <f>'Dec 04'!$D37*$C$6*$C$2</f>
        <v>7449558.4092709487</v>
      </c>
      <c r="F37" s="38">
        <v>137781.09803921601</v>
      </c>
      <c r="G37" s="39">
        <f>'Dec 04'!$E37/'Dec 04'!$F37</f>
        <v>54.068072582427924</v>
      </c>
      <c r="H37" s="36">
        <v>51</v>
      </c>
      <c r="I37" s="36">
        <f>ROUND(Table1389584567991011121314456267891011121314151617181920213456789101112131415161718192021222334567891011121314151617181920345[[#This Row],[Target Quantity]],0)</f>
        <v>54</v>
      </c>
      <c r="J37" s="40">
        <f t="shared" si="1"/>
        <v>3</v>
      </c>
      <c r="K37" s="41">
        <f>'Dec 04'!$F37*'Dec 04'!$I37</f>
        <v>7440179.2941176649</v>
      </c>
      <c r="L37" s="42">
        <f>'Dec 04'!$K37/$K$2</f>
        <v>5.1514638573642461E-2</v>
      </c>
      <c r="M37" s="43"/>
      <c r="O37" s="4"/>
    </row>
    <row r="38" spans="1:15" s="44" customFormat="1" ht="24.95" customHeight="1" x14ac:dyDescent="0.2">
      <c r="A38" s="36" t="s">
        <v>138</v>
      </c>
      <c r="B38" s="36" t="s">
        <v>48</v>
      </c>
      <c r="C38" s="36" t="s">
        <v>49</v>
      </c>
      <c r="D38" s="37">
        <v>2.9499999999999998E-2</v>
      </c>
      <c r="E38" s="38">
        <f>'Dec 04'!$D38*$C$6*$C$2</f>
        <v>7449558.4092709487</v>
      </c>
      <c r="F38" s="38">
        <v>184121.86842105299</v>
      </c>
      <c r="G38" s="39">
        <f>'Dec 04'!$E38/'Dec 04'!$F38</f>
        <v>40.459932723663073</v>
      </c>
      <c r="H38" s="36">
        <v>38</v>
      </c>
      <c r="I38" s="36">
        <f>ROUND(Table1389584567991011121314456267891011121314151617181920213456789101112131415161718192021222334567891011121314151617181920345[[#This Row],[Target Quantity]],0)</f>
        <v>40</v>
      </c>
      <c r="J38" s="40">
        <f t="shared" si="1"/>
        <v>2</v>
      </c>
      <c r="K38" s="41">
        <f>'Dec 04'!$F38*'Dec 04'!$I38</f>
        <v>7364874.7368421201</v>
      </c>
      <c r="L38" s="42">
        <f>'Dec 04'!$K38/$K$2</f>
        <v>5.0993241588751938E-2</v>
      </c>
      <c r="M38" s="43"/>
      <c r="O38" s="4"/>
    </row>
    <row r="39" spans="1:15" s="44" customFormat="1" ht="25.5" x14ac:dyDescent="0.2">
      <c r="A39" s="36" t="s">
        <v>138</v>
      </c>
      <c r="B39" s="36" t="s">
        <v>58</v>
      </c>
      <c r="C39" s="36" t="s">
        <v>59</v>
      </c>
      <c r="D39" s="37">
        <v>2.9499999999999998E-2</v>
      </c>
      <c r="E39" s="38">
        <f>'Dec 04'!$D39*$C$6*$C$2</f>
        <v>7449558.4092709487</v>
      </c>
      <c r="F39" s="38">
        <v>272114.92307692301</v>
      </c>
      <c r="G39" s="39">
        <f>'Dec 04'!$E39/'Dec 04'!$F39</f>
        <v>27.376515499537909</v>
      </c>
      <c r="H39" s="36">
        <v>26</v>
      </c>
      <c r="I39" s="36">
        <f>ROUND(Table1389584567991011121314456267891011121314151617181920213456789101112131415161718192021222334567891011121314151617181920345[[#This Row],[Target Quantity]],0)</f>
        <v>27</v>
      </c>
      <c r="J39" s="40">
        <f t="shared" si="1"/>
        <v>1</v>
      </c>
      <c r="K39" s="41">
        <f>'Dec 04'!$F39*'Dec 04'!$I39</f>
        <v>7347102.9230769211</v>
      </c>
      <c r="L39" s="42">
        <f>'Dec 04'!$K39/$K$2</f>
        <v>5.0870192327877789E-2</v>
      </c>
      <c r="M39" s="43"/>
      <c r="O39" s="4"/>
    </row>
    <row r="40" spans="1:15" s="66" customFormat="1" ht="12.75" x14ac:dyDescent="0.2">
      <c r="A40" s="36"/>
      <c r="B40" s="63"/>
      <c r="C40" s="63"/>
      <c r="D40" s="37"/>
      <c r="E40" s="65"/>
      <c r="F40" s="38"/>
      <c r="G40" s="39"/>
      <c r="H40" s="36"/>
      <c r="I40" s="36"/>
      <c r="J40" s="46"/>
      <c r="K40" s="38"/>
      <c r="L40" s="47"/>
      <c r="M40" s="64"/>
    </row>
    <row r="41" spans="1:15" s="17" customFormat="1" ht="12.75" x14ac:dyDescent="0.2">
      <c r="A41" s="48" t="s">
        <v>142</v>
      </c>
      <c r="B41" s="67"/>
      <c r="C41" s="67"/>
      <c r="D41" s="56">
        <f>SUBTOTAL(9,D30:D40)</f>
        <v>0.29499999999999993</v>
      </c>
      <c r="E41" s="68">
        <f>'Dec 04'!$D41*$C$6*$C$2</f>
        <v>74495584.092709467</v>
      </c>
      <c r="F41" s="69"/>
      <c r="G41" s="70"/>
      <c r="H41" s="55"/>
      <c r="I41" s="55"/>
      <c r="J41" s="59"/>
      <c r="K41" s="68">
        <f>SUM(K30:K40)</f>
        <v>74310727.902806118</v>
      </c>
      <c r="L41" s="71">
        <f>'Dec 04'!$K41/$K$2</f>
        <v>0.51451586564370833</v>
      </c>
      <c r="M41" s="72"/>
    </row>
    <row r="42" spans="1:15" s="66" customFormat="1" ht="12.75" x14ac:dyDescent="0.2">
      <c r="A42" s="36"/>
      <c r="B42" s="63"/>
      <c r="C42" s="63"/>
      <c r="D42" s="37"/>
      <c r="E42" s="65"/>
      <c r="F42" s="38"/>
      <c r="G42" s="39"/>
      <c r="H42" s="36"/>
      <c r="I42" s="36"/>
      <c r="J42" s="46"/>
      <c r="K42" s="38"/>
      <c r="L42" s="42"/>
      <c r="M42" s="64"/>
    </row>
    <row r="43" spans="1:15" s="44" customFormat="1" ht="25.5" x14ac:dyDescent="0.25">
      <c r="A43" s="36" t="s">
        <v>138</v>
      </c>
      <c r="B43" s="36" t="s">
        <v>145</v>
      </c>
      <c r="C43" s="36" t="s">
        <v>146</v>
      </c>
      <c r="D43" s="37">
        <v>0.1</v>
      </c>
      <c r="E43" s="38">
        <f>'Dec 04'!$D43*$C$6*$C$2</f>
        <v>25252740.370409999</v>
      </c>
      <c r="F43" s="38">
        <v>249393.75555555601</v>
      </c>
      <c r="G43" s="39">
        <f>'Dec 04'!$E43/'Dec 04'!$F43</f>
        <v>101.25650625917372</v>
      </c>
      <c r="H43" s="36">
        <v>45</v>
      </c>
      <c r="I43" s="36">
        <v>25</v>
      </c>
      <c r="J43" s="40">
        <f>I43-H43</f>
        <v>-20</v>
      </c>
      <c r="K43" s="41">
        <f>'Dec 04'!$F43*'Dec 04'!$I43</f>
        <v>6234843.8888889002</v>
      </c>
      <c r="L43" s="42">
        <f>'Dec 04'!$K43/$K$2</f>
        <v>4.3169084615088525E-2</v>
      </c>
      <c r="M43" s="43"/>
    </row>
    <row r="44" spans="1:15" s="44" customFormat="1" ht="25.5" x14ac:dyDescent="0.25">
      <c r="A44" s="36" t="s">
        <v>138</v>
      </c>
      <c r="B44" s="36" t="s">
        <v>149</v>
      </c>
      <c r="C44" s="36" t="s">
        <v>150</v>
      </c>
      <c r="D44" s="37">
        <v>0.1</v>
      </c>
      <c r="E44" s="38">
        <f>'Dec 04'!$D44*$C$6*$C$2</f>
        <v>25252740.370409999</v>
      </c>
      <c r="F44" s="38">
        <v>249789.8</v>
      </c>
      <c r="G44" s="39">
        <f>'Dec 04'!$E44/'Dec 04'!$F44</f>
        <v>101.09596296730291</v>
      </c>
      <c r="H44" s="36">
        <v>45</v>
      </c>
      <c r="I44" s="36">
        <v>25</v>
      </c>
      <c r="J44" s="40">
        <f>I44-H44</f>
        <v>-20</v>
      </c>
      <c r="K44" s="41">
        <f>'Dec 04'!$F44*'Dec 04'!$I44</f>
        <v>6244745</v>
      </c>
      <c r="L44" s="42">
        <f>'Dec 04'!$K44/$K$2</f>
        <v>4.3237638360932938E-2</v>
      </c>
      <c r="M44" s="43"/>
    </row>
    <row r="45" spans="1:15" s="44" customFormat="1" ht="25.5" x14ac:dyDescent="0.25">
      <c r="A45" s="36" t="s">
        <v>138</v>
      </c>
      <c r="B45" s="36" t="s">
        <v>151</v>
      </c>
      <c r="C45" s="36" t="s">
        <v>152</v>
      </c>
      <c r="D45" s="37">
        <v>0.1</v>
      </c>
      <c r="E45" s="38">
        <f>'Dec 04'!$D45*$C$6*$C$2</f>
        <v>25252740.370409999</v>
      </c>
      <c r="F45" s="38">
        <v>168052.342857143</v>
      </c>
      <c r="G45" s="39">
        <f>'Dec 04'!$E45/'Dec 04'!$F45</f>
        <v>150.26711285945422</v>
      </c>
      <c r="H45" s="36">
        <v>70</v>
      </c>
      <c r="I45" s="36">
        <v>35</v>
      </c>
      <c r="J45" s="40">
        <f>I45-H45</f>
        <v>-35</v>
      </c>
      <c r="K45" s="41">
        <f>'Dec 04'!$F45*'Dec 04'!$I45</f>
        <v>5881832.0000000047</v>
      </c>
      <c r="L45" s="42">
        <f>'Dec 04'!$K45/$K$2</f>
        <v>4.0724885470225458E-2</v>
      </c>
      <c r="M45" s="43"/>
    </row>
    <row r="46" spans="1:15" s="45" customFormat="1" ht="12.75" x14ac:dyDescent="0.25">
      <c r="A46" s="36"/>
      <c r="B46" s="36"/>
      <c r="C46" s="36"/>
      <c r="D46" s="37"/>
      <c r="E46" s="38"/>
      <c r="F46" s="38"/>
      <c r="G46" s="39"/>
      <c r="H46" s="36"/>
      <c r="I46" s="36"/>
      <c r="J46" s="46"/>
      <c r="K46" s="38"/>
      <c r="L46" s="42"/>
      <c r="M46" s="36"/>
    </row>
    <row r="47" spans="1:15" s="54" customFormat="1" ht="25.5" x14ac:dyDescent="0.25">
      <c r="A47" s="48" t="s">
        <v>153</v>
      </c>
      <c r="B47" s="48"/>
      <c r="C47" s="48"/>
      <c r="D47" s="56">
        <f>SUBTOTAL(9,D43:D46)</f>
        <v>0.30000000000000004</v>
      </c>
      <c r="E47" s="50">
        <f>'Dec 04'!$D47*$C$6*$C$2</f>
        <v>75758221.111230001</v>
      </c>
      <c r="F47" s="70"/>
      <c r="G47" s="70"/>
      <c r="H47" s="55"/>
      <c r="I47" s="55"/>
      <c r="J47" s="59"/>
      <c r="K47" s="50">
        <f>SUM(K43:K46)</f>
        <v>18361420.888888903</v>
      </c>
      <c r="L47" s="73">
        <f>'Dec 04'!$K47/$K$2</f>
        <v>0.12713160844624691</v>
      </c>
      <c r="M47" s="48"/>
    </row>
    <row r="48" spans="1:15" s="45" customFormat="1" ht="12.75" x14ac:dyDescent="0.25">
      <c r="A48" s="36"/>
      <c r="B48" s="36"/>
      <c r="C48" s="36"/>
      <c r="D48" s="37"/>
      <c r="E48" s="38"/>
      <c r="F48" s="38"/>
      <c r="G48" s="39"/>
      <c r="H48" s="36"/>
      <c r="I48" s="36"/>
      <c r="J48" s="46"/>
      <c r="K48" s="38"/>
      <c r="L48" s="42"/>
      <c r="M48" s="36"/>
    </row>
    <row r="49" spans="1:16" s="44" customFormat="1" ht="12.75" x14ac:dyDescent="0.25">
      <c r="A49" s="36"/>
      <c r="B49" s="36"/>
      <c r="C49" s="36"/>
      <c r="D49" s="37"/>
      <c r="E49" s="38"/>
      <c r="F49" s="38"/>
      <c r="G49" s="74"/>
      <c r="H49" s="36"/>
      <c r="I49" s="36"/>
      <c r="J49" s="40"/>
      <c r="K49" s="41"/>
      <c r="L49" s="42"/>
      <c r="M49" s="43"/>
    </row>
    <row r="50" spans="1:16" s="44" customFormat="1" ht="25.5" x14ac:dyDescent="0.25">
      <c r="A50" s="36" t="s">
        <v>154</v>
      </c>
      <c r="B50" s="36" t="s">
        <v>155</v>
      </c>
      <c r="C50" s="36" t="s">
        <v>46</v>
      </c>
      <c r="D50" s="37">
        <v>1E-3</v>
      </c>
      <c r="E50" s="38">
        <f>'Dec 04'!$D50*$C$6*$C$2</f>
        <v>252527.4037041</v>
      </c>
      <c r="F50" s="38">
        <v>50939</v>
      </c>
      <c r="G50" s="74">
        <f>'Dec 04'!$E50/'Dec 04'!$F50</f>
        <v>4.9574472153772158</v>
      </c>
      <c r="H50" s="36">
        <v>5</v>
      </c>
      <c r="I50" s="36">
        <v>5</v>
      </c>
      <c r="J50" s="40">
        <f t="shared" ref="J50:J59" si="2">I50-H50</f>
        <v>0</v>
      </c>
      <c r="K50" s="41">
        <f>'Dec 04'!$F50*'Dec 04'!$I50</f>
        <v>254695</v>
      </c>
      <c r="L50" s="42">
        <f>'Dec 04'!$K50/$K$2</f>
        <v>1.763468372581717E-3</v>
      </c>
      <c r="M50" s="43"/>
    </row>
    <row r="51" spans="1:16" s="44" customFormat="1" ht="25.5" x14ac:dyDescent="0.25">
      <c r="A51" s="36" t="s">
        <v>154</v>
      </c>
      <c r="B51" s="36" t="s">
        <v>156</v>
      </c>
      <c r="C51" s="36" t="s">
        <v>61</v>
      </c>
      <c r="D51" s="37">
        <v>1E-3</v>
      </c>
      <c r="E51" s="38">
        <f>'Dec 04'!$D51*$C$6*$C$2</f>
        <v>252527.4037041</v>
      </c>
      <c r="F51" s="38">
        <v>87979.666666666701</v>
      </c>
      <c r="G51" s="74">
        <f>'Dec 04'!$E51/'Dec 04'!$F51</f>
        <v>2.8702927991403304</v>
      </c>
      <c r="H51" s="36">
        <v>3</v>
      </c>
      <c r="I51" s="36">
        <v>3</v>
      </c>
      <c r="J51" s="40">
        <f t="shared" si="2"/>
        <v>0</v>
      </c>
      <c r="K51" s="41">
        <f>'Dec 04'!$F51*'Dec 04'!$I51</f>
        <v>263939.00000000012</v>
      </c>
      <c r="L51" s="42">
        <f>'Dec 04'!$K51/$K$2</f>
        <v>1.8274723837957009E-3</v>
      </c>
      <c r="M51" s="43"/>
      <c r="P51" s="44" t="s">
        <v>157</v>
      </c>
    </row>
    <row r="52" spans="1:16" s="44" customFormat="1" ht="25.5" x14ac:dyDescent="0.25">
      <c r="A52" s="36" t="s">
        <v>154</v>
      </c>
      <c r="B52" s="36" t="s">
        <v>158</v>
      </c>
      <c r="C52" s="36" t="s">
        <v>69</v>
      </c>
      <c r="D52" s="37">
        <v>1E-3</v>
      </c>
      <c r="E52" s="38">
        <f>'Dec 04'!$D52*$C$6*$C$2</f>
        <v>252527.4037041</v>
      </c>
      <c r="F52" s="38">
        <v>96417</v>
      </c>
      <c r="G52" s="74">
        <f>'Dec 04'!$E52/'Dec 04'!$F52</f>
        <v>2.6191169991194498</v>
      </c>
      <c r="H52" s="36">
        <v>3</v>
      </c>
      <c r="I52" s="36">
        <v>3</v>
      </c>
      <c r="J52" s="40">
        <f t="shared" si="2"/>
        <v>0</v>
      </c>
      <c r="K52" s="41">
        <f>'Dec 04'!$F52*'Dec 04'!$I52</f>
        <v>289251</v>
      </c>
      <c r="L52" s="42">
        <f>'Dec 04'!$K52/$K$2</f>
        <v>2.0027287156702497E-3</v>
      </c>
      <c r="M52" s="43"/>
    </row>
    <row r="53" spans="1:16" s="44" customFormat="1" ht="25.5" x14ac:dyDescent="0.25">
      <c r="A53" s="36" t="s">
        <v>154</v>
      </c>
      <c r="B53" s="36" t="s">
        <v>70</v>
      </c>
      <c r="C53" s="36" t="s">
        <v>71</v>
      </c>
      <c r="D53" s="37">
        <v>1E-3</v>
      </c>
      <c r="E53" s="38">
        <f>'Dec 04'!$D53*$C$6*$C$2</f>
        <v>252527.4037041</v>
      </c>
      <c r="F53" s="38">
        <v>234733</v>
      </c>
      <c r="G53" s="74">
        <f>'Dec 04'!$E53/'Dec 04'!$F53</f>
        <v>1.0758069964772741</v>
      </c>
      <c r="H53" s="36">
        <v>1</v>
      </c>
      <c r="I53" s="36">
        <v>1</v>
      </c>
      <c r="J53" s="40">
        <f t="shared" si="2"/>
        <v>0</v>
      </c>
      <c r="K53" s="41">
        <f>'Dec 04'!$F53*'Dec 04'!$I53</f>
        <v>234733</v>
      </c>
      <c r="L53" s="42">
        <f>'Dec 04'!$K53/$K$2</f>
        <v>1.6252546045317897E-3</v>
      </c>
      <c r="M53" s="43"/>
    </row>
    <row r="54" spans="1:16" s="44" customFormat="1" ht="25.5" x14ac:dyDescent="0.25">
      <c r="A54" s="36" t="s">
        <v>154</v>
      </c>
      <c r="B54" s="36" t="s">
        <v>159</v>
      </c>
      <c r="C54" s="36" t="s">
        <v>73</v>
      </c>
      <c r="D54" s="37">
        <v>1E-3</v>
      </c>
      <c r="E54" s="38">
        <f>'Dec 04'!$D54*$C$6*$C$2</f>
        <v>252527.4037041</v>
      </c>
      <c r="F54" s="38">
        <v>14246.833333333299</v>
      </c>
      <c r="G54" s="74">
        <f>'Dec 04'!$E54/'Dec 04'!$F54</f>
        <v>17.725160237065587</v>
      </c>
      <c r="H54" s="36">
        <v>18</v>
      </c>
      <c r="I54" s="36">
        <v>18</v>
      </c>
      <c r="J54" s="40">
        <f t="shared" si="2"/>
        <v>0</v>
      </c>
      <c r="K54" s="41">
        <f>'Dec 04'!$F54*'Dec 04'!$I54</f>
        <v>256442.99999999939</v>
      </c>
      <c r="L54" s="42">
        <f>'Dec 04'!$K54/$K$2</f>
        <v>1.7755712513789913E-3</v>
      </c>
      <c r="M54" s="43"/>
    </row>
    <row r="55" spans="1:16" s="4" customFormat="1" ht="25.5" x14ac:dyDescent="0.2">
      <c r="A55" s="36" t="s">
        <v>154</v>
      </c>
      <c r="B55" s="63" t="s">
        <v>162</v>
      </c>
      <c r="C55" s="63" t="s">
        <v>91</v>
      </c>
      <c r="D55" s="37">
        <v>1E-3</v>
      </c>
      <c r="E55" s="38">
        <f>'Dec 04'!$D55*$C$6*$C$2</f>
        <v>252527.4037041</v>
      </c>
      <c r="F55" s="38">
        <v>68941.5</v>
      </c>
      <c r="G55" s="74">
        <f>'Dec 04'!$E55/'Dec 04'!$F55</f>
        <v>3.6629229666325798</v>
      </c>
      <c r="H55" s="36">
        <v>4</v>
      </c>
      <c r="I55" s="36">
        <v>4</v>
      </c>
      <c r="J55" s="40">
        <f t="shared" si="2"/>
        <v>0</v>
      </c>
      <c r="K55" s="41">
        <f>'Dec 04'!$F55*'Dec 04'!$I55</f>
        <v>275766</v>
      </c>
      <c r="L55" s="42">
        <f>'Dec 04'!$K55/$K$2</f>
        <v>1.9093606833010847E-3</v>
      </c>
      <c r="M55" s="64"/>
    </row>
    <row r="56" spans="1:16" s="44" customFormat="1" ht="25.5" x14ac:dyDescent="0.25">
      <c r="A56" s="36" t="s">
        <v>154</v>
      </c>
      <c r="B56" s="36" t="s">
        <v>163</v>
      </c>
      <c r="C56" s="36" t="s">
        <v>67</v>
      </c>
      <c r="D56" s="37">
        <v>1E-3</v>
      </c>
      <c r="E56" s="38">
        <f>'Dec 04'!$D56*$C$6*$C$2</f>
        <v>252527.4037041</v>
      </c>
      <c r="F56" s="38">
        <v>25000</v>
      </c>
      <c r="G56" s="74">
        <f>'Dec 04'!$E56/'Dec 04'!$F56</f>
        <v>10.101096148164</v>
      </c>
      <c r="H56" s="36">
        <v>9</v>
      </c>
      <c r="I56" s="36">
        <v>9</v>
      </c>
      <c r="J56" s="40">
        <f t="shared" si="2"/>
        <v>0</v>
      </c>
      <c r="K56" s="41">
        <f>'Dec 04'!$F56*'Dec 04'!$I56</f>
        <v>225000</v>
      </c>
      <c r="L56" s="42">
        <f>'Dec 04'!$K56/$K$2</f>
        <v>1.5578648337457991E-3</v>
      </c>
      <c r="M56" s="43"/>
    </row>
    <row r="57" spans="1:16" s="44" customFormat="1" ht="25.5" x14ac:dyDescent="0.25">
      <c r="A57" s="36" t="s">
        <v>154</v>
      </c>
      <c r="B57" s="36" t="s">
        <v>77</v>
      </c>
      <c r="C57" s="36" t="s">
        <v>78</v>
      </c>
      <c r="D57" s="37">
        <v>1E-3</v>
      </c>
      <c r="E57" s="38">
        <f>'Dec 04'!$D57*$C$6*$C$2</f>
        <v>252527.4037041</v>
      </c>
      <c r="F57" s="38">
        <v>7995.9655172413804</v>
      </c>
      <c r="G57" s="74">
        <f>'Dec 04'!$E57/'Dec 04'!$F57</f>
        <v>31.581852517946114</v>
      </c>
      <c r="H57" s="36">
        <v>29</v>
      </c>
      <c r="I57" s="36">
        <v>29</v>
      </c>
      <c r="J57" s="40">
        <f t="shared" si="2"/>
        <v>0</v>
      </c>
      <c r="K57" s="41">
        <f>'Dec 04'!$F57*'Dec 04'!$I57</f>
        <v>231883.00000000003</v>
      </c>
      <c r="L57" s="42">
        <f>'Dec 04'!$K57/$K$2</f>
        <v>1.6055216499710097E-3</v>
      </c>
      <c r="M57" s="43"/>
    </row>
    <row r="58" spans="1:16" s="44" customFormat="1" ht="25.5" x14ac:dyDescent="0.25">
      <c r="A58" s="36" t="s">
        <v>154</v>
      </c>
      <c r="B58" s="36" t="s">
        <v>63</v>
      </c>
      <c r="C58" s="36" t="s">
        <v>64</v>
      </c>
      <c r="D58" s="37">
        <v>1E-3</v>
      </c>
      <c r="E58" s="38">
        <f>'Dec 04'!$D58*$C$6*$C$2</f>
        <v>252527.4037041</v>
      </c>
      <c r="F58" s="38">
        <v>27477.222222222201</v>
      </c>
      <c r="G58" s="74">
        <f>'Dec 04'!$E58/'Dec 04'!$F58</f>
        <v>9.1904269529788376</v>
      </c>
      <c r="H58" s="36">
        <v>9</v>
      </c>
      <c r="I58" s="36">
        <v>9</v>
      </c>
      <c r="J58" s="40">
        <f t="shared" si="2"/>
        <v>0</v>
      </c>
      <c r="K58" s="41">
        <f>'Dec 04'!$F58*'Dec 04'!$I58</f>
        <v>247294.9999999998</v>
      </c>
      <c r="L58" s="42">
        <f>'Dec 04'!$K58/$K$2</f>
        <v>1.7122319291607425E-3</v>
      </c>
      <c r="M58" s="43"/>
    </row>
    <row r="59" spans="1:16" s="44" customFormat="1" ht="25.5" x14ac:dyDescent="0.25">
      <c r="A59" s="36" t="s">
        <v>154</v>
      </c>
      <c r="B59" s="36" t="s">
        <v>88</v>
      </c>
      <c r="C59" s="36" t="s">
        <v>89</v>
      </c>
      <c r="D59" s="37">
        <v>1E-3</v>
      </c>
      <c r="E59" s="38">
        <f>'Dec 04'!$D59*$C$6*$C$2</f>
        <v>252527.4037041</v>
      </c>
      <c r="F59" s="38">
        <v>58675</v>
      </c>
      <c r="G59" s="74">
        <f>'Dec 04'!$E59/'Dec 04'!$F59</f>
        <v>4.3038330413992334</v>
      </c>
      <c r="H59" s="36">
        <v>4</v>
      </c>
      <c r="I59" s="36">
        <v>4</v>
      </c>
      <c r="J59" s="40">
        <f t="shared" si="2"/>
        <v>0</v>
      </c>
      <c r="K59" s="41">
        <f>'Dec 04'!$F59*'Dec 04'!$I59</f>
        <v>234700</v>
      </c>
      <c r="L59" s="42">
        <f>'Dec 04'!$K59/$K$2</f>
        <v>1.6250261176895069E-3</v>
      </c>
      <c r="M59" s="43"/>
    </row>
    <row r="60" spans="1:16" s="44" customFormat="1" ht="12.75" x14ac:dyDescent="0.25">
      <c r="A60" s="36"/>
      <c r="B60" s="36"/>
      <c r="C60" s="36"/>
      <c r="D60" s="37"/>
      <c r="E60" s="38"/>
      <c r="F60" s="38"/>
      <c r="G60" s="39"/>
      <c r="H60" s="36"/>
      <c r="I60" s="36"/>
      <c r="J60" s="43"/>
      <c r="K60" s="41"/>
      <c r="L60" s="42"/>
      <c r="M60" s="43"/>
    </row>
    <row r="61" spans="1:16" s="17" customFormat="1" ht="12.75" x14ac:dyDescent="0.2">
      <c r="A61" s="48" t="s">
        <v>164</v>
      </c>
      <c r="B61" s="67"/>
      <c r="C61" s="67"/>
      <c r="D61" s="75">
        <f>SUM(D50:D60)</f>
        <v>1.0000000000000002E-2</v>
      </c>
      <c r="E61" s="50">
        <f>SUM(E49:E60)</f>
        <v>2525274.0370410001</v>
      </c>
      <c r="F61" s="70"/>
      <c r="G61" s="70"/>
      <c r="H61" s="67"/>
      <c r="I61" s="67"/>
      <c r="J61" s="48"/>
      <c r="K61" s="50">
        <f>SUM(K49:K60)</f>
        <v>2513704.9999999995</v>
      </c>
      <c r="L61" s="53">
        <f>'Dec 04'!$K61/$K$2</f>
        <v>1.7404500541826594E-2</v>
      </c>
      <c r="M61" s="60"/>
    </row>
    <row r="62" spans="1:16" s="4" customFormat="1" ht="12.75" x14ac:dyDescent="0.2">
      <c r="A62" s="36"/>
      <c r="B62" s="63"/>
      <c r="C62" s="63"/>
      <c r="D62" s="76"/>
      <c r="E62" s="38"/>
      <c r="F62" s="38"/>
      <c r="G62" s="39"/>
      <c r="H62" s="63"/>
      <c r="I62" s="63"/>
      <c r="J62" s="36"/>
      <c r="K62" s="36"/>
      <c r="L62" s="42"/>
      <c r="M62" s="64"/>
    </row>
    <row r="63" spans="1:16" s="44" customFormat="1" ht="25.5" x14ac:dyDescent="0.25">
      <c r="A63" s="48" t="s">
        <v>165</v>
      </c>
      <c r="B63" s="55" t="s">
        <v>166</v>
      </c>
      <c r="C63" s="55" t="s">
        <v>167</v>
      </c>
      <c r="D63" s="56">
        <v>0</v>
      </c>
      <c r="E63" s="57">
        <f>'Dec 04'!$D63*$C$6*$C$2</f>
        <v>0</v>
      </c>
      <c r="F63" s="57">
        <v>0</v>
      </c>
      <c r="G63" s="58" t="s">
        <v>168</v>
      </c>
      <c r="H63" s="55">
        <v>0</v>
      </c>
      <c r="I63" s="55">
        <v>0</v>
      </c>
      <c r="J63" s="77">
        <f>I63-H63</f>
        <v>0</v>
      </c>
      <c r="K63" s="57">
        <f>'Dec 04'!$F63*'Dec 04'!$I63</f>
        <v>0</v>
      </c>
      <c r="L63" s="78">
        <f>'Dec 04'!$K63/$K$2</f>
        <v>0</v>
      </c>
      <c r="M63" s="55"/>
    </row>
    <row r="64" spans="1:16" s="4" customFormat="1" ht="12.75" x14ac:dyDescent="0.2">
      <c r="A64" s="36"/>
      <c r="B64" s="63"/>
      <c r="C64" s="63"/>
      <c r="D64" s="76"/>
      <c r="E64" s="38"/>
      <c r="F64" s="38"/>
      <c r="G64" s="39"/>
      <c r="H64" s="63"/>
      <c r="I64" s="63"/>
      <c r="J64" s="36"/>
      <c r="K64" s="36"/>
      <c r="L64" s="42"/>
      <c r="M64" s="64"/>
    </row>
    <row r="65" spans="1:13" s="4" customFormat="1" ht="12.75" x14ac:dyDescent="0.2">
      <c r="A65" s="36"/>
      <c r="B65" s="63"/>
      <c r="C65" s="63"/>
      <c r="D65" s="79"/>
      <c r="E65" s="65"/>
      <c r="F65" s="38"/>
      <c r="G65" s="39"/>
      <c r="H65" s="63"/>
      <c r="I65" s="63"/>
      <c r="J65" s="36"/>
      <c r="K65" s="36"/>
      <c r="L65" s="42"/>
      <c r="M65" s="64"/>
    </row>
    <row r="66" spans="1:13" s="17" customFormat="1" ht="12.75" x14ac:dyDescent="0.2">
      <c r="A66" s="48" t="s">
        <v>169</v>
      </c>
      <c r="B66" s="67"/>
      <c r="C66" s="67"/>
      <c r="D66" s="67"/>
      <c r="E66" s="80"/>
      <c r="F66" s="80"/>
      <c r="G66" s="48"/>
      <c r="H66" s="67"/>
      <c r="I66" s="67"/>
      <c r="J66" s="67"/>
      <c r="K66" s="80">
        <f>SUM(K26,K28,K41,K47,K61,K63:K63)</f>
        <v>144428447.91547161</v>
      </c>
      <c r="L66" s="53">
        <f>'Dec 04'!$K66/$K$2</f>
        <v>1</v>
      </c>
      <c r="M66" s="67"/>
    </row>
    <row r="67" spans="1:13" s="4" customFormat="1" ht="12.75" x14ac:dyDescent="0.2">
      <c r="A67" s="64"/>
      <c r="B67" s="64"/>
      <c r="C67" s="64"/>
      <c r="D67" s="81"/>
      <c r="E67" s="82"/>
      <c r="F67" s="38"/>
      <c r="G67" s="83"/>
      <c r="H67" s="64"/>
      <c r="I67" s="64"/>
      <c r="J67" s="64"/>
      <c r="K67" s="64"/>
      <c r="L67" s="42"/>
      <c r="M67" s="64"/>
    </row>
    <row r="68" spans="1:13" s="4" customFormat="1" ht="12.75" x14ac:dyDescent="0.2">
      <c r="A68" s="64"/>
      <c r="B68" s="64"/>
      <c r="C68" s="64"/>
      <c r="D68" s="81"/>
      <c r="E68" s="82"/>
      <c r="F68" s="38"/>
      <c r="G68" s="83"/>
      <c r="H68" s="64"/>
      <c r="I68" s="64"/>
      <c r="J68" s="64"/>
      <c r="K68" s="64"/>
      <c r="L68" s="42"/>
      <c r="M68" s="64"/>
    </row>
    <row r="69" spans="1:13" s="4" customFormat="1" ht="12.75" x14ac:dyDescent="0.2">
      <c r="A69" s="64"/>
      <c r="B69" s="64"/>
      <c r="C69" s="64"/>
      <c r="D69" s="81"/>
      <c r="E69" s="82"/>
      <c r="F69" s="38"/>
      <c r="G69" s="83"/>
      <c r="H69" s="64"/>
      <c r="I69" s="64"/>
      <c r="J69" s="64"/>
      <c r="K69" s="64"/>
      <c r="L69" s="42"/>
      <c r="M69" s="64"/>
    </row>
    <row r="70" spans="1:13" s="4" customFormat="1" ht="12.75" x14ac:dyDescent="0.2">
      <c r="A70" s="64"/>
      <c r="B70" s="64"/>
      <c r="C70" s="64"/>
      <c r="D70" s="81"/>
      <c r="E70" s="82"/>
      <c r="F70" s="38"/>
      <c r="G70" s="83"/>
      <c r="H70" s="64"/>
      <c r="I70" s="64"/>
      <c r="J70" s="64"/>
      <c r="K70" s="64"/>
      <c r="L70" s="42"/>
      <c r="M70" s="64"/>
    </row>
    <row r="71" spans="1:13" s="4" customFormat="1" ht="12.75" x14ac:dyDescent="0.2">
      <c r="A71" s="64"/>
      <c r="B71" s="64"/>
      <c r="C71" s="64"/>
      <c r="D71" s="81"/>
      <c r="E71" s="82"/>
      <c r="F71" s="38"/>
      <c r="G71" s="83"/>
      <c r="H71" s="64"/>
      <c r="I71" s="64"/>
      <c r="J71" s="64"/>
      <c r="K71" s="64"/>
      <c r="L71" s="42"/>
      <c r="M71" s="64"/>
    </row>
    <row r="72" spans="1:13" s="4" customFormat="1" ht="12.75" x14ac:dyDescent="0.2">
      <c r="A72" s="64"/>
      <c r="B72" s="64"/>
      <c r="C72" s="64"/>
      <c r="D72" s="81"/>
      <c r="E72" s="82"/>
      <c r="F72" s="38"/>
      <c r="G72" s="83"/>
      <c r="H72" s="64"/>
      <c r="I72" s="64"/>
      <c r="J72" s="64"/>
      <c r="K72" s="64"/>
      <c r="L72" s="42"/>
      <c r="M72" s="64"/>
    </row>
    <row r="73" spans="1:13" s="4" customFormat="1" ht="12.75" x14ac:dyDescent="0.2">
      <c r="A73" s="64"/>
      <c r="B73" s="64"/>
      <c r="C73" s="64"/>
      <c r="D73" s="81"/>
      <c r="E73" s="82"/>
      <c r="F73" s="38"/>
      <c r="G73" s="83"/>
      <c r="H73" s="64"/>
      <c r="I73" s="64"/>
      <c r="J73" s="64"/>
      <c r="K73" s="64"/>
      <c r="L73" s="42"/>
      <c r="M73" s="64"/>
    </row>
    <row r="74" spans="1:13" s="4" customFormat="1" ht="12.75" x14ac:dyDescent="0.2">
      <c r="A74" s="64"/>
      <c r="B74" s="64"/>
      <c r="C74" s="64"/>
      <c r="D74" s="81"/>
      <c r="E74" s="82"/>
      <c r="F74" s="38"/>
      <c r="G74" s="83"/>
      <c r="H74" s="64"/>
      <c r="I74" s="64"/>
      <c r="J74" s="64"/>
      <c r="K74" s="64"/>
      <c r="L74" s="42"/>
      <c r="M74" s="64"/>
    </row>
    <row r="75" spans="1:13" s="4" customFormat="1" ht="12.75" x14ac:dyDescent="0.2">
      <c r="A75" s="64"/>
      <c r="B75" s="64"/>
      <c r="C75" s="64"/>
      <c r="D75" s="81"/>
      <c r="E75" s="82"/>
      <c r="F75" s="38"/>
      <c r="G75" s="83"/>
      <c r="H75" s="64"/>
      <c r="I75" s="64"/>
      <c r="J75" s="64"/>
      <c r="K75" s="64"/>
      <c r="L75" s="42"/>
      <c r="M75" s="64"/>
    </row>
    <row r="76" spans="1:13" s="4" customFormat="1" ht="12.75" x14ac:dyDescent="0.2"/>
    <row r="77" spans="1:13" s="4" customFormat="1" ht="12.75" x14ac:dyDescent="0.2"/>
    <row r="79" spans="1:13" s="4" customFormat="1" ht="12.75" x14ac:dyDescent="0.2">
      <c r="A79" s="84"/>
      <c r="B79" s="84"/>
      <c r="E79" s="84"/>
      <c r="F79" s="84"/>
      <c r="G79" s="84"/>
      <c r="H79" s="85"/>
      <c r="M79" s="84"/>
    </row>
    <row r="80" spans="1:13" s="4" customFormat="1" ht="12.75" x14ac:dyDescent="0.2">
      <c r="A80" s="84"/>
      <c r="B80" s="84"/>
      <c r="E80" s="84"/>
      <c r="F80" s="84"/>
      <c r="G80" s="84"/>
      <c r="H80" s="85"/>
      <c r="M80" s="84"/>
    </row>
    <row r="81" spans="1:13" s="4" customFormat="1" ht="12.75" x14ac:dyDescent="0.2">
      <c r="A81" s="86"/>
      <c r="B81" s="86"/>
    </row>
    <row r="82" spans="1:13" s="4" customFormat="1" ht="12.75" x14ac:dyDescent="0.2">
      <c r="A82" s="87"/>
      <c r="B82" s="87"/>
      <c r="E82" s="87"/>
      <c r="F82" s="86"/>
      <c r="G82" s="86"/>
      <c r="M82" s="88"/>
    </row>
    <row r="83" spans="1:13" s="4" customFormat="1" ht="12.75" x14ac:dyDescent="0.2"/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H81"/>
  <sheetViews>
    <sheetView zoomScale="140" zoomScaleNormal="140" workbookViewId="0">
      <pane xSplit="2" topLeftCell="C1" activePane="topRight" state="frozen"/>
      <selection pane="topRight" activeCell="H21" sqref="H21"/>
    </sheetView>
  </sheetViews>
  <sheetFormatPr defaultColWidth="9.140625" defaultRowHeight="15" x14ac:dyDescent="0.25"/>
  <cols>
    <col min="1" max="2" width="15.140625" style="4" customWidth="1"/>
    <col min="3" max="3" width="29.28515625" style="4" customWidth="1"/>
    <col min="4" max="4" width="14.85546875" style="4" customWidth="1"/>
    <col min="5" max="5" width="27.42578125" style="4" customWidth="1"/>
    <col min="6" max="7" width="13.7109375" style="4" customWidth="1"/>
    <col min="8" max="8" width="16.42578125" style="4" customWidth="1"/>
    <col min="9" max="9" width="15.42578125" style="4" customWidth="1"/>
    <col min="10" max="10" width="13.42578125" customWidth="1"/>
    <col min="11" max="11" width="23.42578125" customWidth="1"/>
    <col min="12" max="12" width="13.42578125" customWidth="1"/>
    <col min="13" max="13" width="22.42578125" style="4" customWidth="1"/>
    <col min="14" max="16" width="10.85546875" style="4" customWidth="1"/>
    <col min="17" max="17" width="11.28515625" style="4" customWidth="1"/>
    <col min="18" max="1022" width="9.140625" style="4"/>
  </cols>
  <sheetData>
    <row r="1" spans="1:17" s="4" customFormat="1" ht="25.5" x14ac:dyDescent="0.2">
      <c r="A1" s="5"/>
      <c r="B1" s="5" t="s">
        <v>95</v>
      </c>
      <c r="C1" s="6">
        <v>44172</v>
      </c>
      <c r="D1" s="7"/>
      <c r="E1" s="8" t="s">
        <v>96</v>
      </c>
      <c r="F1" s="9"/>
      <c r="G1" s="10"/>
      <c r="K1" s="11" t="s">
        <v>97</v>
      </c>
      <c r="L1" s="11" t="s">
        <v>98</v>
      </c>
      <c r="M1" s="12" t="s">
        <v>99</v>
      </c>
    </row>
    <row r="2" spans="1:17" x14ac:dyDescent="0.25">
      <c r="A2" s="5"/>
      <c r="B2" s="5" t="s">
        <v>100</v>
      </c>
      <c r="C2" s="13">
        <v>4.9000000000000004</v>
      </c>
      <c r="D2" s="14"/>
      <c r="E2" s="15">
        <f>SUM(E26,E41,E45,E59,E28,E61)</f>
        <v>137234400.33727306</v>
      </c>
      <c r="F2" s="16"/>
      <c r="G2" s="17"/>
      <c r="H2" s="14"/>
      <c r="I2" s="14"/>
      <c r="J2" s="14"/>
      <c r="K2" s="15">
        <f>SUM(K26,K41,K45,K59,K28,K61:K61)</f>
        <v>136945846.66418016</v>
      </c>
      <c r="L2" s="18">
        <f>SUM(L45,L59,L41,L26,L28,L61)</f>
        <v>1</v>
      </c>
      <c r="M2" s="19">
        <f>K2/$C$6</f>
        <v>4.8896481979653039</v>
      </c>
      <c r="N2" s="20"/>
    </row>
    <row r="3" spans="1:17" ht="26.25" x14ac:dyDescent="0.25">
      <c r="A3" s="5"/>
      <c r="B3" s="5" t="s">
        <v>101</v>
      </c>
      <c r="C3" s="21">
        <v>28007300.550000001</v>
      </c>
      <c r="D3" s="22"/>
      <c r="E3" s="8" t="s">
        <v>102</v>
      </c>
      <c r="F3" s="16"/>
      <c r="H3" s="14"/>
      <c r="I3" s="14"/>
      <c r="J3" s="14"/>
      <c r="K3" s="8" t="s">
        <v>102</v>
      </c>
      <c r="L3" s="14"/>
      <c r="M3" s="12" t="s">
        <v>103</v>
      </c>
      <c r="N3" s="23"/>
    </row>
    <row r="4" spans="1:17" x14ac:dyDescent="0.25">
      <c r="A4" s="5"/>
      <c r="B4" s="5" t="s">
        <v>104</v>
      </c>
      <c r="C4" s="21">
        <v>0</v>
      </c>
      <c r="D4" s="22"/>
      <c r="E4" s="15">
        <f>SUM(E26,E59,E28)</f>
        <v>56265294.447223067</v>
      </c>
      <c r="F4" s="16"/>
      <c r="G4" s="17"/>
      <c r="H4" s="14"/>
      <c r="I4" s="14"/>
      <c r="J4" s="14"/>
      <c r="K4" s="15">
        <f>SUM(K26,K28,K59)</f>
        <v>56066201.822311409</v>
      </c>
      <c r="L4" s="14"/>
      <c r="M4" s="19">
        <f>K4/$C$6</f>
        <v>2.001842402562835</v>
      </c>
      <c r="N4" s="23"/>
    </row>
    <row r="5" spans="1:17" x14ac:dyDescent="0.25">
      <c r="A5" s="5"/>
      <c r="B5" s="5" t="s">
        <v>105</v>
      </c>
      <c r="C5" s="21">
        <v>0</v>
      </c>
      <c r="D5" s="22"/>
      <c r="E5" s="16"/>
      <c r="F5" s="16"/>
      <c r="G5" s="24">
        <f>SUM(D26,D28,D41,D45,D59,D61:D61)</f>
        <v>0.99998999999999993</v>
      </c>
      <c r="H5" s="14"/>
      <c r="I5" s="14"/>
      <c r="J5" s="14"/>
      <c r="K5" s="14"/>
      <c r="L5" s="14"/>
      <c r="M5" s="14"/>
      <c r="N5" s="23"/>
    </row>
    <row r="6" spans="1:17" x14ac:dyDescent="0.25">
      <c r="A6" s="5"/>
      <c r="B6" s="5" t="s">
        <v>106</v>
      </c>
      <c r="C6" s="21">
        <f>C3+C4-C5</f>
        <v>28007300.550000001</v>
      </c>
      <c r="D6" s="22"/>
      <c r="E6" s="16"/>
      <c r="F6" s="16"/>
      <c r="G6" s="17"/>
      <c r="H6" s="14"/>
      <c r="I6" s="14"/>
      <c r="J6" s="14"/>
      <c r="K6" s="14"/>
      <c r="L6" s="14"/>
      <c r="M6" s="14"/>
      <c r="N6" s="23"/>
    </row>
    <row r="7" spans="1:17" x14ac:dyDescent="0.25">
      <c r="A7" s="25"/>
      <c r="B7" s="26"/>
      <c r="C7" s="26"/>
      <c r="D7" s="27"/>
      <c r="E7" s="28"/>
      <c r="F7" s="28"/>
      <c r="G7" s="28"/>
      <c r="H7" s="29"/>
      <c r="I7" s="29"/>
      <c r="J7" s="29"/>
      <c r="K7" s="14"/>
      <c r="L7" s="14"/>
      <c r="M7" s="14"/>
      <c r="N7" s="23"/>
    </row>
    <row r="8" spans="1:17" s="34" customFormat="1" ht="38.25" x14ac:dyDescent="0.2">
      <c r="A8" s="30" t="s">
        <v>107</v>
      </c>
      <c r="B8" s="30" t="s">
        <v>108</v>
      </c>
      <c r="C8" s="31" t="s">
        <v>1</v>
      </c>
      <c r="D8" s="31" t="s">
        <v>109</v>
      </c>
      <c r="E8" s="31" t="s">
        <v>110</v>
      </c>
      <c r="F8" s="31" t="s">
        <v>111</v>
      </c>
      <c r="G8" s="31" t="s">
        <v>112</v>
      </c>
      <c r="H8" s="31" t="s">
        <v>113</v>
      </c>
      <c r="I8" s="31" t="s">
        <v>114</v>
      </c>
      <c r="J8" s="31" t="s">
        <v>115</v>
      </c>
      <c r="K8" s="32" t="s">
        <v>116</v>
      </c>
      <c r="L8" s="32" t="s">
        <v>117</v>
      </c>
      <c r="M8" s="32" t="s">
        <v>118</v>
      </c>
      <c r="N8" s="33"/>
      <c r="Q8" s="35"/>
    </row>
    <row r="9" spans="1:17" s="44" customFormat="1" ht="12.75" customHeight="1" x14ac:dyDescent="0.25">
      <c r="A9" s="36" t="s">
        <v>119</v>
      </c>
      <c r="B9" s="36" t="s">
        <v>120</v>
      </c>
      <c r="C9" s="36" t="s">
        <v>121</v>
      </c>
      <c r="D9" s="37">
        <v>1.0888E-2</v>
      </c>
      <c r="E9" s="38">
        <f>'Dec 07'!$D9*$C$6*$C$2</f>
        <v>1494223.0931031602</v>
      </c>
      <c r="F9" s="38">
        <v>598.22995780590702</v>
      </c>
      <c r="G9" s="39">
        <f>'Dec 07'!$E9/'Dec 07'!$F9</f>
        <v>2497.7403314662388</v>
      </c>
      <c r="H9" s="36">
        <v>2844</v>
      </c>
      <c r="I9" s="36">
        <f>ROUND(Table13895845679910111213144562678910111213141516171819202134567891011121314151617181920212223345678910111213141516171819203456[[#This Row],[Target Quantity]],0)</f>
        <v>2498</v>
      </c>
      <c r="J9" s="40">
        <f t="shared" ref="J9:J24" si="0">I9-H9</f>
        <v>-346</v>
      </c>
      <c r="K9" s="41">
        <f>'Dec 07'!$F9*'Dec 07'!$I9</f>
        <v>1494378.4345991558</v>
      </c>
      <c r="L9" s="42">
        <f>'Dec 07'!$K9/$K$2</f>
        <v>1.0912185152016213E-2</v>
      </c>
      <c r="M9" s="43"/>
    </row>
    <row r="10" spans="1:17" s="44" customFormat="1" ht="12.75" customHeight="1" x14ac:dyDescent="0.25">
      <c r="A10" s="36" t="s">
        <v>119</v>
      </c>
      <c r="B10" s="36" t="s">
        <v>122</v>
      </c>
      <c r="C10" s="36" t="s">
        <v>123</v>
      </c>
      <c r="D10" s="37">
        <v>1.0888E-2</v>
      </c>
      <c r="E10" s="38">
        <f>'Dec 07'!$D10*$C$6*$C$2</f>
        <v>1494223.0931031602</v>
      </c>
      <c r="F10" s="38">
        <v>84.949992306508705</v>
      </c>
      <c r="G10" s="39">
        <f>'Dec 07'!$E10/'Dec 07'!$F10</f>
        <v>17589.443536520197</v>
      </c>
      <c r="H10" s="36">
        <v>19497</v>
      </c>
      <c r="I10" s="36">
        <f>ROUND(Table13895845679910111213144562678910111213141516171819202134567891011121314151617181920212223345678910111213141516171819203456[[#This Row],[Target Quantity]],0)</f>
        <v>17589</v>
      </c>
      <c r="J10" s="40">
        <f t="shared" si="0"/>
        <v>-1908</v>
      </c>
      <c r="K10" s="41">
        <f>'Dec 07'!$F10*'Dec 07'!$I10</f>
        <v>1494185.4146791815</v>
      </c>
      <c r="L10" s="42">
        <f>'Dec 07'!$K10/$K$2</f>
        <v>1.0910775690359099E-2</v>
      </c>
      <c r="M10" s="43"/>
    </row>
    <row r="11" spans="1:17" s="45" customFormat="1" ht="12.75" customHeight="1" x14ac:dyDescent="0.25">
      <c r="A11" s="36" t="s">
        <v>119</v>
      </c>
      <c r="B11" s="36" t="s">
        <v>43</v>
      </c>
      <c r="C11" s="36" t="s">
        <v>44</v>
      </c>
      <c r="D11" s="37">
        <v>1.0888E-2</v>
      </c>
      <c r="E11" s="38">
        <f>'Dec 07'!$D11*$C$6*$C$2</f>
        <v>1494223.0931031602</v>
      </c>
      <c r="F11" s="38">
        <v>411.10009718173001</v>
      </c>
      <c r="G11" s="39">
        <f>'Dec 07'!$E11/'Dec 07'!$F11</f>
        <v>3634.694088730967</v>
      </c>
      <c r="H11" s="36">
        <v>4116</v>
      </c>
      <c r="I11" s="36">
        <f>ROUND(Table13895845679910111213144562678910111213141516171819202134567891011121314151617181920212223345678910111213141516171819203456[[#This Row],[Target Quantity]],0)</f>
        <v>3635</v>
      </c>
      <c r="J11" s="40">
        <f t="shared" si="0"/>
        <v>-481</v>
      </c>
      <c r="K11" s="41">
        <f>'Dec 07'!$F11*'Dec 07'!$I11</f>
        <v>1494348.8532555886</v>
      </c>
      <c r="L11" s="42">
        <f>'Dec 07'!$K11/$K$2</f>
        <v>1.0911969144416948E-2</v>
      </c>
      <c r="M11" s="36"/>
      <c r="O11" s="44"/>
    </row>
    <row r="12" spans="1:17" s="45" customFormat="1" ht="12.75" customHeight="1" x14ac:dyDescent="0.25">
      <c r="A12" s="36" t="s">
        <v>119</v>
      </c>
      <c r="B12" s="36" t="s">
        <v>126</v>
      </c>
      <c r="C12" s="36" t="s">
        <v>127</v>
      </c>
      <c r="D12" s="37">
        <v>1.0888E-2</v>
      </c>
      <c r="E12" s="38">
        <f>'Dec 07'!$D12*$C$6*$C$2</f>
        <v>1494223.0931031602</v>
      </c>
      <c r="F12" s="38">
        <v>1557.38016528926</v>
      </c>
      <c r="G12" s="39">
        <f>'Dec 07'!$E12/'Dec 07'!$F12</f>
        <v>959.44659268575606</v>
      </c>
      <c r="H12" s="36">
        <v>1089</v>
      </c>
      <c r="I12" s="36">
        <f>ROUND(Table13895845679910111213144562678910111213141516171819202134567891011121314151617181920212223345678910111213141516171819203456[[#This Row],[Target Quantity]],0)</f>
        <v>959</v>
      </c>
      <c r="J12" s="40">
        <f t="shared" si="0"/>
        <v>-130</v>
      </c>
      <c r="K12" s="41">
        <f>'Dec 07'!$F12*'Dec 07'!$I12</f>
        <v>1493527.5785124004</v>
      </c>
      <c r="L12" s="42">
        <f>'Dec 07'!$K12/$K$2</f>
        <v>1.0905972067738879E-2</v>
      </c>
      <c r="M12" s="36"/>
      <c r="O12" s="44"/>
    </row>
    <row r="13" spans="1:17" s="45" customFormat="1" ht="12.75" customHeight="1" x14ac:dyDescent="0.25">
      <c r="A13" s="36" t="s">
        <v>119</v>
      </c>
      <c r="B13" s="36" t="s">
        <v>25</v>
      </c>
      <c r="C13" s="36" t="s">
        <v>26</v>
      </c>
      <c r="D13" s="37">
        <v>1.0888E-2</v>
      </c>
      <c r="E13" s="38">
        <f>'Dec 07'!$D13*$C$6*$C$2</f>
        <v>1494223.0931031602</v>
      </c>
      <c r="F13" s="38">
        <v>294.87997244704701</v>
      </c>
      <c r="G13" s="39">
        <f>'Dec 07'!$E13/'Dec 07'!$F13</f>
        <v>5067.2247447102727</v>
      </c>
      <c r="H13" s="36">
        <v>5807</v>
      </c>
      <c r="I13" s="36">
        <f>ROUND(Table13895845679910111213144562678910111213141516171819202134567891011121314151617181920212223345678910111213141516171819203456[[#This Row],[Target Quantity]],0)</f>
        <v>5067</v>
      </c>
      <c r="J13" s="40">
        <f t="shared" si="0"/>
        <v>-740</v>
      </c>
      <c r="K13" s="41">
        <f>'Dec 07'!$F13*'Dec 07'!$I13</f>
        <v>1494156.8203891872</v>
      </c>
      <c r="L13" s="42">
        <f>'Dec 07'!$K13/$K$2</f>
        <v>1.0910566890379465E-2</v>
      </c>
      <c r="M13" s="36"/>
      <c r="O13" s="44"/>
    </row>
    <row r="14" spans="1:17" s="45" customFormat="1" ht="12.75" customHeight="1" x14ac:dyDescent="0.25">
      <c r="A14" s="36" t="s">
        <v>119</v>
      </c>
      <c r="B14" s="36" t="s">
        <v>128</v>
      </c>
      <c r="C14" s="36" t="s">
        <v>129</v>
      </c>
      <c r="D14" s="37">
        <v>1.0888E-2</v>
      </c>
      <c r="E14" s="38">
        <f>'Dec 07'!$D14*$C$6*$C$2</f>
        <v>1494223.0931031602</v>
      </c>
      <c r="F14" s="38">
        <v>25.059994779279499</v>
      </c>
      <c r="G14" s="39">
        <f>'Dec 07'!$E14/'Dec 07'!$F14</f>
        <v>59625.834173702118</v>
      </c>
      <c r="H14" s="36">
        <v>68956</v>
      </c>
      <c r="I14" s="36">
        <f>ROUND(Table13895845679910111213144562678910111213141516171819202134567891011121314151617181920212223345678910111213141516171819203456[[#This Row],[Target Quantity]],0)</f>
        <v>59626</v>
      </c>
      <c r="J14" s="40">
        <f t="shared" si="0"/>
        <v>-9330</v>
      </c>
      <c r="K14" s="41">
        <f>'Dec 07'!$F14*'Dec 07'!$I14</f>
        <v>1494227.2487093194</v>
      </c>
      <c r="L14" s="42">
        <f>'Dec 07'!$K14/$K$2</f>
        <v>1.0911081168992857E-2</v>
      </c>
      <c r="M14" s="36"/>
      <c r="O14" s="44"/>
    </row>
    <row r="15" spans="1:17" s="45" customFormat="1" ht="12.75" customHeight="1" x14ac:dyDescent="0.25">
      <c r="A15" s="36" t="s">
        <v>119</v>
      </c>
      <c r="B15" s="36" t="s">
        <v>33</v>
      </c>
      <c r="C15" s="36" t="s">
        <v>34</v>
      </c>
      <c r="D15" s="37">
        <v>5.4440000000000001E-3</v>
      </c>
      <c r="E15" s="38">
        <f>'Dec 07'!$D15*$C$6*$C$2</f>
        <v>747111.54655158008</v>
      </c>
      <c r="F15" s="38">
        <v>38.250022565213499</v>
      </c>
      <c r="G15" s="39">
        <f>'Dec 07'!$E15/'Dec 07'!$F15</f>
        <v>19532.316491521262</v>
      </c>
      <c r="H15" s="36">
        <v>22158</v>
      </c>
      <c r="I15" s="36">
        <f>ROUND(Table13895845679910111213144562678910111213141516171819202134567891011121314151617181920212223345678910111213141516171819203456[[#This Row],[Target Quantity]],0)</f>
        <v>19532</v>
      </c>
      <c r="J15" s="40">
        <f t="shared" si="0"/>
        <v>-2626</v>
      </c>
      <c r="K15" s="41">
        <f>'Dec 07'!$F15*'Dec 07'!$I15</f>
        <v>747099.44074375008</v>
      </c>
      <c r="L15" s="42">
        <f>'Dec 07'!$K15/$K$2</f>
        <v>5.4554370135502838E-3</v>
      </c>
      <c r="M15" s="36"/>
      <c r="O15" s="44"/>
    </row>
    <row r="16" spans="1:17" s="45" customFormat="1" ht="12.75" customHeight="1" x14ac:dyDescent="0.25">
      <c r="A16" s="36" t="s">
        <v>119</v>
      </c>
      <c r="B16" s="36" t="s">
        <v>19</v>
      </c>
      <c r="C16" s="36" t="s">
        <v>20</v>
      </c>
      <c r="D16" s="37">
        <v>1.0888E-2</v>
      </c>
      <c r="E16" s="38">
        <f>'Dec 07'!$D16*$C$6*$C$2</f>
        <v>1494223.0931031602</v>
      </c>
      <c r="F16" s="38">
        <v>521.72008418520795</v>
      </c>
      <c r="G16" s="39">
        <f>'Dec 07'!$E16/'Dec 07'!$F16</f>
        <v>2864.0321475006099</v>
      </c>
      <c r="H16" s="36">
        <v>3326</v>
      </c>
      <c r="I16" s="36">
        <f>ROUND(Table13895845679910111213144562678910111213141516171819202134567891011121314151617181920212223345678910111213141516171819203456[[#This Row],[Target Quantity]],0)</f>
        <v>2864</v>
      </c>
      <c r="J16" s="40">
        <f t="shared" si="0"/>
        <v>-462</v>
      </c>
      <c r="K16" s="41">
        <f>'Dec 07'!$F16*'Dec 07'!$I16</f>
        <v>1494206.3211064355</v>
      </c>
      <c r="L16" s="42">
        <f>'Dec 07'!$K16/$K$2</f>
        <v>1.0910928352362096E-2</v>
      </c>
      <c r="M16" s="36"/>
      <c r="O16" s="44"/>
    </row>
    <row r="17" spans="1:15" s="45" customFormat="1" ht="12.75" customHeight="1" x14ac:dyDescent="0.25">
      <c r="A17" s="36" t="s">
        <v>119</v>
      </c>
      <c r="B17" s="36" t="s">
        <v>29</v>
      </c>
      <c r="C17" s="36" t="s">
        <v>30</v>
      </c>
      <c r="D17" s="37">
        <v>5.4440000000000001E-3</v>
      </c>
      <c r="E17" s="38">
        <f>'Dec 07'!$D17*$C$6*$C$2</f>
        <v>747111.54655158008</v>
      </c>
      <c r="F17" s="38">
        <v>21.149988773295402</v>
      </c>
      <c r="G17" s="39">
        <f>'Dec 07'!$E17/'Dec 07'!$F17</f>
        <v>35324.441755491855</v>
      </c>
      <c r="H17" s="36">
        <v>40083</v>
      </c>
      <c r="I17" s="36">
        <f>ROUND(Table13895845679910111213144562678910111213141516171819202134567891011121314151617181920212223345678910111213141516171819203456[[#This Row],[Target Quantity]],0)</f>
        <v>35324</v>
      </c>
      <c r="J17" s="40">
        <f t="shared" si="0"/>
        <v>-4759</v>
      </c>
      <c r="K17" s="41">
        <f>'Dec 07'!$F17*'Dec 07'!$I17</f>
        <v>747102.20342788671</v>
      </c>
      <c r="L17" s="42">
        <f>'Dec 07'!$K17/$K$2</f>
        <v>5.4554571871021215E-3</v>
      </c>
      <c r="M17" s="36"/>
      <c r="O17" s="44"/>
    </row>
    <row r="18" spans="1:15" s="45" customFormat="1" ht="12.75" customHeight="1" x14ac:dyDescent="0.25">
      <c r="A18" s="36" t="s">
        <v>119</v>
      </c>
      <c r="B18" s="36" t="s">
        <v>21</v>
      </c>
      <c r="C18" s="36" t="s">
        <v>22</v>
      </c>
      <c r="D18" s="37">
        <v>1.0888E-2</v>
      </c>
      <c r="E18" s="38">
        <f>'Dec 07'!$D18*$C$6*$C$2</f>
        <v>1494223.0931031602</v>
      </c>
      <c r="F18" s="38">
        <v>37.700010795638597</v>
      </c>
      <c r="G18" s="39">
        <f>'Dec 07'!$E18/'Dec 07'!$F18</f>
        <v>39634.553454186869</v>
      </c>
      <c r="H18" s="36">
        <v>46315</v>
      </c>
      <c r="I18" s="36">
        <f>ROUND(Table13895845679910111213144562678910111213141516171819202134567891011121314151617181920212223345678910111213141516171819203456[[#This Row],[Target Quantity]],0)</f>
        <v>39635</v>
      </c>
      <c r="J18" s="40">
        <f t="shared" si="0"/>
        <v>-6680</v>
      </c>
      <c r="K18" s="41">
        <f>'Dec 07'!$F18*'Dec 07'!$I18</f>
        <v>1494239.9278851359</v>
      </c>
      <c r="L18" s="42">
        <f>'Dec 07'!$K18/$K$2</f>
        <v>1.0911173754318555E-2</v>
      </c>
      <c r="M18" s="36"/>
      <c r="O18" s="44"/>
    </row>
    <row r="19" spans="1:15" s="45" customFormat="1" ht="12.75" customHeight="1" x14ac:dyDescent="0.25">
      <c r="A19" s="36" t="s">
        <v>119</v>
      </c>
      <c r="B19" s="36" t="s">
        <v>37</v>
      </c>
      <c r="C19" s="36" t="s">
        <v>38</v>
      </c>
      <c r="D19" s="37">
        <v>5.4440000000000001E-3</v>
      </c>
      <c r="E19" s="38">
        <f>'Dec 07'!$D19*$C$6*$C$2</f>
        <v>747111.54655158008</v>
      </c>
      <c r="F19" s="38">
        <v>70.730040816326493</v>
      </c>
      <c r="G19" s="39">
        <f>'Dec 07'!$E19/'Dec 07'!$F19</f>
        <v>10562.860390420214</v>
      </c>
      <c r="H19" s="36">
        <v>12250</v>
      </c>
      <c r="I19" s="36">
        <f>ROUND(Table13895845679910111213144562678910111213141516171819202134567891011121314151617181920212223345678910111213141516171819203456[[#This Row],[Target Quantity]],0)</f>
        <v>10563</v>
      </c>
      <c r="J19" s="40">
        <f t="shared" si="0"/>
        <v>-1687</v>
      </c>
      <c r="K19" s="41">
        <f>'Dec 07'!$F19*'Dec 07'!$I19</f>
        <v>747121.42114285671</v>
      </c>
      <c r="L19" s="42">
        <f>'Dec 07'!$K19/$K$2</f>
        <v>5.4555975178637922E-3</v>
      </c>
      <c r="M19" s="36"/>
      <c r="O19" s="44"/>
    </row>
    <row r="20" spans="1:15" s="45" customFormat="1" ht="12.75" customHeight="1" x14ac:dyDescent="0.25">
      <c r="A20" s="36" t="s">
        <v>119</v>
      </c>
      <c r="B20" s="36" t="s">
        <v>23</v>
      </c>
      <c r="C20" s="36" t="s">
        <v>24</v>
      </c>
      <c r="D20" s="37">
        <v>1.0888E-2</v>
      </c>
      <c r="E20" s="38">
        <f>'Dec 07'!$D20*$C$6*$C$2</f>
        <v>1494223.0931031602</v>
      </c>
      <c r="F20" s="38">
        <v>253.39006986769701</v>
      </c>
      <c r="G20" s="39">
        <f>'Dec 07'!$E20/'Dec 07'!$F20</f>
        <v>5896.928375620013</v>
      </c>
      <c r="H20" s="36">
        <v>6727</v>
      </c>
      <c r="I20" s="36">
        <f>ROUND(Table13895845679910111213144562678910111213141516171819202134567891011121314151617181920212223345678910111213141516171819203456[[#This Row],[Target Quantity]],0)</f>
        <v>5897</v>
      </c>
      <c r="J20" s="40">
        <f t="shared" si="0"/>
        <v>-830</v>
      </c>
      <c r="K20" s="41">
        <f>'Dec 07'!$F20*'Dec 07'!$I20</f>
        <v>1494241.2420098092</v>
      </c>
      <c r="L20" s="42">
        <f>'Dec 07'!$K20/$K$2</f>
        <v>1.0911183350262539E-2</v>
      </c>
      <c r="M20" s="36"/>
      <c r="O20" s="44"/>
    </row>
    <row r="21" spans="1:15" s="45" customFormat="1" ht="12.75" customHeight="1" x14ac:dyDescent="0.25">
      <c r="A21" s="36" t="s">
        <v>119</v>
      </c>
      <c r="B21" s="36" t="s">
        <v>15</v>
      </c>
      <c r="C21" s="36" t="s">
        <v>16</v>
      </c>
      <c r="D21" s="37">
        <v>5.4440000000000001E-3</v>
      </c>
      <c r="E21" s="38">
        <f>'Dec 07'!$D21*$C$6*$C$2</f>
        <v>747111.54655158008</v>
      </c>
      <c r="F21" s="38">
        <v>138.399937994109</v>
      </c>
      <c r="G21" s="39">
        <f>'Dec 07'!$E21/'Dec 07'!$F21</f>
        <v>5398.2072346259356</v>
      </c>
      <c r="H21" s="36">
        <v>6451</v>
      </c>
      <c r="I21" s="36">
        <f>ROUND(Table13895845679910111213144562678910111213141516171819202134567891011121314151617181920212223345678910111213141516171819203456[[#This Row],[Target Quantity]],0)</f>
        <v>5398</v>
      </c>
      <c r="J21" s="40">
        <f t="shared" si="0"/>
        <v>-1053</v>
      </c>
      <c r="K21" s="41">
        <f>'Dec 07'!$F21*'Dec 07'!$I21</f>
        <v>747082.86529220035</v>
      </c>
      <c r="L21" s="42">
        <f>'Dec 07'!$K21/$K$2</f>
        <v>5.455315977009538E-3</v>
      </c>
      <c r="M21" s="36"/>
      <c r="O21" s="44"/>
    </row>
    <row r="22" spans="1:15" s="45" customFormat="1" ht="12.75" customHeight="1" x14ac:dyDescent="0.25">
      <c r="A22" s="36" t="s">
        <v>119</v>
      </c>
      <c r="B22" s="36" t="s">
        <v>27</v>
      </c>
      <c r="C22" s="36" t="s">
        <v>28</v>
      </c>
      <c r="D22" s="37">
        <v>1.0888E-2</v>
      </c>
      <c r="E22" s="38">
        <f>'Dec 07'!$D22*$C$6*$C$2</f>
        <v>1494223.0931031602</v>
      </c>
      <c r="F22" s="38">
        <v>44.2</v>
      </c>
      <c r="G22" s="39">
        <f>'Dec 07'!$E22/'Dec 07'!$F22</f>
        <v>33805.952332650682</v>
      </c>
      <c r="H22" s="36">
        <v>38465</v>
      </c>
      <c r="I22" s="36">
        <f>ROUND(Table13895845679910111213144562678910111213141516171819202134567891011121314151617181920212223345678910111213141516171819203456[[#This Row],[Target Quantity]],0)</f>
        <v>33806</v>
      </c>
      <c r="J22" s="40">
        <f t="shared" si="0"/>
        <v>-4659</v>
      </c>
      <c r="K22" s="41">
        <f>'Dec 07'!$F22*'Dec 07'!$I22</f>
        <v>1494225.2000000002</v>
      </c>
      <c r="L22" s="42">
        <f>'Dec 07'!$K22/$K$2</f>
        <v>1.091106620899685E-2</v>
      </c>
      <c r="M22" s="36"/>
      <c r="O22" s="44"/>
    </row>
    <row r="23" spans="1:15" s="45" customFormat="1" ht="12.75" customHeight="1" x14ac:dyDescent="0.25">
      <c r="A23" s="36" t="s">
        <v>119</v>
      </c>
      <c r="B23" s="36" t="s">
        <v>39</v>
      </c>
      <c r="C23" s="36" t="s">
        <v>40</v>
      </c>
      <c r="D23" s="37">
        <v>0.19600000000000001</v>
      </c>
      <c r="E23" s="38">
        <f>'Dec 07'!$D23*$C$6*$C$2</f>
        <v>26898211.448220003</v>
      </c>
      <c r="F23" s="38">
        <v>304.98998992088599</v>
      </c>
      <c r="G23" s="39">
        <f>'Dec 07'!$E23/'Dec 07'!$F23</f>
        <v>88193.751720170767</v>
      </c>
      <c r="H23" s="36">
        <v>72427</v>
      </c>
      <c r="I23" s="36">
        <f>ROUND(Table13895845679910111213144562678910111213141516171819202134567891011121314151617181920212223345678910111213141516171819203456[[#This Row],[Target Quantity]],0)</f>
        <v>88194</v>
      </c>
      <c r="J23" s="40">
        <f t="shared" si="0"/>
        <v>15767</v>
      </c>
      <c r="K23" s="41">
        <f>'Dec 07'!$F23*'Dec 07'!$I23</f>
        <v>26898287.17108262</v>
      </c>
      <c r="L23" s="42">
        <f>'Dec 07'!$K23/$K$2</f>
        <v>0.19641550164747124</v>
      </c>
      <c r="M23" s="36"/>
      <c r="O23" s="44"/>
    </row>
    <row r="24" spans="1:15" s="45" customFormat="1" ht="12.75" customHeight="1" x14ac:dyDescent="0.25">
      <c r="A24" s="36" t="s">
        <v>119</v>
      </c>
      <c r="B24" s="45" t="s">
        <v>11</v>
      </c>
      <c r="C24" s="36" t="s">
        <v>12</v>
      </c>
      <c r="D24" s="37">
        <v>2.3334000000000001E-2</v>
      </c>
      <c r="E24" s="38">
        <f>'Dec 07'!$D24*$C$6*$C$2</f>
        <v>3202259.5200651307</v>
      </c>
      <c r="F24" s="38">
        <v>2.5209893887311301</v>
      </c>
      <c r="G24" s="39">
        <f>'Dec 07'!$E24/'Dec 07'!$F24</f>
        <v>1270239.1903668023</v>
      </c>
      <c r="H24" s="36">
        <v>669100</v>
      </c>
      <c r="I24" s="36">
        <f>ROUND(Table13895845679910111213144562678910111213141516171819202134567891011121314151617181920212223345678910111213141516171819203456[[#This Row],[Target Quantity]],-2)</f>
        <v>1270200</v>
      </c>
      <c r="J24" s="40">
        <f t="shared" si="0"/>
        <v>601100</v>
      </c>
      <c r="K24" s="41">
        <f>'Dec 07'!$F24*'Dec 07'!$I24</f>
        <v>3202160.7215662813</v>
      </c>
      <c r="L24" s="42">
        <f>'Dec 07'!$K24/$K$2</f>
        <v>2.3382678624921344E-2</v>
      </c>
      <c r="M24" s="36"/>
      <c r="O24" s="44"/>
    </row>
    <row r="25" spans="1:15" s="45" customFormat="1" ht="12.75" customHeight="1" x14ac:dyDescent="0.25">
      <c r="A25" s="36"/>
      <c r="B25" s="36"/>
      <c r="C25" s="36"/>
      <c r="D25" s="37"/>
      <c r="E25" s="38"/>
      <c r="F25" s="38"/>
      <c r="G25" s="39"/>
      <c r="H25" s="36"/>
      <c r="I25" s="36"/>
      <c r="J25" s="46"/>
      <c r="K25" s="38"/>
      <c r="L25" s="47"/>
      <c r="M25" s="36"/>
    </row>
    <row r="26" spans="1:15" s="54" customFormat="1" ht="12.75" customHeight="1" x14ac:dyDescent="0.25">
      <c r="A26" s="48" t="s">
        <v>136</v>
      </c>
      <c r="B26" s="48"/>
      <c r="C26" s="48"/>
      <c r="D26" s="49">
        <f>SUM(D9:D25)</f>
        <v>0.34999000000000002</v>
      </c>
      <c r="E26" s="50">
        <f>'Dec 07'!$D26*$C$6*$C$2</f>
        <v>48031148.085523061</v>
      </c>
      <c r="F26" s="51"/>
      <c r="G26" s="51"/>
      <c r="H26" s="48"/>
      <c r="I26" s="48"/>
      <c r="J26" s="52"/>
      <c r="K26" s="50">
        <f>SUM(K9:K25)</f>
        <v>48030590.86440181</v>
      </c>
      <c r="L26" s="53">
        <f>'Dec 07'!$K26/$K$2</f>
        <v>0.35072688974776184</v>
      </c>
      <c r="M26" s="48"/>
      <c r="O26" s="90"/>
    </row>
    <row r="27" spans="1:15" s="45" customFormat="1" ht="12.75" customHeight="1" x14ac:dyDescent="0.25">
      <c r="A27" s="36"/>
      <c r="B27" s="36"/>
      <c r="C27" s="36"/>
      <c r="D27" s="37"/>
      <c r="E27" s="38"/>
      <c r="F27" s="38"/>
      <c r="G27" s="39"/>
      <c r="H27" s="36"/>
      <c r="I27" s="36"/>
      <c r="J27" s="46"/>
      <c r="K27" s="38"/>
      <c r="L27" s="42"/>
      <c r="M27" s="36"/>
      <c r="O27" s="89"/>
    </row>
    <row r="28" spans="1:15" s="44" customFormat="1" ht="12.75" customHeight="1" x14ac:dyDescent="0.25">
      <c r="A28" s="55"/>
      <c r="B28" s="48" t="s">
        <v>31</v>
      </c>
      <c r="C28" s="55" t="s">
        <v>32</v>
      </c>
      <c r="D28" s="56">
        <v>0.04</v>
      </c>
      <c r="E28" s="57">
        <f>'Dec 07'!$D28*$C$6*$C$2</f>
        <v>5489430.9078000011</v>
      </c>
      <c r="F28" s="51">
        <v>17.459997568980199</v>
      </c>
      <c r="G28" s="58">
        <f>'Dec 07'!$E28/'Dec 07'!$F28</f>
        <v>314400.43941086455</v>
      </c>
      <c r="H28" s="55">
        <v>287945</v>
      </c>
      <c r="I28" s="55">
        <f>ROUND(Table13895845679910111213144562678910111213141516171819202134567891011121314151617181920212223345678910111213141516171819203456[[#This Row],[Target Quantity]],0)</f>
        <v>314400</v>
      </c>
      <c r="J28" s="59">
        <f>I28-H28</f>
        <v>26455</v>
      </c>
      <c r="K28" s="60">
        <f>'Dec 07'!$F28*'Dec 07'!$I28</f>
        <v>5489423.2356873751</v>
      </c>
      <c r="L28" s="53">
        <f>'Dec 07'!$K28/$K$2</f>
        <v>4.0084627386682184E-2</v>
      </c>
      <c r="M28" s="48"/>
      <c r="O28" s="61"/>
    </row>
    <row r="29" spans="1:15" s="44" customFormat="1" ht="12.75" customHeight="1" x14ac:dyDescent="0.25">
      <c r="A29" s="36"/>
      <c r="B29" s="36"/>
      <c r="C29" s="36"/>
      <c r="D29" s="37"/>
      <c r="E29" s="38"/>
      <c r="F29" s="38"/>
      <c r="G29" s="39"/>
      <c r="H29" s="36"/>
      <c r="I29" s="36"/>
      <c r="J29" s="46"/>
      <c r="K29" s="41"/>
      <c r="L29" s="42"/>
      <c r="M29" s="36"/>
      <c r="O29" s="61"/>
    </row>
    <row r="30" spans="1:15" s="4" customFormat="1" ht="25.5" x14ac:dyDescent="0.2">
      <c r="A30" s="36" t="s">
        <v>137</v>
      </c>
      <c r="B30" s="62" t="s">
        <v>75</v>
      </c>
      <c r="C30" s="63" t="s">
        <v>76</v>
      </c>
      <c r="D30" s="37">
        <v>5.8999999999999997E-2</v>
      </c>
      <c r="E30" s="38">
        <f>'Dec 07'!$D30*$C$6*$C$2</f>
        <v>8096910.5890050009</v>
      </c>
      <c r="F30" s="38">
        <v>155692.6875</v>
      </c>
      <c r="G30" s="39">
        <f>'Dec 07'!$E30/'Dec 07'!$F30</f>
        <v>52.005721778070026</v>
      </c>
      <c r="H30" s="36">
        <v>48</v>
      </c>
      <c r="I30" s="36">
        <f>ROUND(Table13895845679910111213144562678910111213141516171819202134567891011121314151617181920212223345678910111213141516171819203456[[#This Row],[Target Quantity]],0)</f>
        <v>52</v>
      </c>
      <c r="J30" s="40">
        <f t="shared" ref="J30:J39" si="1">I30-H30</f>
        <v>4</v>
      </c>
      <c r="K30" s="41">
        <f>'Dec 07'!$F30*'Dec 07'!$I30</f>
        <v>8096019.75</v>
      </c>
      <c r="L30" s="42">
        <f>'Dec 07'!$K30/$K$2</f>
        <v>5.9118402983429887E-2</v>
      </c>
      <c r="M30" s="64"/>
    </row>
    <row r="31" spans="1:15" s="4" customFormat="1" ht="25.5" x14ac:dyDescent="0.2">
      <c r="A31" s="36" t="s">
        <v>137</v>
      </c>
      <c r="B31" s="62" t="s">
        <v>80</v>
      </c>
      <c r="C31" s="63" t="s">
        <v>81</v>
      </c>
      <c r="D31" s="37">
        <v>5.8999999999999997E-2</v>
      </c>
      <c r="E31" s="38">
        <f>'Dec 07'!$D31*$C$6*$C$2</f>
        <v>8096910.5890050009</v>
      </c>
      <c r="F31" s="38">
        <v>210887.48571428601</v>
      </c>
      <c r="G31" s="39">
        <f>'Dec 07'!$E31/'Dec 07'!$F31</f>
        <v>38.394457412114221</v>
      </c>
      <c r="H31" s="36">
        <v>35</v>
      </c>
      <c r="I31" s="36">
        <f>ROUND(Table13895845679910111213144562678910111213141516171819202134567891011121314151617181920212223345678910111213141516171819203456[[#This Row],[Target Quantity]],0)</f>
        <v>38</v>
      </c>
      <c r="J31" s="40">
        <f t="shared" si="1"/>
        <v>3</v>
      </c>
      <c r="K31" s="41">
        <f>'Dec 07'!$F31*'Dec 07'!$I31</f>
        <v>8013724.4571428681</v>
      </c>
      <c r="L31" s="42">
        <f>'Dec 07'!$K31/$K$2</f>
        <v>5.8517469878397961E-2</v>
      </c>
      <c r="M31" s="64"/>
    </row>
    <row r="32" spans="1:15" s="4" customFormat="1" ht="25.5" x14ac:dyDescent="0.2">
      <c r="A32" s="36" t="s">
        <v>137</v>
      </c>
      <c r="B32" s="62" t="s">
        <v>82</v>
      </c>
      <c r="C32" s="63" t="s">
        <v>83</v>
      </c>
      <c r="D32" s="37">
        <v>5.8999999999999997E-2</v>
      </c>
      <c r="E32" s="38">
        <f>'Dec 07'!$D32*$C$6*$C$2</f>
        <v>8096910.5890050009</v>
      </c>
      <c r="F32" s="38">
        <v>172199.93023255799</v>
      </c>
      <c r="G32" s="39">
        <f>'Dec 07'!$E32/'Dec 07'!$F32</f>
        <v>47.020405746216213</v>
      </c>
      <c r="H32" s="36">
        <v>43</v>
      </c>
      <c r="I32" s="36">
        <f>ROUND(Table13895845679910111213144562678910111213141516171819202134567891011121314151617181920212223345678910111213141516171819203456[[#This Row],[Target Quantity]],0)</f>
        <v>47</v>
      </c>
      <c r="J32" s="40">
        <f t="shared" si="1"/>
        <v>4</v>
      </c>
      <c r="K32" s="41">
        <f>'Dec 07'!$F32*'Dec 07'!$I32</f>
        <v>8093396.7209302252</v>
      </c>
      <c r="L32" s="42">
        <f>'Dec 07'!$K32/$K$2</f>
        <v>5.9099249214741981E-2</v>
      </c>
      <c r="M32" s="64"/>
    </row>
    <row r="33" spans="1:15" s="4" customFormat="1" ht="25.5" x14ac:dyDescent="0.2">
      <c r="A33" s="36" t="s">
        <v>137</v>
      </c>
      <c r="B33" s="62" t="s">
        <v>84</v>
      </c>
      <c r="C33" s="63" t="s">
        <v>85</v>
      </c>
      <c r="D33" s="37">
        <v>5.8999999999999997E-2</v>
      </c>
      <c r="E33" s="38">
        <f>'Dec 07'!$D33*$C$6*$C$2</f>
        <v>8096910.5890050009</v>
      </c>
      <c r="F33" s="38">
        <v>125822.677966102</v>
      </c>
      <c r="G33" s="39">
        <f>'Dec 07'!$E33/'Dec 07'!$F33</f>
        <v>64.351758521515464</v>
      </c>
      <c r="H33" s="36">
        <v>59</v>
      </c>
      <c r="I33" s="36">
        <f>ROUND(Table13895845679910111213144562678910111213141516171819202134567891011121314151617181920212223345678910111213141516171819203456[[#This Row],[Target Quantity]],0)</f>
        <v>64</v>
      </c>
      <c r="J33" s="40">
        <f t="shared" si="1"/>
        <v>5</v>
      </c>
      <c r="K33" s="41">
        <f>'Dec 07'!$F33*'Dec 07'!$I33</f>
        <v>8052651.3898305278</v>
      </c>
      <c r="L33" s="42">
        <f>'Dec 07'!$K33/$K$2</f>
        <v>5.8801720431706936E-2</v>
      </c>
      <c r="M33" s="64"/>
    </row>
    <row r="34" spans="1:15" s="4" customFormat="1" ht="25.5" x14ac:dyDescent="0.2">
      <c r="A34" s="36" t="s">
        <v>137</v>
      </c>
      <c r="B34" s="62" t="s">
        <v>86</v>
      </c>
      <c r="C34" s="63" t="s">
        <v>87</v>
      </c>
      <c r="D34" s="37">
        <v>5.8999999999999997E-2</v>
      </c>
      <c r="E34" s="38">
        <f>'Dec 07'!$D34*$C$6*$C$2</f>
        <v>8096910.5890050009</v>
      </c>
      <c r="F34" s="38">
        <v>137552.22222222199</v>
      </c>
      <c r="G34" s="39">
        <f>'Dec 07'!$E34/'Dec 07'!$F34</f>
        <v>58.864265936206152</v>
      </c>
      <c r="H34" s="36">
        <v>54</v>
      </c>
      <c r="I34" s="36">
        <f>ROUND(Table13895845679910111213144562678910111213141516171819202134567891011121314151617181920212223345678910111213141516171819203456[[#This Row],[Target Quantity]],0)</f>
        <v>59</v>
      </c>
      <c r="J34" s="40">
        <f t="shared" si="1"/>
        <v>5</v>
      </c>
      <c r="K34" s="41">
        <f>'Dec 07'!$F34*'Dec 07'!$I34</f>
        <v>8115581.111111097</v>
      </c>
      <c r="L34" s="42">
        <f>'Dec 07'!$K34/$K$2</f>
        <v>5.926124310299237E-2</v>
      </c>
      <c r="M34" s="64"/>
    </row>
    <row r="35" spans="1:15" s="4" customFormat="1" ht="25.5" x14ac:dyDescent="0.2">
      <c r="A35" s="36" t="s">
        <v>137</v>
      </c>
      <c r="B35" s="62" t="s">
        <v>92</v>
      </c>
      <c r="C35" s="63" t="s">
        <v>93</v>
      </c>
      <c r="D35" s="37">
        <v>5.8999999999999997E-2</v>
      </c>
      <c r="E35" s="38">
        <f>'Dec 07'!$D35*$C$6*$C$2</f>
        <v>8096910.5890050009</v>
      </c>
      <c r="F35" s="38">
        <v>220823.58823529401</v>
      </c>
      <c r="G35" s="39">
        <f>'Dec 07'!$E35/'Dec 07'!$F35</f>
        <v>36.666873560525175</v>
      </c>
      <c r="H35" s="36">
        <v>34</v>
      </c>
      <c r="I35" s="36">
        <f>ROUND(Table13895845679910111213144562678910111213141516171819202134567891011121314151617181920212223345678910111213141516171819203456[[#This Row],[Target Quantity]],0)</f>
        <v>37</v>
      </c>
      <c r="J35" s="40">
        <f t="shared" si="1"/>
        <v>3</v>
      </c>
      <c r="K35" s="41">
        <f>'Dec 07'!$F35*'Dec 07'!$I35</f>
        <v>8170472.7647058787</v>
      </c>
      <c r="L35" s="42">
        <f>'Dec 07'!$K35/$K$2</f>
        <v>5.9662070546334899E-2</v>
      </c>
      <c r="M35" s="64"/>
    </row>
    <row r="36" spans="1:15" s="44" customFormat="1" ht="25.5" customHeight="1" x14ac:dyDescent="0.2">
      <c r="A36" s="36" t="s">
        <v>138</v>
      </c>
      <c r="B36" s="36" t="s">
        <v>54</v>
      </c>
      <c r="C36" s="36" t="s">
        <v>55</v>
      </c>
      <c r="D36" s="37">
        <v>5.8999999999999997E-2</v>
      </c>
      <c r="E36" s="38">
        <f>'Dec 07'!$D36*$C$6*$C$2</f>
        <v>8096910.5890050009</v>
      </c>
      <c r="F36" s="38">
        <v>115320.2</v>
      </c>
      <c r="G36" s="39">
        <f>'Dec 07'!$E36/'Dec 07'!$F36</f>
        <v>70.212422359699346</v>
      </c>
      <c r="H36" s="36">
        <v>65</v>
      </c>
      <c r="I36" s="36">
        <f>ROUND(Table13895845679910111213144562678910111213141516171819202134567891011121314151617181920212223345678910111213141516171819203456[[#This Row],[Target Quantity]],0)</f>
        <v>70</v>
      </c>
      <c r="J36" s="40">
        <f t="shared" si="1"/>
        <v>5</v>
      </c>
      <c r="K36" s="41">
        <f>'Dec 07'!$F36*'Dec 07'!$I36</f>
        <v>8072414</v>
      </c>
      <c r="L36" s="42">
        <f>'Dec 07'!$K36/$K$2</f>
        <v>5.8946030103382736E-2</v>
      </c>
      <c r="M36" s="43"/>
      <c r="O36" s="4"/>
    </row>
    <row r="37" spans="1:15" s="44" customFormat="1" ht="25.5" x14ac:dyDescent="0.2">
      <c r="A37" s="36" t="s">
        <v>138</v>
      </c>
      <c r="B37" s="36" t="s">
        <v>52</v>
      </c>
      <c r="C37" s="36" t="s">
        <v>53</v>
      </c>
      <c r="D37" s="37">
        <v>5.8999999999999997E-2</v>
      </c>
      <c r="E37" s="38">
        <f>'Dec 07'!$D37*$C$6*$C$2</f>
        <v>8096910.5890050009</v>
      </c>
      <c r="F37" s="38">
        <v>136813.68518518499</v>
      </c>
      <c r="G37" s="39">
        <f>'Dec 07'!$E37/'Dec 07'!$F37</f>
        <v>59.18202245663786</v>
      </c>
      <c r="H37" s="36">
        <v>54</v>
      </c>
      <c r="I37" s="36">
        <f>ROUND(Table13895845679910111213144562678910111213141516171819202134567891011121314151617181920212223345678910111213141516171819203456[[#This Row],[Target Quantity]],0)</f>
        <v>59</v>
      </c>
      <c r="J37" s="40">
        <f t="shared" si="1"/>
        <v>5</v>
      </c>
      <c r="K37" s="41">
        <f>'Dec 07'!$F37*'Dec 07'!$I37</f>
        <v>8072007.4259259142</v>
      </c>
      <c r="L37" s="42">
        <f>'Dec 07'!$K37/$K$2</f>
        <v>5.8943061235877885E-2</v>
      </c>
      <c r="M37" s="43"/>
      <c r="O37" s="4"/>
    </row>
    <row r="38" spans="1:15" s="44" customFormat="1" ht="24.95" customHeight="1" x14ac:dyDescent="0.2">
      <c r="A38" s="36" t="s">
        <v>138</v>
      </c>
      <c r="B38" s="36" t="s">
        <v>48</v>
      </c>
      <c r="C38" s="36" t="s">
        <v>49</v>
      </c>
      <c r="D38" s="37">
        <v>5.8999999999999997E-2</v>
      </c>
      <c r="E38" s="38">
        <f>'Dec 07'!$D38*$C$6*$C$2</f>
        <v>8096910.5890050009</v>
      </c>
      <c r="F38" s="38">
        <v>182966.25</v>
      </c>
      <c r="G38" s="39">
        <f>'Dec 07'!$E38/'Dec 07'!$F38</f>
        <v>44.253574574573186</v>
      </c>
      <c r="H38" s="36">
        <v>40</v>
      </c>
      <c r="I38" s="36">
        <f>ROUND(Table13895845679910111213144562678910111213141516171819202134567891011121314151617181920212223345678910111213141516171819203456[[#This Row],[Target Quantity]],0)</f>
        <v>44</v>
      </c>
      <c r="J38" s="40">
        <f t="shared" si="1"/>
        <v>4</v>
      </c>
      <c r="K38" s="41">
        <f>'Dec 07'!$F38*'Dec 07'!$I38</f>
        <v>8050515</v>
      </c>
      <c r="L38" s="42">
        <f>'Dec 07'!$K38/$K$2</f>
        <v>5.8786120178887541E-2</v>
      </c>
      <c r="M38" s="43"/>
      <c r="O38" s="4"/>
    </row>
    <row r="39" spans="1:15" s="44" customFormat="1" ht="25.5" x14ac:dyDescent="0.2">
      <c r="A39" s="36" t="s">
        <v>138</v>
      </c>
      <c r="B39" s="36" t="s">
        <v>58</v>
      </c>
      <c r="C39" s="36" t="s">
        <v>59</v>
      </c>
      <c r="D39" s="37">
        <v>5.8999999999999997E-2</v>
      </c>
      <c r="E39" s="38">
        <f>'Dec 07'!$D39*$C$6*$C$2</f>
        <v>8096910.5890050009</v>
      </c>
      <c r="F39" s="38">
        <v>271428.74074074102</v>
      </c>
      <c r="G39" s="39">
        <f>'Dec 07'!$E39/'Dec 07'!$F39</f>
        <v>29.830704614803039</v>
      </c>
      <c r="H39" s="36">
        <v>27</v>
      </c>
      <c r="I39" s="36">
        <f>ROUND(Table13895845679910111213144562678910111213141516171819202134567891011121314151617181920212223345678910111213141516171819203456[[#This Row],[Target Quantity]],0)</f>
        <v>30</v>
      </c>
      <c r="J39" s="40">
        <f t="shared" si="1"/>
        <v>3</v>
      </c>
      <c r="K39" s="41">
        <f>'Dec 07'!$F39*'Dec 07'!$I39</f>
        <v>8142862.2222222304</v>
      </c>
      <c r="L39" s="42">
        <f>'Dec 07'!$K39/$K$2</f>
        <v>5.9460454044949831E-2</v>
      </c>
      <c r="M39" s="43"/>
      <c r="O39" s="4"/>
    </row>
    <row r="40" spans="1:15" s="66" customFormat="1" ht="12.75" x14ac:dyDescent="0.2">
      <c r="A40" s="36"/>
      <c r="B40" s="63"/>
      <c r="C40" s="63"/>
      <c r="D40" s="37"/>
      <c r="E40" s="65"/>
      <c r="F40" s="38"/>
      <c r="G40" s="39"/>
      <c r="H40" s="36"/>
      <c r="I40" s="36"/>
      <c r="J40" s="46"/>
      <c r="K40" s="38"/>
      <c r="L40" s="47"/>
      <c r="M40" s="64"/>
    </row>
    <row r="41" spans="1:15" s="17" customFormat="1" ht="12.75" x14ac:dyDescent="0.2">
      <c r="A41" s="48" t="s">
        <v>142</v>
      </c>
      <c r="B41" s="67"/>
      <c r="C41" s="67"/>
      <c r="D41" s="56">
        <f>SUBTOTAL(9,D30:D40)</f>
        <v>0.58999999999999986</v>
      </c>
      <c r="E41" s="68">
        <f>'Dec 07'!$D41*$C$6*$C$2</f>
        <v>80969105.890049994</v>
      </c>
      <c r="F41" s="69"/>
      <c r="G41" s="70"/>
      <c r="H41" s="55"/>
      <c r="I41" s="55"/>
      <c r="J41" s="59"/>
      <c r="K41" s="68">
        <f>SUM(K30:K40)</f>
        <v>80879644.841868743</v>
      </c>
      <c r="L41" s="71">
        <f>'Dec 07'!$K41/$K$2</f>
        <v>0.59059582172070202</v>
      </c>
      <c r="M41" s="72"/>
    </row>
    <row r="42" spans="1:15" s="66" customFormat="1" ht="12.75" x14ac:dyDescent="0.2">
      <c r="A42" s="36"/>
      <c r="B42" s="63"/>
      <c r="C42" s="63"/>
      <c r="D42" s="37"/>
      <c r="E42" s="65"/>
      <c r="F42" s="38"/>
      <c r="G42" s="39"/>
      <c r="H42" s="36"/>
      <c r="I42" s="36"/>
      <c r="J42" s="46"/>
      <c r="K42" s="38"/>
      <c r="L42" s="42"/>
      <c r="M42" s="64"/>
    </row>
    <row r="43" spans="1:15" s="44" customFormat="1" ht="12.75" x14ac:dyDescent="0.25">
      <c r="A43" s="36"/>
      <c r="B43" s="36" t="s">
        <v>168</v>
      </c>
      <c r="C43" s="36"/>
      <c r="D43" s="37"/>
      <c r="E43" s="38"/>
      <c r="F43" s="38"/>
      <c r="G43" s="39"/>
      <c r="H43" s="36"/>
      <c r="I43" s="36"/>
      <c r="J43" s="40"/>
      <c r="K43" s="41"/>
      <c r="L43" s="42"/>
      <c r="M43" s="43"/>
    </row>
    <row r="44" spans="1:15" s="45" customFormat="1" ht="12.75" x14ac:dyDescent="0.25">
      <c r="A44" s="36"/>
      <c r="B44" s="36"/>
      <c r="C44" s="36"/>
      <c r="D44" s="37"/>
      <c r="E44" s="38"/>
      <c r="F44" s="38"/>
      <c r="G44" s="39"/>
      <c r="H44" s="36"/>
      <c r="I44" s="36"/>
      <c r="J44" s="46"/>
      <c r="K44" s="38"/>
      <c r="L44" s="42"/>
      <c r="M44" s="36"/>
    </row>
    <row r="45" spans="1:15" s="54" customFormat="1" ht="25.5" x14ac:dyDescent="0.25">
      <c r="A45" s="48" t="s">
        <v>153</v>
      </c>
      <c r="B45" s="48"/>
      <c r="C45" s="48"/>
      <c r="D45" s="56">
        <v>0</v>
      </c>
      <c r="E45" s="50">
        <f>'Dec 07'!$D45*$C$6*$C$2</f>
        <v>0</v>
      </c>
      <c r="F45" s="70"/>
      <c r="G45" s="70"/>
      <c r="H45" s="55"/>
      <c r="I45" s="55"/>
      <c r="J45" s="59"/>
      <c r="K45" s="50">
        <f>SUM(K43:K44)</f>
        <v>0</v>
      </c>
      <c r="L45" s="73">
        <v>0</v>
      </c>
      <c r="M45" s="48"/>
    </row>
    <row r="46" spans="1:15" s="45" customFormat="1" ht="12.75" x14ac:dyDescent="0.25">
      <c r="A46" s="36"/>
      <c r="B46" s="36"/>
      <c r="C46" s="36"/>
      <c r="D46" s="37"/>
      <c r="E46" s="38"/>
      <c r="F46" s="38"/>
      <c r="G46" s="39"/>
      <c r="H46" s="36"/>
      <c r="I46" s="36"/>
      <c r="J46" s="46"/>
      <c r="K46" s="38"/>
      <c r="L46" s="42"/>
      <c r="M46" s="36"/>
    </row>
    <row r="47" spans="1:15" s="44" customFormat="1" ht="12.75" x14ac:dyDescent="0.25">
      <c r="A47" s="36"/>
      <c r="B47" s="36"/>
      <c r="C47" s="36"/>
      <c r="D47" s="37"/>
      <c r="E47" s="38"/>
      <c r="F47" s="38"/>
      <c r="G47" s="74"/>
      <c r="H47" s="36"/>
      <c r="I47" s="36"/>
      <c r="J47" s="40"/>
      <c r="K47" s="41"/>
      <c r="L47" s="42"/>
      <c r="M47" s="43"/>
    </row>
    <row r="48" spans="1:15" s="44" customFormat="1" ht="25.5" x14ac:dyDescent="0.25">
      <c r="A48" s="36" t="s">
        <v>154</v>
      </c>
      <c r="B48" s="36" t="s">
        <v>155</v>
      </c>
      <c r="C48" s="36" t="s">
        <v>46</v>
      </c>
      <c r="D48" s="37">
        <v>2E-3</v>
      </c>
      <c r="E48" s="38">
        <f>'Dec 07'!$D48*$C$6*$C$2</f>
        <v>274471.54539000004</v>
      </c>
      <c r="F48" s="38">
        <v>50144</v>
      </c>
      <c r="G48" s="74">
        <f>'Dec 07'!$E48/'Dec 07'!$F48</f>
        <v>5.473666747567008</v>
      </c>
      <c r="H48" s="36">
        <v>5</v>
      </c>
      <c r="I48" s="36">
        <v>5</v>
      </c>
      <c r="J48" s="40">
        <f t="shared" ref="J48:J57" si="2">I48-H48</f>
        <v>0</v>
      </c>
      <c r="K48" s="41">
        <f>'Dec 07'!$F48*'Dec 07'!$I48</f>
        <v>250720</v>
      </c>
      <c r="L48" s="42">
        <f>'Dec 07'!$K48/$K$2</f>
        <v>1.8307966696851921E-3</v>
      </c>
      <c r="M48" s="43"/>
    </row>
    <row r="49" spans="1:16" s="44" customFormat="1" ht="25.5" x14ac:dyDescent="0.25">
      <c r="A49" s="36" t="s">
        <v>154</v>
      </c>
      <c r="B49" s="36" t="s">
        <v>156</v>
      </c>
      <c r="C49" s="36" t="s">
        <v>61</v>
      </c>
      <c r="D49" s="37">
        <v>2E-3</v>
      </c>
      <c r="E49" s="38">
        <f>'Dec 07'!$D49*$C$6*$C$2</f>
        <v>274471.54539000004</v>
      </c>
      <c r="F49" s="38">
        <v>87120.666666666701</v>
      </c>
      <c r="G49" s="74">
        <f>'Dec 07'!$E49/'Dec 07'!$F49</f>
        <v>3.1504757239767058</v>
      </c>
      <c r="H49" s="36">
        <v>3</v>
      </c>
      <c r="I49" s="36">
        <v>3</v>
      </c>
      <c r="J49" s="40">
        <f t="shared" si="2"/>
        <v>0</v>
      </c>
      <c r="K49" s="41">
        <f>'Dec 07'!$F49*'Dec 07'!$I49</f>
        <v>261362.00000000012</v>
      </c>
      <c r="L49" s="42">
        <f>'Dec 07'!$K49/$K$2</f>
        <v>1.9085062188188473E-3</v>
      </c>
      <c r="M49" s="43"/>
      <c r="P49" s="44" t="s">
        <v>157</v>
      </c>
    </row>
    <row r="50" spans="1:16" s="44" customFormat="1" ht="25.5" x14ac:dyDescent="0.25">
      <c r="A50" s="36" t="s">
        <v>154</v>
      </c>
      <c r="B50" s="36" t="s">
        <v>158</v>
      </c>
      <c r="C50" s="36" t="s">
        <v>69</v>
      </c>
      <c r="D50" s="37">
        <v>2E-3</v>
      </c>
      <c r="E50" s="38">
        <f>'Dec 07'!$D50*$C$6*$C$2</f>
        <v>274471.54539000004</v>
      </c>
      <c r="F50" s="38">
        <v>97739</v>
      </c>
      <c r="G50" s="74">
        <f>'Dec 07'!$E50/'Dec 07'!$F50</f>
        <v>2.8082090607638714</v>
      </c>
      <c r="H50" s="36">
        <v>3</v>
      </c>
      <c r="I50" s="36">
        <v>3</v>
      </c>
      <c r="J50" s="40">
        <f t="shared" si="2"/>
        <v>0</v>
      </c>
      <c r="K50" s="41">
        <f>'Dec 07'!$F50*'Dec 07'!$I50</f>
        <v>293217</v>
      </c>
      <c r="L50" s="42">
        <f>'Dec 07'!$K50/$K$2</f>
        <v>2.1411164131105733E-3</v>
      </c>
      <c r="M50" s="43"/>
    </row>
    <row r="51" spans="1:16" s="44" customFormat="1" ht="25.5" x14ac:dyDescent="0.25">
      <c r="A51" s="36" t="s">
        <v>154</v>
      </c>
      <c r="B51" s="36" t="s">
        <v>70</v>
      </c>
      <c r="C51" s="36" t="s">
        <v>71</v>
      </c>
      <c r="D51" s="37">
        <v>2E-3</v>
      </c>
      <c r="E51" s="38">
        <f>'Dec 07'!$D51*$C$6*$C$2</f>
        <v>274471.54539000004</v>
      </c>
      <c r="F51" s="38">
        <v>232906</v>
      </c>
      <c r="G51" s="74">
        <f>'Dec 07'!$E51/'Dec 07'!$F51</f>
        <v>1.1784648973834939</v>
      </c>
      <c r="H51" s="36">
        <v>1</v>
      </c>
      <c r="I51" s="36">
        <v>1</v>
      </c>
      <c r="J51" s="40">
        <f t="shared" si="2"/>
        <v>0</v>
      </c>
      <c r="K51" s="41">
        <f>'Dec 07'!$F51*'Dec 07'!$I51</f>
        <v>232906</v>
      </c>
      <c r="L51" s="42">
        <f>'Dec 07'!$K51/$K$2</f>
        <v>1.700716054362234E-3</v>
      </c>
      <c r="M51" s="43"/>
    </row>
    <row r="52" spans="1:16" s="44" customFormat="1" ht="25.5" x14ac:dyDescent="0.25">
      <c r="A52" s="36" t="s">
        <v>154</v>
      </c>
      <c r="B52" s="36" t="s">
        <v>159</v>
      </c>
      <c r="C52" s="36" t="s">
        <v>73</v>
      </c>
      <c r="D52" s="37">
        <v>2E-3</v>
      </c>
      <c r="E52" s="38">
        <f>'Dec 07'!$D52*$C$6*$C$2</f>
        <v>274471.54539000004</v>
      </c>
      <c r="F52" s="38">
        <v>14532.722222222201</v>
      </c>
      <c r="G52" s="74">
        <f>'Dec 07'!$E52/'Dec 07'!$F52</f>
        <v>18.886450947937444</v>
      </c>
      <c r="H52" s="36">
        <v>18</v>
      </c>
      <c r="I52" s="36">
        <v>19</v>
      </c>
      <c r="J52" s="40">
        <f t="shared" si="2"/>
        <v>1</v>
      </c>
      <c r="K52" s="41">
        <f>'Dec 07'!$F52*'Dec 07'!$I52</f>
        <v>276121.72222222184</v>
      </c>
      <c r="L52" s="42">
        <f>'Dec 07'!$K52/$K$2</f>
        <v>2.0162840199113891E-3</v>
      </c>
      <c r="M52" s="43"/>
    </row>
    <row r="53" spans="1:16" s="4" customFormat="1" ht="25.5" x14ac:dyDescent="0.2">
      <c r="A53" s="36" t="s">
        <v>154</v>
      </c>
      <c r="B53" s="63" t="s">
        <v>162</v>
      </c>
      <c r="C53" s="63" t="s">
        <v>91</v>
      </c>
      <c r="D53" s="37">
        <v>2E-3</v>
      </c>
      <c r="E53" s="38">
        <f>'Dec 07'!$D53*$C$6*$C$2</f>
        <v>274471.54539000004</v>
      </c>
      <c r="F53" s="38">
        <v>67960</v>
      </c>
      <c r="G53" s="74">
        <f>'Dec 07'!$E53/'Dec 07'!$F53</f>
        <v>4.0387219745438498</v>
      </c>
      <c r="H53" s="36">
        <v>4</v>
      </c>
      <c r="I53" s="36">
        <v>4</v>
      </c>
      <c r="J53" s="40">
        <f t="shared" si="2"/>
        <v>0</v>
      </c>
      <c r="K53" s="41">
        <f>'Dec 07'!$F53*'Dec 07'!$I53</f>
        <v>271840</v>
      </c>
      <c r="L53" s="42">
        <f>'Dec 07'!$K53/$K$2</f>
        <v>1.98501821429173E-3</v>
      </c>
      <c r="M53" s="64"/>
    </row>
    <row r="54" spans="1:16" s="44" customFormat="1" ht="25.5" x14ac:dyDescent="0.25">
      <c r="A54" s="36" t="s">
        <v>154</v>
      </c>
      <c r="B54" s="36" t="s">
        <v>163</v>
      </c>
      <c r="C54" s="36" t="s">
        <v>67</v>
      </c>
      <c r="D54" s="37">
        <v>2E-3</v>
      </c>
      <c r="E54" s="38">
        <f>'Dec 07'!$D54*$C$6*$C$2</f>
        <v>274471.54539000004</v>
      </c>
      <c r="F54" s="38">
        <v>24310</v>
      </c>
      <c r="G54" s="74">
        <f>'Dec 07'!$E54/'Dec 07'!$F54</f>
        <v>11.290479037021804</v>
      </c>
      <c r="H54" s="36">
        <v>9</v>
      </c>
      <c r="I54" s="36">
        <v>9</v>
      </c>
      <c r="J54" s="40">
        <f t="shared" si="2"/>
        <v>0</v>
      </c>
      <c r="K54" s="41">
        <f>'Dec 07'!$F54*'Dec 07'!$I54</f>
        <v>218790</v>
      </c>
      <c r="L54" s="42">
        <f>'Dec 07'!$K54/$K$2</f>
        <v>1.5976388136583566E-3</v>
      </c>
      <c r="M54" s="43"/>
    </row>
    <row r="55" spans="1:16" s="44" customFormat="1" ht="25.5" x14ac:dyDescent="0.25">
      <c r="A55" s="36" t="s">
        <v>154</v>
      </c>
      <c r="B55" s="36" t="s">
        <v>77</v>
      </c>
      <c r="C55" s="36" t="s">
        <v>78</v>
      </c>
      <c r="D55" s="37">
        <v>2E-3</v>
      </c>
      <c r="E55" s="38">
        <f>'Dec 07'!$D55*$C$6*$C$2</f>
        <v>274471.54539000004</v>
      </c>
      <c r="F55" s="38">
        <v>7940</v>
      </c>
      <c r="G55" s="74">
        <f>'Dec 07'!$E55/'Dec 07'!$F55</f>
        <v>34.568204709068013</v>
      </c>
      <c r="H55" s="36">
        <v>29</v>
      </c>
      <c r="I55" s="36">
        <v>34</v>
      </c>
      <c r="J55" s="40">
        <f t="shared" si="2"/>
        <v>5</v>
      </c>
      <c r="K55" s="41">
        <f>'Dec 07'!$F55*'Dec 07'!$I55</f>
        <v>269960</v>
      </c>
      <c r="L55" s="42">
        <f>'Dec 07'!$K55/$K$2</f>
        <v>1.9712901601316784E-3</v>
      </c>
      <c r="M55" s="43"/>
    </row>
    <row r="56" spans="1:16" s="44" customFormat="1" ht="25.5" x14ac:dyDescent="0.25">
      <c r="A56" s="36" t="s">
        <v>154</v>
      </c>
      <c r="B56" s="36" t="s">
        <v>63</v>
      </c>
      <c r="C56" s="36" t="s">
        <v>64</v>
      </c>
      <c r="D56" s="37">
        <v>2E-3</v>
      </c>
      <c r="E56" s="38">
        <f>'Dec 07'!$D56*$C$6*$C$2</f>
        <v>274471.54539000004</v>
      </c>
      <c r="F56" s="38">
        <v>26696.666666666701</v>
      </c>
      <c r="G56" s="74">
        <f>'Dec 07'!$E56/'Dec 07'!$F56</f>
        <v>10.281116695842167</v>
      </c>
      <c r="H56" s="36">
        <v>9</v>
      </c>
      <c r="I56" s="36">
        <v>9</v>
      </c>
      <c r="J56" s="40">
        <f t="shared" si="2"/>
        <v>0</v>
      </c>
      <c r="K56" s="41">
        <f>'Dec 07'!$F56*'Dec 07'!$I56</f>
        <v>240270.00000000029</v>
      </c>
      <c r="L56" s="42">
        <f>'Dec 07'!$K56/$K$2</f>
        <v>1.7544891345934175E-3</v>
      </c>
      <c r="M56" s="43"/>
    </row>
    <row r="57" spans="1:16" s="44" customFormat="1" ht="25.5" x14ac:dyDescent="0.25">
      <c r="A57" s="36" t="s">
        <v>154</v>
      </c>
      <c r="B57" s="36" t="s">
        <v>88</v>
      </c>
      <c r="C57" s="36" t="s">
        <v>89</v>
      </c>
      <c r="D57" s="37">
        <v>2E-3</v>
      </c>
      <c r="E57" s="38">
        <f>'Dec 07'!$D57*$C$6*$C$2</f>
        <v>274471.54539000004</v>
      </c>
      <c r="F57" s="38">
        <v>57750.25</v>
      </c>
      <c r="G57" s="74">
        <f>'Dec 07'!$E57/'Dec 07'!$F57</f>
        <v>4.7527334581235587</v>
      </c>
      <c r="H57" s="36">
        <v>4</v>
      </c>
      <c r="I57" s="36">
        <v>4</v>
      </c>
      <c r="J57" s="40">
        <f t="shared" si="2"/>
        <v>0</v>
      </c>
      <c r="K57" s="41">
        <f>'Dec 07'!$F57*'Dec 07'!$I57</f>
        <v>231001</v>
      </c>
      <c r="L57" s="42">
        <f>'Dec 07'!$K57/$K$2</f>
        <v>1.6868054462904796E-3</v>
      </c>
      <c r="M57" s="43"/>
    </row>
    <row r="58" spans="1:16" s="44" customFormat="1" ht="12.75" x14ac:dyDescent="0.25">
      <c r="A58" s="36"/>
      <c r="B58" s="36"/>
      <c r="C58" s="36"/>
      <c r="D58" s="37"/>
      <c r="E58" s="38"/>
      <c r="F58" s="38"/>
      <c r="G58" s="39"/>
      <c r="H58" s="36"/>
      <c r="I58" s="36"/>
      <c r="J58" s="43"/>
      <c r="K58" s="41"/>
      <c r="L58" s="42"/>
      <c r="M58" s="43"/>
    </row>
    <row r="59" spans="1:16" s="17" customFormat="1" ht="12.75" x14ac:dyDescent="0.2">
      <c r="A59" s="48" t="s">
        <v>164</v>
      </c>
      <c r="B59" s="67"/>
      <c r="C59" s="67"/>
      <c r="D59" s="75">
        <f>SUM(D48:D58)</f>
        <v>2.0000000000000004E-2</v>
      </c>
      <c r="E59" s="50">
        <f>SUM(E47:E58)</f>
        <v>2744715.4539000005</v>
      </c>
      <c r="F59" s="70"/>
      <c r="G59" s="70"/>
      <c r="H59" s="67"/>
      <c r="I59" s="67"/>
      <c r="J59" s="48"/>
      <c r="K59" s="50">
        <f>SUM(K47:K58)</f>
        <v>2546187.7222222225</v>
      </c>
      <c r="L59" s="53">
        <f>'Dec 07'!$K59/$K$2</f>
        <v>1.85926611448539E-2</v>
      </c>
      <c r="M59" s="60"/>
    </row>
    <row r="60" spans="1:16" s="4" customFormat="1" ht="12.75" x14ac:dyDescent="0.2">
      <c r="A60" s="36"/>
      <c r="B60" s="63"/>
      <c r="C60" s="63"/>
      <c r="D60" s="76"/>
      <c r="E60" s="38"/>
      <c r="F60" s="38"/>
      <c r="G60" s="39"/>
      <c r="H60" s="63"/>
      <c r="I60" s="63"/>
      <c r="J60" s="36"/>
      <c r="K60" s="36"/>
      <c r="L60" s="42"/>
      <c r="M60" s="64"/>
    </row>
    <row r="61" spans="1:16" s="44" customFormat="1" ht="25.5" x14ac:dyDescent="0.25">
      <c r="A61" s="48" t="s">
        <v>165</v>
      </c>
      <c r="B61" s="55" t="s">
        <v>166</v>
      </c>
      <c r="C61" s="55" t="s">
        <v>167</v>
      </c>
      <c r="D61" s="56">
        <v>0</v>
      </c>
      <c r="E61" s="57">
        <f>'Dec 07'!$D61*$C$6*$C$2</f>
        <v>0</v>
      </c>
      <c r="F61" s="57">
        <v>0</v>
      </c>
      <c r="G61" s="58" t="s">
        <v>168</v>
      </c>
      <c r="H61" s="55">
        <v>0</v>
      </c>
      <c r="I61" s="55">
        <v>0</v>
      </c>
      <c r="J61" s="77">
        <f>I61-H61</f>
        <v>0</v>
      </c>
      <c r="K61" s="57">
        <f>'Dec 07'!$F61*'Dec 07'!$I61</f>
        <v>0</v>
      </c>
      <c r="L61" s="78">
        <f>'Dec 07'!$K61/$K$2</f>
        <v>0</v>
      </c>
      <c r="M61" s="55"/>
    </row>
    <row r="62" spans="1:16" s="4" customFormat="1" ht="12.75" x14ac:dyDescent="0.2">
      <c r="A62" s="36"/>
      <c r="B62" s="63"/>
      <c r="C62" s="63"/>
      <c r="D62" s="76"/>
      <c r="E62" s="38"/>
      <c r="F62" s="38"/>
      <c r="G62" s="39"/>
      <c r="H62" s="63"/>
      <c r="I62" s="63"/>
      <c r="J62" s="36"/>
      <c r="K62" s="36"/>
      <c r="L62" s="42"/>
      <c r="M62" s="64"/>
    </row>
    <row r="63" spans="1:16" s="4" customFormat="1" ht="12.75" x14ac:dyDescent="0.2">
      <c r="A63" s="36"/>
      <c r="B63" s="63"/>
      <c r="C63" s="63"/>
      <c r="D63" s="79"/>
      <c r="E63" s="65"/>
      <c r="F63" s="38"/>
      <c r="G63" s="39"/>
      <c r="H63" s="63"/>
      <c r="I63" s="63"/>
      <c r="J63" s="36"/>
      <c r="K63" s="36"/>
      <c r="L63" s="42"/>
      <c r="M63" s="64"/>
    </row>
    <row r="64" spans="1:16" s="17" customFormat="1" ht="12.75" x14ac:dyDescent="0.2">
      <c r="A64" s="48" t="s">
        <v>169</v>
      </c>
      <c r="B64" s="67"/>
      <c r="C64" s="67"/>
      <c r="D64" s="67"/>
      <c r="E64" s="80"/>
      <c r="F64" s="80"/>
      <c r="G64" s="48"/>
      <c r="H64" s="67"/>
      <c r="I64" s="67"/>
      <c r="J64" s="67"/>
      <c r="K64" s="80">
        <f>SUM(K26,K28,K41,K45,K59,K61:K61)</f>
        <v>136945846.66418013</v>
      </c>
      <c r="L64" s="53">
        <f>'Dec 07'!$K64/$K$2</f>
        <v>0.99999999999999978</v>
      </c>
      <c r="M64" s="67"/>
    </row>
    <row r="65" spans="1:13" s="4" customFormat="1" ht="12.75" x14ac:dyDescent="0.2">
      <c r="A65" s="64"/>
      <c r="B65" s="64"/>
      <c r="C65" s="64"/>
      <c r="D65" s="81"/>
      <c r="E65" s="82"/>
      <c r="F65" s="38"/>
      <c r="G65" s="83"/>
      <c r="H65" s="64"/>
      <c r="I65" s="64"/>
      <c r="J65" s="64"/>
      <c r="K65" s="64"/>
      <c r="L65" s="42"/>
      <c r="M65" s="64"/>
    </row>
    <row r="66" spans="1:13" s="4" customFormat="1" ht="12.75" x14ac:dyDescent="0.2">
      <c r="A66" s="64"/>
      <c r="B66" s="64"/>
      <c r="C66" s="64"/>
      <c r="D66" s="81"/>
      <c r="E66" s="82"/>
      <c r="F66" s="38"/>
      <c r="G66" s="83"/>
      <c r="H66" s="64"/>
      <c r="I66" s="64"/>
      <c r="J66" s="64"/>
      <c r="K66" s="64"/>
      <c r="L66" s="42"/>
      <c r="M66" s="64"/>
    </row>
    <row r="67" spans="1:13" s="4" customFormat="1" ht="12.75" x14ac:dyDescent="0.2">
      <c r="A67" s="64"/>
      <c r="B67" s="64"/>
      <c r="C67" s="64"/>
      <c r="D67" s="81"/>
      <c r="E67" s="82"/>
      <c r="F67" s="38"/>
      <c r="G67" s="83"/>
      <c r="H67" s="64"/>
      <c r="I67" s="64"/>
      <c r="J67" s="64"/>
      <c r="K67" s="64"/>
      <c r="L67" s="42"/>
      <c r="M67" s="64"/>
    </row>
    <row r="68" spans="1:13" s="4" customFormat="1" ht="12.75" x14ac:dyDescent="0.2">
      <c r="A68" s="64"/>
      <c r="B68" s="64"/>
      <c r="C68" s="64"/>
      <c r="D68" s="81"/>
      <c r="E68" s="82"/>
      <c r="F68" s="38"/>
      <c r="G68" s="83"/>
      <c r="H68" s="64"/>
      <c r="I68" s="64"/>
      <c r="J68" s="64"/>
      <c r="K68" s="64"/>
      <c r="L68" s="42"/>
      <c r="M68" s="64"/>
    </row>
    <row r="69" spans="1:13" s="4" customFormat="1" ht="12.75" x14ac:dyDescent="0.2">
      <c r="A69" s="64"/>
      <c r="B69" s="64"/>
      <c r="C69" s="64"/>
      <c r="D69" s="81"/>
      <c r="E69" s="82"/>
      <c r="F69" s="38"/>
      <c r="G69" s="83"/>
      <c r="H69" s="64"/>
      <c r="I69" s="64"/>
      <c r="J69" s="64"/>
      <c r="K69" s="64"/>
      <c r="L69" s="42"/>
      <c r="M69" s="64"/>
    </row>
    <row r="70" spans="1:13" s="4" customFormat="1" ht="12.75" x14ac:dyDescent="0.2">
      <c r="A70" s="64"/>
      <c r="B70" s="64"/>
      <c r="C70" s="64"/>
      <c r="D70" s="81"/>
      <c r="E70" s="82"/>
      <c r="F70" s="38"/>
      <c r="G70" s="83"/>
      <c r="H70" s="64"/>
      <c r="I70" s="64"/>
      <c r="J70" s="64"/>
      <c r="K70" s="64"/>
      <c r="L70" s="42"/>
      <c r="M70" s="64"/>
    </row>
    <row r="71" spans="1:13" s="4" customFormat="1" ht="12.75" x14ac:dyDescent="0.2">
      <c r="A71" s="64"/>
      <c r="B71" s="64"/>
      <c r="C71" s="64"/>
      <c r="D71" s="81"/>
      <c r="E71" s="82"/>
      <c r="F71" s="38"/>
      <c r="G71" s="83"/>
      <c r="H71" s="64"/>
      <c r="I71" s="64"/>
      <c r="J71" s="64"/>
      <c r="K71" s="64"/>
      <c r="L71" s="42"/>
      <c r="M71" s="64"/>
    </row>
    <row r="72" spans="1:13" s="4" customFormat="1" ht="12.75" x14ac:dyDescent="0.2">
      <c r="A72" s="64"/>
      <c r="B72" s="64"/>
      <c r="C72" s="64"/>
      <c r="D72" s="81"/>
      <c r="E72" s="82"/>
      <c r="F72" s="38"/>
      <c r="G72" s="83"/>
      <c r="H72" s="64"/>
      <c r="I72" s="64"/>
      <c r="J72" s="64"/>
      <c r="K72" s="64"/>
      <c r="L72" s="42"/>
      <c r="M72" s="64"/>
    </row>
    <row r="73" spans="1:13" s="4" customFormat="1" ht="12.75" x14ac:dyDescent="0.2">
      <c r="A73" s="64"/>
      <c r="B73" s="64"/>
      <c r="C73" s="64"/>
      <c r="D73" s="81"/>
      <c r="E73" s="82"/>
      <c r="F73" s="38"/>
      <c r="G73" s="83"/>
      <c r="H73" s="64"/>
      <c r="I73" s="64"/>
      <c r="J73" s="64"/>
      <c r="K73" s="64"/>
      <c r="L73" s="42"/>
      <c r="M73" s="64"/>
    </row>
    <row r="74" spans="1:13" s="4" customFormat="1" ht="12.75" x14ac:dyDescent="0.2"/>
    <row r="75" spans="1:13" s="4" customFormat="1" ht="12.75" x14ac:dyDescent="0.2"/>
    <row r="77" spans="1:13" s="4" customFormat="1" ht="12.75" x14ac:dyDescent="0.2">
      <c r="A77" s="84"/>
      <c r="B77" s="84"/>
      <c r="E77" s="84"/>
      <c r="F77" s="84"/>
      <c r="G77" s="84"/>
      <c r="H77" s="85"/>
      <c r="M77" s="84"/>
    </row>
    <row r="78" spans="1:13" s="4" customFormat="1" ht="12.75" x14ac:dyDescent="0.2">
      <c r="A78" s="84"/>
      <c r="B78" s="84"/>
      <c r="E78" s="84"/>
      <c r="F78" s="84"/>
      <c r="G78" s="84"/>
      <c r="H78" s="85"/>
      <c r="M78" s="84"/>
    </row>
    <row r="79" spans="1:13" s="4" customFormat="1" ht="12.75" x14ac:dyDescent="0.2">
      <c r="A79" s="86"/>
      <c r="B79" s="86"/>
    </row>
    <row r="80" spans="1:13" s="4" customFormat="1" ht="12.75" x14ac:dyDescent="0.2">
      <c r="A80" s="87"/>
      <c r="B80" s="87"/>
      <c r="E80" s="87"/>
      <c r="F80" s="86"/>
      <c r="G80" s="86"/>
      <c r="M80" s="88"/>
    </row>
    <row r="81" s="4" customFormat="1" ht="12.75" x14ac:dyDescent="0.2"/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H76"/>
  <sheetViews>
    <sheetView zoomScale="140" zoomScaleNormal="140" workbookViewId="0">
      <pane xSplit="2" topLeftCell="C1" activePane="topRight" state="frozen"/>
      <selection pane="topRight" activeCell="H13" sqref="H13"/>
    </sheetView>
  </sheetViews>
  <sheetFormatPr defaultColWidth="9.140625" defaultRowHeight="15" x14ac:dyDescent="0.25"/>
  <cols>
    <col min="1" max="2" width="15.140625" style="4" customWidth="1"/>
    <col min="3" max="3" width="29.28515625" style="4" customWidth="1"/>
    <col min="4" max="4" width="14.85546875" style="4" customWidth="1"/>
    <col min="5" max="5" width="27.42578125" style="4" customWidth="1"/>
    <col min="6" max="7" width="13.7109375" style="4" customWidth="1"/>
    <col min="8" max="8" width="16.42578125" style="4" customWidth="1"/>
    <col min="9" max="9" width="15.42578125" style="4" customWidth="1"/>
    <col min="10" max="10" width="13.42578125" customWidth="1"/>
    <col min="11" max="11" width="23.42578125" customWidth="1"/>
    <col min="12" max="12" width="13.42578125" customWidth="1"/>
    <col min="13" max="13" width="22.42578125" style="4" customWidth="1"/>
    <col min="14" max="16" width="10.85546875" style="4" customWidth="1"/>
    <col min="17" max="17" width="11.28515625" style="4" customWidth="1"/>
    <col min="18" max="1022" width="9.140625" style="4"/>
  </cols>
  <sheetData>
    <row r="1" spans="1:17" s="4" customFormat="1" ht="25.5" x14ac:dyDescent="0.2">
      <c r="A1" s="5"/>
      <c r="B1" s="5" t="s">
        <v>95</v>
      </c>
      <c r="C1" s="6">
        <v>44173</v>
      </c>
      <c r="D1" s="7"/>
      <c r="E1" s="8" t="s">
        <v>96</v>
      </c>
      <c r="F1" s="9"/>
      <c r="G1" s="10"/>
      <c r="K1" s="11" t="s">
        <v>97</v>
      </c>
      <c r="L1" s="11" t="s">
        <v>98</v>
      </c>
      <c r="M1" s="12" t="s">
        <v>99</v>
      </c>
    </row>
    <row r="2" spans="1:17" x14ac:dyDescent="0.25">
      <c r="A2" s="5"/>
      <c r="B2" s="5" t="s">
        <v>100</v>
      </c>
      <c r="C2" s="13">
        <v>4.9000000000000004</v>
      </c>
      <c r="D2" s="14"/>
      <c r="E2" s="15">
        <f>SUM(E26,E41,E54,E28,E56)</f>
        <v>139378373.76523438</v>
      </c>
      <c r="F2" s="16"/>
      <c r="G2" s="17"/>
      <c r="H2" s="14"/>
      <c r="I2" s="14"/>
      <c r="J2" s="14"/>
      <c r="K2" s="15">
        <f>SUM(K26,K41,K54,K28,K56:K56)</f>
        <v>139195528.02211732</v>
      </c>
      <c r="L2" s="18">
        <f>SUM(L54,L41,L26,L28,L56)</f>
        <v>1</v>
      </c>
      <c r="M2" s="19">
        <f>K2/$C$6</f>
        <v>4.8935767504025103</v>
      </c>
      <c r="N2" s="20"/>
    </row>
    <row r="3" spans="1:17" ht="26.25" x14ac:dyDescent="0.25">
      <c r="A3" s="5"/>
      <c r="B3" s="5" t="s">
        <v>101</v>
      </c>
      <c r="C3" s="21">
        <v>28444537.629999999</v>
      </c>
      <c r="D3" s="22"/>
      <c r="E3" s="8" t="s">
        <v>170</v>
      </c>
      <c r="F3" s="16"/>
      <c r="H3" s="14"/>
      <c r="I3" s="14"/>
      <c r="J3" s="14"/>
      <c r="K3" s="8" t="s">
        <v>102</v>
      </c>
      <c r="L3" s="14"/>
      <c r="M3" s="12" t="s">
        <v>171</v>
      </c>
      <c r="N3" s="23"/>
    </row>
    <row r="4" spans="1:17" x14ac:dyDescent="0.25">
      <c r="A4" s="5"/>
      <c r="B4" s="5" t="s">
        <v>104</v>
      </c>
      <c r="C4" s="21">
        <v>0</v>
      </c>
      <c r="D4" s="22"/>
      <c r="E4" s="15">
        <f>SUM(E26,E54,E28)</f>
        <v>57145215.4769044</v>
      </c>
      <c r="F4" s="16"/>
      <c r="G4" s="17"/>
      <c r="H4" s="14"/>
      <c r="I4" s="14"/>
      <c r="J4" s="14"/>
      <c r="K4" s="15">
        <f>SUM(K26,K28,K54)</f>
        <v>56908772.661131337</v>
      </c>
      <c r="L4" s="14"/>
      <c r="M4" s="19">
        <f>K4/$C$6</f>
        <v>2.0006924844899068</v>
      </c>
      <c r="N4" s="23"/>
    </row>
    <row r="5" spans="1:17" x14ac:dyDescent="0.25">
      <c r="A5" s="5"/>
      <c r="B5" s="5" t="s">
        <v>105</v>
      </c>
      <c r="C5" s="21">
        <v>0</v>
      </c>
      <c r="D5" s="22"/>
      <c r="E5" s="16"/>
      <c r="F5" s="16"/>
      <c r="G5" s="24">
        <f>SUM(D26,D28,D41,D54,D56:D56)</f>
        <v>1.0000009999999999</v>
      </c>
      <c r="H5" s="14"/>
      <c r="I5" s="14"/>
      <c r="J5" s="14"/>
      <c r="K5" s="14"/>
      <c r="L5" s="14"/>
      <c r="M5" s="14"/>
      <c r="N5" s="23"/>
    </row>
    <row r="6" spans="1:17" x14ac:dyDescent="0.25">
      <c r="A6" s="5"/>
      <c r="B6" s="5" t="s">
        <v>106</v>
      </c>
      <c r="C6" s="21">
        <f>C3+C4-C5</f>
        <v>28444537.629999999</v>
      </c>
      <c r="D6" s="22"/>
      <c r="E6" s="16"/>
      <c r="F6" s="16"/>
      <c r="G6" s="17"/>
      <c r="H6" s="14"/>
      <c r="I6" s="14"/>
      <c r="J6" s="14"/>
      <c r="K6" s="14"/>
      <c r="L6" s="14"/>
      <c r="M6" s="14"/>
      <c r="N6" s="23"/>
    </row>
    <row r="7" spans="1:17" x14ac:dyDescent="0.25">
      <c r="A7" s="25"/>
      <c r="B7" s="26"/>
      <c r="C7" s="26"/>
      <c r="D7" s="27"/>
      <c r="E7" s="28"/>
      <c r="F7" s="28"/>
      <c r="G7" s="28"/>
      <c r="H7" s="29"/>
      <c r="I7" s="29"/>
      <c r="J7" s="29"/>
      <c r="K7" s="14"/>
      <c r="L7" s="14"/>
      <c r="M7" s="14"/>
      <c r="N7" s="23"/>
    </row>
    <row r="8" spans="1:17" s="34" customFormat="1" ht="38.25" x14ac:dyDescent="0.2">
      <c r="A8" s="30" t="s">
        <v>107</v>
      </c>
      <c r="B8" s="30" t="s">
        <v>108</v>
      </c>
      <c r="C8" s="31" t="s">
        <v>1</v>
      </c>
      <c r="D8" s="31" t="s">
        <v>109</v>
      </c>
      <c r="E8" s="31" t="s">
        <v>110</v>
      </c>
      <c r="F8" s="31" t="s">
        <v>111</v>
      </c>
      <c r="G8" s="31" t="s">
        <v>112</v>
      </c>
      <c r="H8" s="31" t="s">
        <v>113</v>
      </c>
      <c r="I8" s="31" t="s">
        <v>114</v>
      </c>
      <c r="J8" s="31" t="s">
        <v>115</v>
      </c>
      <c r="K8" s="32" t="s">
        <v>116</v>
      </c>
      <c r="L8" s="32" t="s">
        <v>117</v>
      </c>
      <c r="M8" s="32" t="s">
        <v>118</v>
      </c>
      <c r="N8" s="33"/>
      <c r="Q8" s="35"/>
    </row>
    <row r="9" spans="1:17" s="44" customFormat="1" ht="12.75" customHeight="1" x14ac:dyDescent="0.25">
      <c r="A9" s="36" t="s">
        <v>119</v>
      </c>
      <c r="B9" s="36" t="s">
        <v>120</v>
      </c>
      <c r="C9" s="36" t="s">
        <v>121</v>
      </c>
      <c r="D9" s="37">
        <v>9.7999999999999997E-3</v>
      </c>
      <c r="E9" s="38">
        <f>'Dec 08'!$D9*$C$6*$C$2</f>
        <v>1365906.6969926001</v>
      </c>
      <c r="F9" s="38">
        <v>665.15012009607699</v>
      </c>
      <c r="G9" s="39">
        <f>'Dec 08'!$E9/'Dec 08'!$F9</f>
        <v>2053.5314596279454</v>
      </c>
      <c r="H9" s="36">
        <v>2498</v>
      </c>
      <c r="I9" s="36">
        <f>ROUND(Table138958456799101112131445626789101112131415161718192021345678910111213141516171819202122233456789101112131415161718192034567[[#This Row],[Target Quantity]],0)</f>
        <v>2054</v>
      </c>
      <c r="J9" s="40">
        <f t="shared" ref="J9:J24" si="0">I9-H9</f>
        <v>-444</v>
      </c>
      <c r="K9" s="41">
        <f>'Dec 08'!$F9*'Dec 08'!$I9</f>
        <v>1366218.3466773422</v>
      </c>
      <c r="L9" s="42">
        <f>'Dec 08'!$K9/$K$2</f>
        <v>9.8151022959606753E-3</v>
      </c>
      <c r="M9" s="43"/>
    </row>
    <row r="10" spans="1:17" s="44" customFormat="1" ht="12.75" customHeight="1" x14ac:dyDescent="0.25">
      <c r="A10" s="36" t="s">
        <v>119</v>
      </c>
      <c r="B10" s="36" t="s">
        <v>122</v>
      </c>
      <c r="C10" s="36" t="s">
        <v>123</v>
      </c>
      <c r="D10" s="37">
        <v>0</v>
      </c>
      <c r="E10" s="38">
        <f>'Dec 08'!$D10*$C$6*$C$2</f>
        <v>0</v>
      </c>
      <c r="F10" s="38">
        <v>84.149980101199603</v>
      </c>
      <c r="G10" s="39">
        <f>'Dec 08'!$E10/'Dec 08'!$F10</f>
        <v>0</v>
      </c>
      <c r="H10" s="36">
        <v>17589</v>
      </c>
      <c r="I10" s="36">
        <f>ROUND(Table138958456799101112131445626789101112131415161718192021345678910111213141516171819202122233456789101112131415161718192034567[[#This Row],[Target Quantity]],0)</f>
        <v>0</v>
      </c>
      <c r="J10" s="40">
        <f t="shared" si="0"/>
        <v>-17589</v>
      </c>
      <c r="K10" s="41">
        <f>'Dec 08'!$F10*'Dec 08'!$I10</f>
        <v>0</v>
      </c>
      <c r="L10" s="42">
        <f>'Dec 08'!$K10/$K$2</f>
        <v>0</v>
      </c>
      <c r="M10" s="43"/>
    </row>
    <row r="11" spans="1:17" s="45" customFormat="1" ht="12.75" customHeight="1" x14ac:dyDescent="0.25">
      <c r="A11" s="36" t="s">
        <v>119</v>
      </c>
      <c r="B11" s="36" t="s">
        <v>43</v>
      </c>
      <c r="C11" s="36" t="s">
        <v>44</v>
      </c>
      <c r="D11" s="37">
        <v>9.7999999999999997E-3</v>
      </c>
      <c r="E11" s="38">
        <f>'Dec 08'!$D11*$C$6*$C$2</f>
        <v>1365906.6969926001</v>
      </c>
      <c r="F11" s="38">
        <v>406</v>
      </c>
      <c r="G11" s="39">
        <f>'Dec 08'!$E11/'Dec 08'!$F11</f>
        <v>3364.3022093413797</v>
      </c>
      <c r="H11" s="36">
        <v>3635</v>
      </c>
      <c r="I11" s="36">
        <f>ROUND(Table138958456799101112131445626789101112131415161718192021345678910111213141516171819202122233456789101112131415161718192034567[[#This Row],[Target Quantity]],0)</f>
        <v>3364</v>
      </c>
      <c r="J11" s="40">
        <f t="shared" si="0"/>
        <v>-271</v>
      </c>
      <c r="K11" s="41">
        <f>'Dec 08'!$F11*'Dec 08'!$I11</f>
        <v>1365784</v>
      </c>
      <c r="L11" s="42">
        <f>'Dec 08'!$K11/$K$2</f>
        <v>9.811981889123517E-3</v>
      </c>
      <c r="M11" s="36"/>
      <c r="O11" s="44"/>
    </row>
    <row r="12" spans="1:17" s="45" customFormat="1" ht="12.75" customHeight="1" x14ac:dyDescent="0.25">
      <c r="A12" s="36" t="s">
        <v>119</v>
      </c>
      <c r="B12" s="36" t="s">
        <v>126</v>
      </c>
      <c r="C12" s="36" t="s">
        <v>127</v>
      </c>
      <c r="D12" s="37">
        <v>0</v>
      </c>
      <c r="E12" s="38">
        <f>'Dec 08'!$D12*$C$6*$C$2</f>
        <v>0</v>
      </c>
      <c r="F12" s="38">
        <v>1575.59958289885</v>
      </c>
      <c r="G12" s="39">
        <f>'Dec 08'!$E12/'Dec 08'!$F12</f>
        <v>0</v>
      </c>
      <c r="H12" s="36">
        <v>959</v>
      </c>
      <c r="I12" s="36">
        <f>ROUND(Table138958456799101112131445626789101112131415161718192021345678910111213141516171819202122233456789101112131415161718192034567[[#This Row],[Target Quantity]],0)</f>
        <v>0</v>
      </c>
      <c r="J12" s="40">
        <f t="shared" si="0"/>
        <v>-959</v>
      </c>
      <c r="K12" s="41">
        <f>'Dec 08'!$F12*'Dec 08'!$I12</f>
        <v>0</v>
      </c>
      <c r="L12" s="42">
        <f>'Dec 08'!$K12/$K$2</f>
        <v>0</v>
      </c>
      <c r="M12" s="36"/>
      <c r="O12" s="44"/>
    </row>
    <row r="13" spans="1:17" s="45" customFormat="1" ht="12.75" customHeight="1" x14ac:dyDescent="0.25">
      <c r="A13" s="36" t="s">
        <v>119</v>
      </c>
      <c r="B13" s="36" t="s">
        <v>25</v>
      </c>
      <c r="C13" s="36" t="s">
        <v>26</v>
      </c>
      <c r="D13" s="37">
        <v>9.7999999999999997E-3</v>
      </c>
      <c r="E13" s="38">
        <f>'Dec 08'!$D13*$C$6*$C$2</f>
        <v>1365906.6969926001</v>
      </c>
      <c r="F13" s="38">
        <v>297</v>
      </c>
      <c r="G13" s="39">
        <f>'Dec 08'!$E13/'Dec 08'!$F13</f>
        <v>4599.012447786532</v>
      </c>
      <c r="H13" s="36">
        <v>5067</v>
      </c>
      <c r="I13" s="36">
        <f>ROUND(Table138958456799101112131445626789101112131415161718192021345678910111213141516171819202122233456789101112131415161718192034567[[#This Row],[Target Quantity]],0)</f>
        <v>4599</v>
      </c>
      <c r="J13" s="40">
        <f t="shared" si="0"/>
        <v>-468</v>
      </c>
      <c r="K13" s="41">
        <f>'Dec 08'!$F13*'Dec 08'!$I13</f>
        <v>1365903</v>
      </c>
      <c r="L13" s="42">
        <f>'Dec 08'!$K13/$K$2</f>
        <v>9.8128368016461454E-3</v>
      </c>
      <c r="M13" s="36"/>
      <c r="O13" s="44"/>
    </row>
    <row r="14" spans="1:17" s="45" customFormat="1" ht="12.75" customHeight="1" x14ac:dyDescent="0.25">
      <c r="A14" s="36" t="s">
        <v>119</v>
      </c>
      <c r="B14" s="36" t="s">
        <v>128</v>
      </c>
      <c r="C14" s="36" t="s">
        <v>129</v>
      </c>
      <c r="D14" s="37">
        <v>9.7999999999999997E-3</v>
      </c>
      <c r="E14" s="38">
        <f>'Dec 08'!$D14*$C$6*$C$2</f>
        <v>1365906.6969926001</v>
      </c>
      <c r="F14" s="38">
        <v>24.230000335424101</v>
      </c>
      <c r="G14" s="39">
        <f>'Dec 08'!$E14/'Dec 08'!$F14</f>
        <v>56372.541398427202</v>
      </c>
      <c r="H14" s="36">
        <v>59626</v>
      </c>
      <c r="I14" s="36">
        <f>ROUND(Table138958456799101112131445626789101112131415161718192021345678910111213141516171819202122233456789101112131415161718192034567[[#This Row],[Target Quantity]],0)</f>
        <v>56373</v>
      </c>
      <c r="J14" s="40">
        <f t="shared" si="0"/>
        <v>-3253</v>
      </c>
      <c r="K14" s="41">
        <f>'Dec 08'!$F14*'Dec 08'!$I14</f>
        <v>1365917.8089088628</v>
      </c>
      <c r="L14" s="42">
        <f>'Dec 08'!$K14/$K$2</f>
        <v>9.8129431909035666E-3</v>
      </c>
      <c r="M14" s="36"/>
      <c r="O14" s="44"/>
    </row>
    <row r="15" spans="1:17" s="45" customFormat="1" ht="12.75" customHeight="1" x14ac:dyDescent="0.25">
      <c r="A15" s="36" t="s">
        <v>119</v>
      </c>
      <c r="B15" s="36" t="s">
        <v>33</v>
      </c>
      <c r="C15" s="36" t="s">
        <v>34</v>
      </c>
      <c r="D15" s="37">
        <v>4.8999999999999998E-3</v>
      </c>
      <c r="E15" s="38">
        <f>'Dec 08'!$D15*$C$6*$C$2</f>
        <v>682953.34849630005</v>
      </c>
      <c r="F15" s="38">
        <v>40.2400163833709</v>
      </c>
      <c r="G15" s="39">
        <f>'Dec 08'!$E15/'Dec 08'!$F15</f>
        <v>16971.994792192207</v>
      </c>
      <c r="H15" s="36">
        <v>19532</v>
      </c>
      <c r="I15" s="36">
        <f>ROUND(Table138958456799101112131445626789101112131415161718192021345678910111213141516171819202122233456789101112131415161718192034567[[#This Row],[Target Quantity]],0)</f>
        <v>16972</v>
      </c>
      <c r="J15" s="40">
        <f t="shared" si="0"/>
        <v>-2560</v>
      </c>
      <c r="K15" s="41">
        <f>'Dec 08'!$F15*'Dec 08'!$I15</f>
        <v>682953.55805857095</v>
      </c>
      <c r="L15" s="42">
        <f>'Dec 08'!$K15/$K$2</f>
        <v>4.9064331862015984E-3</v>
      </c>
      <c r="M15" s="36"/>
      <c r="O15" s="44"/>
    </row>
    <row r="16" spans="1:17" s="45" customFormat="1" ht="12.75" customHeight="1" x14ac:dyDescent="0.25">
      <c r="A16" s="36" t="s">
        <v>119</v>
      </c>
      <c r="B16" s="36" t="s">
        <v>19</v>
      </c>
      <c r="C16" s="36" t="s">
        <v>20</v>
      </c>
      <c r="D16" s="37">
        <v>9.7999999999999997E-3</v>
      </c>
      <c r="E16" s="38">
        <f>'Dec 08'!$D16*$C$6*$C$2</f>
        <v>1365906.6969926001</v>
      </c>
      <c r="F16" s="38">
        <v>517.71019553072597</v>
      </c>
      <c r="G16" s="39">
        <f>'Dec 08'!$E16/'Dec 08'!$F16</f>
        <v>2638.3615945449037</v>
      </c>
      <c r="H16" s="36">
        <v>2864</v>
      </c>
      <c r="I16" s="36">
        <f>ROUND(Table138958456799101112131445626789101112131415161718192021345678910111213141516171819202122233456789101112131415161718192034567[[#This Row],[Target Quantity]],0)</f>
        <v>2638</v>
      </c>
      <c r="J16" s="40">
        <f t="shared" si="0"/>
        <v>-226</v>
      </c>
      <c r="K16" s="41">
        <f>'Dec 08'!$F16*'Dec 08'!$I16</f>
        <v>1365719.4958100552</v>
      </c>
      <c r="L16" s="42">
        <f>'Dec 08'!$K16/$K$2</f>
        <v>9.8115184820668291E-3</v>
      </c>
      <c r="M16" s="36"/>
      <c r="O16" s="44"/>
    </row>
    <row r="17" spans="1:15" s="45" customFormat="1" ht="12.75" customHeight="1" x14ac:dyDescent="0.25">
      <c r="A17" s="36" t="s">
        <v>119</v>
      </c>
      <c r="B17" s="36" t="s">
        <v>29</v>
      </c>
      <c r="C17" s="36" t="s">
        <v>30</v>
      </c>
      <c r="D17" s="37">
        <v>4.8999999999999998E-3</v>
      </c>
      <c r="E17" s="38">
        <f>'Dec 08'!$D17*$C$6*$C$2</f>
        <v>682953.34849630005</v>
      </c>
      <c r="F17" s="38">
        <v>21.2700147208697</v>
      </c>
      <c r="G17" s="39">
        <f>'Dec 08'!$E17/'Dec 08'!$F17</f>
        <v>32108.738872954342</v>
      </c>
      <c r="H17" s="36">
        <v>35324</v>
      </c>
      <c r="I17" s="36">
        <f>ROUND(Table138958456799101112131445626789101112131415161718192021345678910111213141516171819202122233456789101112131415161718192034567[[#This Row],[Target Quantity]],0)</f>
        <v>32109</v>
      </c>
      <c r="J17" s="40">
        <f t="shared" si="0"/>
        <v>-3215</v>
      </c>
      <c r="K17" s="41">
        <f>'Dec 08'!$F17*'Dec 08'!$I17</f>
        <v>682958.90267240524</v>
      </c>
      <c r="L17" s="42">
        <f>'Dec 08'!$K17/$K$2</f>
        <v>4.9064715826494599E-3</v>
      </c>
      <c r="M17" s="36"/>
      <c r="O17" s="44"/>
    </row>
    <row r="18" spans="1:15" s="45" customFormat="1" ht="12.75" customHeight="1" x14ac:dyDescent="0.25">
      <c r="A18" s="36" t="s">
        <v>119</v>
      </c>
      <c r="B18" s="36" t="s">
        <v>21</v>
      </c>
      <c r="C18" s="36" t="s">
        <v>22</v>
      </c>
      <c r="D18" s="37">
        <v>9.7999999999999997E-3</v>
      </c>
      <c r="E18" s="38">
        <f>'Dec 08'!$D18*$C$6*$C$2</f>
        <v>1365906.6969926001</v>
      </c>
      <c r="F18" s="38">
        <v>36.839989907909697</v>
      </c>
      <c r="G18" s="39">
        <f>'Dec 08'!$E18/'Dec 08'!$F18</f>
        <v>37076.739174115093</v>
      </c>
      <c r="H18" s="36">
        <v>39635</v>
      </c>
      <c r="I18" s="36">
        <f>ROUND(Table138958456799101112131445626789101112131415161718192021345678910111213141516171819202122233456789101112131415161718192034567[[#This Row],[Target Quantity]],0)</f>
        <v>37077</v>
      </c>
      <c r="J18" s="40">
        <f t="shared" si="0"/>
        <v>-2558</v>
      </c>
      <c r="K18" s="41">
        <f>'Dec 08'!$F18*'Dec 08'!$I18</f>
        <v>1365916.3058155677</v>
      </c>
      <c r="L18" s="42">
        <f>'Dec 08'!$K18/$K$2</f>
        <v>9.8129323924726376E-3</v>
      </c>
      <c r="M18" s="36"/>
      <c r="O18" s="44"/>
    </row>
    <row r="19" spans="1:15" s="45" customFormat="1" ht="12.75" customHeight="1" x14ac:dyDescent="0.25">
      <c r="A19" s="36" t="s">
        <v>119</v>
      </c>
      <c r="B19" s="36" t="s">
        <v>37</v>
      </c>
      <c r="C19" s="36" t="s">
        <v>38</v>
      </c>
      <c r="D19" s="37">
        <v>4.8999999999999998E-3</v>
      </c>
      <c r="E19" s="38">
        <f>'Dec 08'!$D19*$C$6*$C$2</f>
        <v>682953.34849630005</v>
      </c>
      <c r="F19" s="38">
        <v>71.509987692890306</v>
      </c>
      <c r="G19" s="39">
        <f>'Dec 08'!$E19/'Dec 08'!$F19</f>
        <v>9550.4609989493947</v>
      </c>
      <c r="H19" s="36">
        <v>10563</v>
      </c>
      <c r="I19" s="36">
        <f>ROUND(Table138958456799101112131445626789101112131415161718192021345678910111213141516171819202122233456789101112131415161718192034567[[#This Row],[Target Quantity]],0)</f>
        <v>9550</v>
      </c>
      <c r="J19" s="40">
        <f t="shared" si="0"/>
        <v>-1013</v>
      </c>
      <c r="K19" s="41">
        <f>'Dec 08'!$F19*'Dec 08'!$I19</f>
        <v>682920.38246710238</v>
      </c>
      <c r="L19" s="42">
        <f>'Dec 08'!$K19/$K$2</f>
        <v>4.9061948481462026E-3</v>
      </c>
      <c r="M19" s="36"/>
      <c r="O19" s="44"/>
    </row>
    <row r="20" spans="1:15" s="45" customFormat="1" ht="12.75" customHeight="1" x14ac:dyDescent="0.25">
      <c r="A20" s="36" t="s">
        <v>119</v>
      </c>
      <c r="B20" s="36" t="s">
        <v>23</v>
      </c>
      <c r="C20" s="36" t="s">
        <v>24</v>
      </c>
      <c r="D20" s="37">
        <v>9.7999999999999997E-3</v>
      </c>
      <c r="E20" s="38">
        <f>'Dec 08'!$D20*$C$6*$C$2</f>
        <v>1365906.6969926001</v>
      </c>
      <c r="F20" s="38">
        <v>252.01000508733301</v>
      </c>
      <c r="G20" s="39">
        <f>'Dec 08'!$E20/'Dec 08'!$F20</f>
        <v>5420.0494798579557</v>
      </c>
      <c r="H20" s="36">
        <v>5897</v>
      </c>
      <c r="I20" s="36">
        <f>ROUND(Table138958456799101112131445626789101112131415161718192021345678910111213141516171819202122233456789101112131415161718192034567[[#This Row],[Target Quantity]],0)</f>
        <v>5420</v>
      </c>
      <c r="J20" s="40">
        <f t="shared" si="0"/>
        <v>-477</v>
      </c>
      <c r="K20" s="41">
        <f>'Dec 08'!$F20*'Dec 08'!$I20</f>
        <v>1365894.2275733449</v>
      </c>
      <c r="L20" s="42">
        <f>'Dec 08'!$K20/$K$2</f>
        <v>9.8127737793150416E-3</v>
      </c>
      <c r="M20" s="36"/>
      <c r="O20" s="44"/>
    </row>
    <row r="21" spans="1:15" s="45" customFormat="1" ht="12.75" customHeight="1" x14ac:dyDescent="0.25">
      <c r="A21" s="36" t="s">
        <v>119</v>
      </c>
      <c r="B21" s="36" t="s">
        <v>15</v>
      </c>
      <c r="C21" s="36" t="s">
        <v>16</v>
      </c>
      <c r="D21" s="37">
        <v>4.8999999999999998E-3</v>
      </c>
      <c r="E21" s="38">
        <f>'Dec 08'!$D21*$C$6*$C$2</f>
        <v>682953.34849630005</v>
      </c>
      <c r="F21" s="38">
        <v>140</v>
      </c>
      <c r="G21" s="39">
        <f>'Dec 08'!$E21/'Dec 08'!$F21</f>
        <v>4878.238203545</v>
      </c>
      <c r="H21" s="36">
        <v>5398</v>
      </c>
      <c r="I21" s="36">
        <f>ROUND(Table138958456799101112131445626789101112131415161718192021345678910111213141516171819202122233456789101112131415161718192034567[[#This Row],[Target Quantity]],0)</f>
        <v>4878</v>
      </c>
      <c r="J21" s="40">
        <f t="shared" si="0"/>
        <v>-520</v>
      </c>
      <c r="K21" s="41">
        <f>'Dec 08'!$F21*'Dec 08'!$I21</f>
        <v>682920</v>
      </c>
      <c r="L21" s="42">
        <f>'Dec 08'!$K21/$K$2</f>
        <v>4.9061921004494354E-3</v>
      </c>
      <c r="M21" s="36"/>
      <c r="O21" s="44"/>
    </row>
    <row r="22" spans="1:15" s="45" customFormat="1" ht="12.75" customHeight="1" x14ac:dyDescent="0.25">
      <c r="A22" s="36" t="s">
        <v>119</v>
      </c>
      <c r="B22" s="36" t="s">
        <v>27</v>
      </c>
      <c r="C22" s="36" t="s">
        <v>28</v>
      </c>
      <c r="D22" s="37">
        <v>9.7999999999999997E-3</v>
      </c>
      <c r="E22" s="38">
        <f>'Dec 08'!$D22*$C$6*$C$2</f>
        <v>1365906.6969926001</v>
      </c>
      <c r="F22" s="38">
        <v>43.9300124238301</v>
      </c>
      <c r="G22" s="39">
        <f>'Dec 08'!$E22/'Dec 08'!$F22</f>
        <v>31092.791047144248</v>
      </c>
      <c r="H22" s="36">
        <v>33806</v>
      </c>
      <c r="I22" s="36">
        <f>ROUND(Table138958456799101112131445626789101112131415161718192021345678910111213141516171819202122233456789101112131415161718192034567[[#This Row],[Target Quantity]],0)</f>
        <v>31093</v>
      </c>
      <c r="J22" s="40">
        <f t="shared" si="0"/>
        <v>-2713</v>
      </c>
      <c r="K22" s="41">
        <f>'Dec 08'!$F22*'Dec 08'!$I22</f>
        <v>1365915.8762941493</v>
      </c>
      <c r="L22" s="42">
        <f>'Dec 08'!$K22/$K$2</f>
        <v>9.8129293067311298E-3</v>
      </c>
      <c r="M22" s="36"/>
      <c r="O22" s="91"/>
    </row>
    <row r="23" spans="1:15" s="45" customFormat="1" ht="12.75" customHeight="1" x14ac:dyDescent="0.25">
      <c r="A23" s="36" t="s">
        <v>119</v>
      </c>
      <c r="B23" s="36" t="s">
        <v>39</v>
      </c>
      <c r="C23" s="36" t="s">
        <v>40</v>
      </c>
      <c r="D23" s="37">
        <v>0.22866700000000001</v>
      </c>
      <c r="E23" s="38">
        <f>'Dec 08'!$D23*$C$6*$C$2</f>
        <v>31871202.722572133</v>
      </c>
      <c r="F23" s="38">
        <v>307.01001201895798</v>
      </c>
      <c r="G23" s="39">
        <f>'Dec 08'!$E23/'Dec 08'!$F23</f>
        <v>103811.60703190381</v>
      </c>
      <c r="H23" s="36">
        <v>88194</v>
      </c>
      <c r="I23" s="36">
        <f>ROUND(Table138958456799101112131445626789101112131415161718192021345678910111213141516171819202122233456789101112131415161718192034567[[#This Row],[Target Quantity]],0)</f>
        <v>103812</v>
      </c>
      <c r="J23" s="40">
        <f t="shared" si="0"/>
        <v>15618</v>
      </c>
      <c r="K23" s="41">
        <f>'Dec 08'!$F23*'Dec 08'!$I23</f>
        <v>31871323.367712066</v>
      </c>
      <c r="L23" s="42">
        <f>'Dec 08'!$K23/$K$2</f>
        <v>0.22896801226723251</v>
      </c>
      <c r="M23" s="36"/>
      <c r="O23" s="44"/>
    </row>
    <row r="24" spans="1:15" s="45" customFormat="1" ht="12.75" customHeight="1" x14ac:dyDescent="0.25">
      <c r="A24" s="36" t="s">
        <v>119</v>
      </c>
      <c r="B24" s="45" t="s">
        <v>11</v>
      </c>
      <c r="C24" s="36" t="s">
        <v>12</v>
      </c>
      <c r="D24" s="37">
        <v>2.3334000000000001E-2</v>
      </c>
      <c r="E24" s="38">
        <f>'Dec 08'!$D24*$C$6*$C$2</f>
        <v>3252251.7211862584</v>
      </c>
      <c r="F24" s="38">
        <v>2.5131987088647501</v>
      </c>
      <c r="G24" s="39">
        <f>'Dec 08'!$E24/'Dec 08'!$F24</f>
        <v>1294068.6742017902</v>
      </c>
      <c r="H24" s="36">
        <v>1270200</v>
      </c>
      <c r="I24" s="36">
        <f>ROUND(Table138958456799101112131445626789101112131415161718192021345678910111213141516171819202122233456789101112131415161718192034567[[#This Row],[Target Quantity]],-2)</f>
        <v>1294100</v>
      </c>
      <c r="J24" s="40">
        <f t="shared" si="0"/>
        <v>23900</v>
      </c>
      <c r="K24" s="41">
        <f>'Dec 08'!$F24*'Dec 08'!$I24</f>
        <v>3252330.449141873</v>
      </c>
      <c r="L24" s="42">
        <f>'Dec 08'!$K24/$K$2</f>
        <v>2.3365193518466325E-2</v>
      </c>
      <c r="M24" s="36"/>
      <c r="O24" s="44"/>
    </row>
    <row r="25" spans="1:15" s="45" customFormat="1" ht="12.75" customHeight="1" x14ac:dyDescent="0.25">
      <c r="A25" s="36"/>
      <c r="B25" s="36"/>
      <c r="C25" s="36"/>
      <c r="D25" s="37"/>
      <c r="E25" s="38"/>
      <c r="F25" s="38"/>
      <c r="G25" s="39"/>
      <c r="H25" s="36"/>
      <c r="I25" s="36"/>
      <c r="J25" s="46"/>
      <c r="K25" s="38"/>
      <c r="L25" s="47"/>
      <c r="M25" s="36"/>
    </row>
    <row r="26" spans="1:15" s="54" customFormat="1" ht="12.75" customHeight="1" x14ac:dyDescent="0.25">
      <c r="A26" s="48" t="s">
        <v>136</v>
      </c>
      <c r="B26" s="48"/>
      <c r="C26" s="48"/>
      <c r="D26" s="49">
        <f>SUM(D9:D25)</f>
        <v>0.35000100000000006</v>
      </c>
      <c r="E26" s="50">
        <f>'Dec 08'!$D26*$C$6*$C$2</f>
        <v>48782521.413684398</v>
      </c>
      <c r="F26" s="51"/>
      <c r="G26" s="51"/>
      <c r="H26" s="48"/>
      <c r="I26" s="48"/>
      <c r="J26" s="52"/>
      <c r="K26" s="50">
        <f>SUM(K9:K25)</f>
        <v>48782675.72113134</v>
      </c>
      <c r="L26" s="53">
        <f>'Dec 08'!$K26/$K$2</f>
        <v>0.35046151564136507</v>
      </c>
      <c r="M26" s="48"/>
      <c r="O26" s="90"/>
    </row>
    <row r="27" spans="1:15" s="45" customFormat="1" ht="12.75" customHeight="1" x14ac:dyDescent="0.25">
      <c r="A27" s="36"/>
      <c r="B27" s="36"/>
      <c r="C27" s="36"/>
      <c r="D27" s="37"/>
      <c r="E27" s="38"/>
      <c r="F27" s="38"/>
      <c r="G27" s="39"/>
      <c r="H27" s="36"/>
      <c r="I27" s="36"/>
      <c r="J27" s="46"/>
      <c r="K27" s="38"/>
      <c r="L27" s="42"/>
      <c r="M27" s="36"/>
      <c r="O27" s="89"/>
    </row>
    <row r="28" spans="1:15" s="44" customFormat="1" ht="12.75" customHeight="1" x14ac:dyDescent="0.25">
      <c r="A28" s="55"/>
      <c r="B28" s="48" t="s">
        <v>31</v>
      </c>
      <c r="C28" s="55" t="s">
        <v>32</v>
      </c>
      <c r="D28" s="56">
        <v>0.04</v>
      </c>
      <c r="E28" s="57">
        <f>'Dec 08'!$D28*$C$6*$C$2</f>
        <v>5575129.3754800009</v>
      </c>
      <c r="F28" s="51">
        <v>17.79</v>
      </c>
      <c r="G28" s="58">
        <f>'Dec 08'!$E28/'Dec 08'!$F28</f>
        <v>313385.57478808326</v>
      </c>
      <c r="H28" s="55">
        <v>314400</v>
      </c>
      <c r="I28" s="55">
        <f>ROUND(Table138958456799101112131445626789101112131415161718192021345678910111213141516171819202122233456789101112131415161718192034567[[#This Row],[Target Quantity]],0)</f>
        <v>313386</v>
      </c>
      <c r="J28" s="59">
        <f>I28-H28</f>
        <v>-1014</v>
      </c>
      <c r="K28" s="60">
        <f>'Dec 08'!$F28*'Dec 08'!$I28</f>
        <v>5575136.9399999995</v>
      </c>
      <c r="L28" s="53">
        <f>'Dec 08'!$K28/$K$2</f>
        <v>4.005255786029379E-2</v>
      </c>
      <c r="M28" s="48"/>
      <c r="O28" s="61"/>
    </row>
    <row r="29" spans="1:15" s="44" customFormat="1" ht="12.75" customHeight="1" x14ac:dyDescent="0.25">
      <c r="A29" s="36"/>
      <c r="B29" s="36"/>
      <c r="C29" s="36"/>
      <c r="D29" s="37"/>
      <c r="E29" s="38"/>
      <c r="F29" s="38"/>
      <c r="G29" s="39"/>
      <c r="H29" s="36"/>
      <c r="I29" s="36"/>
      <c r="J29" s="46"/>
      <c r="K29" s="41"/>
      <c r="L29" s="42"/>
      <c r="M29" s="36"/>
      <c r="O29" s="61"/>
    </row>
    <row r="30" spans="1:15" s="4" customFormat="1" ht="25.5" x14ac:dyDescent="0.2">
      <c r="A30" s="36" t="s">
        <v>137</v>
      </c>
      <c r="B30" s="62" t="s">
        <v>75</v>
      </c>
      <c r="C30" s="63" t="s">
        <v>76</v>
      </c>
      <c r="D30" s="37">
        <v>5.8999999999999997E-2</v>
      </c>
      <c r="E30" s="38">
        <f>'Dec 08'!$D30*$C$6*$C$2</f>
        <v>8223315.8288329998</v>
      </c>
      <c r="F30" s="38">
        <v>155853.30769230801</v>
      </c>
      <c r="G30" s="39">
        <f>'Dec 08'!$E30/'Dec 08'!$F30</f>
        <v>52.763178084534509</v>
      </c>
      <c r="H30" s="36">
        <v>52</v>
      </c>
      <c r="I30" s="36">
        <f>ROUND(Table138958456799101112131445626789101112131415161718192021345678910111213141516171819202122233456789101112131415161718192034567[[#This Row],[Target Quantity]],0)</f>
        <v>53</v>
      </c>
      <c r="J30" s="40">
        <f t="shared" ref="J30:J39" si="1">I30-H30</f>
        <v>1</v>
      </c>
      <c r="K30" s="41">
        <f>'Dec 08'!$F30*'Dec 08'!$I30</f>
        <v>8260225.3076923247</v>
      </c>
      <c r="L30" s="42">
        <f>'Dec 08'!$K30/$K$2</f>
        <v>5.9342605506549219E-2</v>
      </c>
      <c r="M30" s="64"/>
    </row>
    <row r="31" spans="1:15" s="4" customFormat="1" ht="25.5" x14ac:dyDescent="0.2">
      <c r="A31" s="36" t="s">
        <v>137</v>
      </c>
      <c r="B31" s="62" t="s">
        <v>80</v>
      </c>
      <c r="C31" s="63" t="s">
        <v>81</v>
      </c>
      <c r="D31" s="37">
        <v>5.8999999999999997E-2</v>
      </c>
      <c r="E31" s="38">
        <f>'Dec 08'!$D31*$C$6*$C$2</f>
        <v>8223315.8288329998</v>
      </c>
      <c r="F31" s="38">
        <v>211301.342105263</v>
      </c>
      <c r="G31" s="39">
        <f>'Dec 08'!$E31/'Dec 08'!$F31</f>
        <v>38.917480347741609</v>
      </c>
      <c r="H31" s="36">
        <v>38</v>
      </c>
      <c r="I31" s="36">
        <f>ROUND(Table138958456799101112131445626789101112131415161718192021345678910111213141516171819202122233456789101112131415161718192034567[[#This Row],[Target Quantity]],0)</f>
        <v>39</v>
      </c>
      <c r="J31" s="40">
        <f t="shared" si="1"/>
        <v>1</v>
      </c>
      <c r="K31" s="41">
        <f>'Dec 08'!$F31*'Dec 08'!$I31</f>
        <v>8240752.3421052573</v>
      </c>
      <c r="L31" s="42">
        <f>'Dec 08'!$K31/$K$2</f>
        <v>5.920270901803578E-2</v>
      </c>
      <c r="M31" s="64"/>
    </row>
    <row r="32" spans="1:15" s="4" customFormat="1" ht="25.5" x14ac:dyDescent="0.2">
      <c r="A32" s="36" t="s">
        <v>137</v>
      </c>
      <c r="B32" s="62" t="s">
        <v>82</v>
      </c>
      <c r="C32" s="63" t="s">
        <v>83</v>
      </c>
      <c r="D32" s="37">
        <v>5.8999999999999997E-2</v>
      </c>
      <c r="E32" s="38">
        <f>'Dec 08'!$D32*$C$6*$C$2</f>
        <v>8223315.8288329998</v>
      </c>
      <c r="F32" s="38">
        <v>172393.744680851</v>
      </c>
      <c r="G32" s="39">
        <f>'Dec 08'!$E32/'Dec 08'!$F32</f>
        <v>47.700778494351148</v>
      </c>
      <c r="H32" s="36">
        <v>47</v>
      </c>
      <c r="I32" s="36">
        <f>ROUND(Table138958456799101112131445626789101112131415161718192021345678910111213141516171819202122233456789101112131415161718192034567[[#This Row],[Target Quantity]],0)</f>
        <v>48</v>
      </c>
      <c r="J32" s="40">
        <f t="shared" si="1"/>
        <v>1</v>
      </c>
      <c r="K32" s="41">
        <f>'Dec 08'!$F32*'Dec 08'!$I32</f>
        <v>8274899.744680848</v>
      </c>
      <c r="L32" s="42">
        <f>'Dec 08'!$K32/$K$2</f>
        <v>5.9448028699356038E-2</v>
      </c>
      <c r="M32" s="64"/>
    </row>
    <row r="33" spans="1:16" s="4" customFormat="1" ht="25.5" x14ac:dyDescent="0.2">
      <c r="A33" s="36" t="s">
        <v>137</v>
      </c>
      <c r="B33" s="62" t="s">
        <v>84</v>
      </c>
      <c r="C33" s="63" t="s">
        <v>85</v>
      </c>
      <c r="D33" s="37">
        <v>5.8999999999999997E-2</v>
      </c>
      <c r="E33" s="38">
        <f>'Dec 08'!$D33*$C$6*$C$2</f>
        <v>8223315.8288329998</v>
      </c>
      <c r="F33" s="38">
        <v>125882.40625</v>
      </c>
      <c r="G33" s="39">
        <f>'Dec 08'!$E33/'Dec 08'!$F33</f>
        <v>65.325378452820928</v>
      </c>
      <c r="H33" s="36">
        <v>64</v>
      </c>
      <c r="I33" s="36">
        <f>ROUND(Table138958456799101112131445626789101112131415161718192021345678910111213141516171819202122233456789101112131415161718192034567[[#This Row],[Target Quantity]],0)</f>
        <v>65</v>
      </c>
      <c r="J33" s="40">
        <f t="shared" si="1"/>
        <v>1</v>
      </c>
      <c r="K33" s="41">
        <f>'Dec 08'!$F33*'Dec 08'!$I33</f>
        <v>8182356.40625</v>
      </c>
      <c r="L33" s="42">
        <f>'Dec 08'!$K33/$K$2</f>
        <v>5.8783184506831815E-2</v>
      </c>
      <c r="M33" s="64"/>
    </row>
    <row r="34" spans="1:16" s="4" customFormat="1" ht="25.5" x14ac:dyDescent="0.2">
      <c r="A34" s="36" t="s">
        <v>137</v>
      </c>
      <c r="B34" s="62" t="s">
        <v>86</v>
      </c>
      <c r="C34" s="63" t="s">
        <v>87</v>
      </c>
      <c r="D34" s="37">
        <v>5.8999999999999997E-2</v>
      </c>
      <c r="E34" s="38">
        <f>'Dec 08'!$D34*$C$6*$C$2</f>
        <v>8223315.8288329998</v>
      </c>
      <c r="F34" s="38">
        <v>137683.52542372901</v>
      </c>
      <c r="G34" s="39">
        <f>'Dec 08'!$E34/'Dec 08'!$F34</f>
        <v>59.726214908612121</v>
      </c>
      <c r="H34" s="36">
        <v>59</v>
      </c>
      <c r="I34" s="36">
        <f>ROUND(Table138958456799101112131445626789101112131415161718192021345678910111213141516171819202122233456789101112131415161718192034567[[#This Row],[Target Quantity]],0)</f>
        <v>60</v>
      </c>
      <c r="J34" s="40">
        <f t="shared" si="1"/>
        <v>1</v>
      </c>
      <c r="K34" s="41">
        <f>'Dec 08'!$F34*'Dec 08'!$I34</f>
        <v>8261011.52542374</v>
      </c>
      <c r="L34" s="42">
        <f>'Dec 08'!$K34/$K$2</f>
        <v>5.9348253803894593E-2</v>
      </c>
      <c r="M34" s="64"/>
    </row>
    <row r="35" spans="1:16" s="4" customFormat="1" ht="25.5" x14ac:dyDescent="0.2">
      <c r="A35" s="36" t="s">
        <v>137</v>
      </c>
      <c r="B35" s="62" t="s">
        <v>92</v>
      </c>
      <c r="C35" s="63" t="s">
        <v>93</v>
      </c>
      <c r="D35" s="37">
        <v>5.8999999999999997E-2</v>
      </c>
      <c r="E35" s="38">
        <f>'Dec 08'!$D35*$C$6*$C$2</f>
        <v>8223315.8288329998</v>
      </c>
      <c r="F35" s="38">
        <v>220835.945945946</v>
      </c>
      <c r="G35" s="39">
        <f>'Dec 08'!$E35/'Dec 08'!$F35</f>
        <v>37.237216041114159</v>
      </c>
      <c r="H35" s="36">
        <v>37</v>
      </c>
      <c r="I35" s="36">
        <f>ROUND(Table138958456799101112131445626789101112131415161718192021345678910111213141516171819202122233456789101112131415161718192034567[[#This Row],[Target Quantity]],0)</f>
        <v>37</v>
      </c>
      <c r="J35" s="40">
        <f t="shared" si="1"/>
        <v>0</v>
      </c>
      <c r="K35" s="41">
        <f>'Dec 08'!$F35*'Dec 08'!$I35</f>
        <v>8170930.0000000019</v>
      </c>
      <c r="L35" s="42">
        <f>'Dec 08'!$K35/$K$2</f>
        <v>5.870109561782539E-2</v>
      </c>
      <c r="M35" s="64"/>
    </row>
    <row r="36" spans="1:16" s="44" customFormat="1" ht="25.5" customHeight="1" x14ac:dyDescent="0.2">
      <c r="A36" s="36" t="s">
        <v>138</v>
      </c>
      <c r="B36" s="36" t="s">
        <v>54</v>
      </c>
      <c r="C36" s="36" t="s">
        <v>55</v>
      </c>
      <c r="D36" s="37">
        <v>5.8999999999999997E-2</v>
      </c>
      <c r="E36" s="38">
        <f>'Dec 08'!$D36*$C$6*$C$2</f>
        <v>8223315.8288329998</v>
      </c>
      <c r="F36" s="38">
        <v>115667.571428571</v>
      </c>
      <c r="G36" s="39">
        <f>'Dec 08'!$E36/'Dec 08'!$F36</f>
        <v>71.094393417875139</v>
      </c>
      <c r="H36" s="36">
        <v>70</v>
      </c>
      <c r="I36" s="36">
        <f>ROUND(Table138958456799101112131445626789101112131415161718192021345678910111213141516171819202122233456789101112131415161718192034567[[#This Row],[Target Quantity]],0)</f>
        <v>71</v>
      </c>
      <c r="J36" s="40">
        <f t="shared" si="1"/>
        <v>1</v>
      </c>
      <c r="K36" s="41">
        <f>'Dec 08'!$F36*'Dec 08'!$I36</f>
        <v>8212397.5714285411</v>
      </c>
      <c r="L36" s="42">
        <f>'Dec 08'!$K36/$K$2</f>
        <v>5.8999004408558597E-2</v>
      </c>
      <c r="M36" s="43"/>
      <c r="O36" s="4"/>
    </row>
    <row r="37" spans="1:16" s="44" customFormat="1" ht="25.5" x14ac:dyDescent="0.2">
      <c r="A37" s="36" t="s">
        <v>138</v>
      </c>
      <c r="B37" s="36" t="s">
        <v>52</v>
      </c>
      <c r="C37" s="36" t="s">
        <v>53</v>
      </c>
      <c r="D37" s="37">
        <v>5.8999999999999997E-2</v>
      </c>
      <c r="E37" s="38">
        <f>'Dec 08'!$D37*$C$6*$C$2</f>
        <v>8223315.8288329998</v>
      </c>
      <c r="F37" s="38">
        <v>137234.44067796599</v>
      </c>
      <c r="G37" s="39">
        <f>'Dec 08'!$E37/'Dec 08'!$F37</f>
        <v>59.921662435523842</v>
      </c>
      <c r="H37" s="36">
        <v>59</v>
      </c>
      <c r="I37" s="36">
        <f>ROUND(Table138958456799101112131445626789101112131415161718192021345678910111213141516171819202122233456789101112131415161718192034567[[#This Row],[Target Quantity]],0)</f>
        <v>60</v>
      </c>
      <c r="J37" s="40">
        <f t="shared" si="1"/>
        <v>1</v>
      </c>
      <c r="K37" s="41">
        <f>'Dec 08'!$F37*'Dec 08'!$I37</f>
        <v>8234066.4406779595</v>
      </c>
      <c r="L37" s="42">
        <f>'Dec 08'!$K37/$K$2</f>
        <v>5.9154676573873959E-2</v>
      </c>
      <c r="M37" s="43"/>
      <c r="O37" s="4"/>
    </row>
    <row r="38" spans="1:16" s="44" customFormat="1" ht="24.95" customHeight="1" x14ac:dyDescent="0.2">
      <c r="A38" s="36" t="s">
        <v>138</v>
      </c>
      <c r="B38" s="36" t="s">
        <v>48</v>
      </c>
      <c r="C38" s="36" t="s">
        <v>49</v>
      </c>
      <c r="D38" s="37">
        <v>5.8999999999999997E-2</v>
      </c>
      <c r="E38" s="38">
        <f>'Dec 08'!$D38*$C$6*$C$2</f>
        <v>8223315.8288329998</v>
      </c>
      <c r="F38" s="38">
        <v>183571.022727273</v>
      </c>
      <c r="G38" s="39">
        <f>'Dec 08'!$E38/'Dec 08'!$F38</f>
        <v>44.796372034436942</v>
      </c>
      <c r="H38" s="36">
        <v>44</v>
      </c>
      <c r="I38" s="36">
        <f>ROUND(Table138958456799101112131445626789101112131415161718192021345678910111213141516171819202122233456789101112131415161718192034567[[#This Row],[Target Quantity]],0)</f>
        <v>45</v>
      </c>
      <c r="J38" s="40">
        <f t="shared" si="1"/>
        <v>1</v>
      </c>
      <c r="K38" s="41">
        <f>'Dec 08'!$F38*'Dec 08'!$I38</f>
        <v>8260696.0227272846</v>
      </c>
      <c r="L38" s="42">
        <f>'Dec 08'!$K38/$K$2</f>
        <v>5.9345987188717086E-2</v>
      </c>
      <c r="M38" s="43"/>
      <c r="O38" s="4"/>
    </row>
    <row r="39" spans="1:16" s="44" customFormat="1" ht="25.5" x14ac:dyDescent="0.2">
      <c r="A39" s="36" t="s">
        <v>138</v>
      </c>
      <c r="B39" s="36" t="s">
        <v>58</v>
      </c>
      <c r="C39" s="36" t="s">
        <v>59</v>
      </c>
      <c r="D39" s="37">
        <v>5.8999999999999997E-2</v>
      </c>
      <c r="E39" s="38">
        <f>'Dec 08'!$D39*$C$6*$C$2</f>
        <v>8223315.8288329998</v>
      </c>
      <c r="F39" s="38">
        <v>272980.66666666698</v>
      </c>
      <c r="G39" s="39">
        <f>'Dec 08'!$E39/'Dec 08'!$F39</f>
        <v>30.124169338608805</v>
      </c>
      <c r="H39" s="36">
        <v>30</v>
      </c>
      <c r="I39" s="36">
        <f>ROUND(Table138958456799101112131445626789101112131415161718192021345678910111213141516171819202122233456789101112131415161718192034567[[#This Row],[Target Quantity]],0)</f>
        <v>30</v>
      </c>
      <c r="J39" s="40">
        <f t="shared" si="1"/>
        <v>0</v>
      </c>
      <c r="K39" s="41">
        <f>'Dec 08'!$F39*'Dec 08'!$I39</f>
        <v>8189420.0000000093</v>
      </c>
      <c r="L39" s="42">
        <f>'Dec 08'!$K39/$K$2</f>
        <v>5.8833930345080922E-2</v>
      </c>
      <c r="M39" s="43"/>
      <c r="O39" s="4"/>
    </row>
    <row r="40" spans="1:16" s="66" customFormat="1" ht="12.75" x14ac:dyDescent="0.2">
      <c r="A40" s="36"/>
      <c r="B40" s="63"/>
      <c r="C40" s="63"/>
      <c r="D40" s="37"/>
      <c r="E40" s="65"/>
      <c r="F40" s="38"/>
      <c r="G40" s="39"/>
      <c r="H40" s="36"/>
      <c r="I40" s="36"/>
      <c r="J40" s="46"/>
      <c r="K40" s="38"/>
      <c r="L40" s="47"/>
      <c r="M40" s="64"/>
    </row>
    <row r="41" spans="1:16" s="17" customFormat="1" ht="12.75" x14ac:dyDescent="0.2">
      <c r="A41" s="48" t="s">
        <v>142</v>
      </c>
      <c r="B41" s="67"/>
      <c r="C41" s="67"/>
      <c r="D41" s="56">
        <f>SUBTOTAL(9,D30:D40)</f>
        <v>0.58999999999999986</v>
      </c>
      <c r="E41" s="68">
        <f>'Dec 08'!$D41*$C$6*$C$2</f>
        <v>82233158.288329974</v>
      </c>
      <c r="F41" s="69"/>
      <c r="G41" s="70"/>
      <c r="H41" s="55"/>
      <c r="I41" s="55"/>
      <c r="J41" s="59"/>
      <c r="K41" s="68">
        <f>SUM(K30:K40)</f>
        <v>82286755.360985965</v>
      </c>
      <c r="L41" s="71">
        <f>'Dec 08'!$K41/$K$2</f>
        <v>0.5911594756687234</v>
      </c>
      <c r="M41" s="72"/>
    </row>
    <row r="42" spans="1:16" s="44" customFormat="1" ht="12.75" x14ac:dyDescent="0.25">
      <c r="A42" s="36"/>
      <c r="B42" s="36"/>
      <c r="C42" s="36"/>
      <c r="D42" s="37"/>
      <c r="E42" s="38"/>
      <c r="F42" s="38"/>
      <c r="G42" s="74"/>
      <c r="H42" s="36"/>
      <c r="I42" s="36"/>
      <c r="J42" s="40"/>
      <c r="K42" s="41"/>
      <c r="L42" s="42"/>
      <c r="M42" s="43"/>
    </row>
    <row r="43" spans="1:16" s="44" customFormat="1" ht="25.5" x14ac:dyDescent="0.25">
      <c r="A43" s="36" t="s">
        <v>154</v>
      </c>
      <c r="B43" s="36" t="s">
        <v>45</v>
      </c>
      <c r="C43" s="36" t="s">
        <v>46</v>
      </c>
      <c r="D43" s="37">
        <v>2E-3</v>
      </c>
      <c r="E43" s="38">
        <f>'Dec 08'!$D43*$C$6*$C$2</f>
        <v>278756.46877400001</v>
      </c>
      <c r="F43" s="38">
        <v>49891.8</v>
      </c>
      <c r="G43" s="74">
        <f>'Dec 08'!$E43/'Dec 08'!$F43</f>
        <v>5.587220119819289</v>
      </c>
      <c r="H43" s="36">
        <v>5</v>
      </c>
      <c r="I43" s="36">
        <v>5</v>
      </c>
      <c r="J43" s="40">
        <f t="shared" ref="J43:J52" si="2">I43-H43</f>
        <v>0</v>
      </c>
      <c r="K43" s="41">
        <f>'Dec 08'!$F43*'Dec 08'!$I43</f>
        <v>249459</v>
      </c>
      <c r="L43" s="42">
        <f>'Dec 08'!$K43/$K$2</f>
        <v>1.7921480922890173E-3</v>
      </c>
      <c r="M43" s="43"/>
    </row>
    <row r="44" spans="1:16" s="44" customFormat="1" ht="25.5" x14ac:dyDescent="0.25">
      <c r="A44" s="36" t="s">
        <v>154</v>
      </c>
      <c r="B44" s="36" t="s">
        <v>156</v>
      </c>
      <c r="C44" s="36" t="s">
        <v>61</v>
      </c>
      <c r="D44" s="37">
        <v>2E-3</v>
      </c>
      <c r="E44" s="38">
        <f>'Dec 08'!$D44*$C$6*$C$2</f>
        <v>278756.46877400001</v>
      </c>
      <c r="F44" s="38">
        <v>86726.666666666701</v>
      </c>
      <c r="G44" s="74">
        <f>'Dec 08'!$E44/'Dec 08'!$F44</f>
        <v>3.2141955812206922</v>
      </c>
      <c r="H44" s="36">
        <v>3</v>
      </c>
      <c r="I44" s="36">
        <v>3</v>
      </c>
      <c r="J44" s="40">
        <f t="shared" si="2"/>
        <v>0</v>
      </c>
      <c r="K44" s="41">
        <f>'Dec 08'!$F44*'Dec 08'!$I44</f>
        <v>260180.00000000012</v>
      </c>
      <c r="L44" s="42">
        <f>'Dec 08'!$K44/$K$2</f>
        <v>1.8691692448528886E-3</v>
      </c>
      <c r="M44" s="43"/>
      <c r="P44" s="44" t="s">
        <v>157</v>
      </c>
    </row>
    <row r="45" spans="1:16" s="44" customFormat="1" ht="25.5" x14ac:dyDescent="0.25">
      <c r="A45" s="36" t="s">
        <v>154</v>
      </c>
      <c r="B45" s="36" t="s">
        <v>68</v>
      </c>
      <c r="C45" s="36" t="s">
        <v>69</v>
      </c>
      <c r="D45" s="37">
        <v>2E-3</v>
      </c>
      <c r="E45" s="38">
        <f>'Dec 08'!$D45*$C$6*$C$2</f>
        <v>278756.46877400001</v>
      </c>
      <c r="F45" s="38">
        <v>98180.666666666701</v>
      </c>
      <c r="G45" s="74">
        <f>'Dec 08'!$E45/'Dec 08'!$F45</f>
        <v>2.8392195555200948</v>
      </c>
      <c r="H45" s="36">
        <v>3</v>
      </c>
      <c r="I45" s="36">
        <v>3</v>
      </c>
      <c r="J45" s="40">
        <f t="shared" si="2"/>
        <v>0</v>
      </c>
      <c r="K45" s="41">
        <f>'Dec 08'!$F45*'Dec 08'!$I45</f>
        <v>294542.00000000012</v>
      </c>
      <c r="L45" s="42">
        <f>'Dec 08'!$K45/$K$2</f>
        <v>2.1160306238660136E-3</v>
      </c>
      <c r="M45" s="43"/>
    </row>
    <row r="46" spans="1:16" s="44" customFormat="1" ht="25.5" x14ac:dyDescent="0.25">
      <c r="A46" s="36" t="s">
        <v>154</v>
      </c>
      <c r="B46" s="36" t="s">
        <v>70</v>
      </c>
      <c r="C46" s="36" t="s">
        <v>71</v>
      </c>
      <c r="D46" s="37">
        <v>2E-3</v>
      </c>
      <c r="E46" s="38">
        <f>'Dec 08'!$D46*$C$6*$C$2</f>
        <v>278756.46877400001</v>
      </c>
      <c r="F46" s="38">
        <v>232320</v>
      </c>
      <c r="G46" s="74">
        <f>'Dec 08'!$E46/'Dec 08'!$F46</f>
        <v>1.1998814943784435</v>
      </c>
      <c r="H46" s="36">
        <v>1</v>
      </c>
      <c r="I46" s="36">
        <v>1</v>
      </c>
      <c r="J46" s="40">
        <f t="shared" si="2"/>
        <v>0</v>
      </c>
      <c r="K46" s="41">
        <f>'Dec 08'!$F46*'Dec 08'!$I46</f>
        <v>232320</v>
      </c>
      <c r="L46" s="42">
        <f>'Dec 08'!$K46/$K$2</f>
        <v>1.6690191366139707E-3</v>
      </c>
      <c r="M46" s="43"/>
    </row>
    <row r="47" spans="1:16" s="44" customFormat="1" ht="25.5" x14ac:dyDescent="0.25">
      <c r="A47" s="36" t="s">
        <v>154</v>
      </c>
      <c r="B47" s="36" t="s">
        <v>159</v>
      </c>
      <c r="C47" s="36" t="s">
        <v>73</v>
      </c>
      <c r="D47" s="37">
        <v>2E-3</v>
      </c>
      <c r="E47" s="38">
        <f>'Dec 08'!$D47*$C$6*$C$2</f>
        <v>278756.46877400001</v>
      </c>
      <c r="F47" s="38">
        <v>14593.1052631579</v>
      </c>
      <c r="G47" s="74">
        <f>'Dec 08'!$E47/'Dec 08'!$F47</f>
        <v>19.101929558320613</v>
      </c>
      <c r="H47" s="36">
        <v>19</v>
      </c>
      <c r="I47" s="36">
        <v>19</v>
      </c>
      <c r="J47" s="40">
        <f t="shared" si="2"/>
        <v>0</v>
      </c>
      <c r="K47" s="41">
        <f>'Dec 08'!$F47*'Dec 08'!$I47</f>
        <v>277269.00000000012</v>
      </c>
      <c r="L47" s="42">
        <f>'Dec 08'!$K47/$K$2</f>
        <v>1.9919389935856542E-3</v>
      </c>
      <c r="M47" s="43"/>
    </row>
    <row r="48" spans="1:16" s="4" customFormat="1" ht="25.5" x14ac:dyDescent="0.2">
      <c r="A48" s="36" t="s">
        <v>154</v>
      </c>
      <c r="B48" s="63" t="s">
        <v>90</v>
      </c>
      <c r="C48" s="63" t="s">
        <v>91</v>
      </c>
      <c r="D48" s="37">
        <v>2E-3</v>
      </c>
      <c r="E48" s="38">
        <f>'Dec 08'!$D48*$C$6*$C$2</f>
        <v>278756.46877400001</v>
      </c>
      <c r="F48" s="38">
        <v>69323</v>
      </c>
      <c r="G48" s="74">
        <f>'Dec 08'!$E48/'Dec 08'!$F48</f>
        <v>4.0211252942602025</v>
      </c>
      <c r="H48" s="36">
        <v>4</v>
      </c>
      <c r="I48" s="36">
        <v>4</v>
      </c>
      <c r="J48" s="40">
        <f t="shared" si="2"/>
        <v>0</v>
      </c>
      <c r="K48" s="41">
        <f>'Dec 08'!$F48*'Dec 08'!$I48</f>
        <v>277292</v>
      </c>
      <c r="L48" s="42">
        <f>'Dec 08'!$K48/$K$2</f>
        <v>1.9921042287791026E-3</v>
      </c>
      <c r="M48" s="64"/>
    </row>
    <row r="49" spans="1:13" s="44" customFormat="1" ht="25.5" x14ac:dyDescent="0.25">
      <c r="A49" s="36" t="s">
        <v>154</v>
      </c>
      <c r="B49" s="36" t="s">
        <v>163</v>
      </c>
      <c r="C49" s="36" t="s">
        <v>67</v>
      </c>
      <c r="D49" s="37">
        <v>2E-3</v>
      </c>
      <c r="E49" s="38">
        <f>'Dec 08'!$D49*$C$6*$C$2</f>
        <v>278756.46877400001</v>
      </c>
      <c r="F49" s="38">
        <v>24370</v>
      </c>
      <c r="G49" s="74">
        <f>'Dec 08'!$E49/'Dec 08'!$F49</f>
        <v>11.438509182355356</v>
      </c>
      <c r="H49" s="36">
        <v>9</v>
      </c>
      <c r="I49" s="36">
        <v>9</v>
      </c>
      <c r="J49" s="40">
        <f t="shared" si="2"/>
        <v>0</v>
      </c>
      <c r="K49" s="41">
        <f>'Dec 08'!$F49*'Dec 08'!$I49</f>
        <v>219330</v>
      </c>
      <c r="L49" s="42">
        <f>'Dec 08'!$K49/$K$2</f>
        <v>1.5756971730093931E-3</v>
      </c>
      <c r="M49" s="43"/>
    </row>
    <row r="50" spans="1:13" s="44" customFormat="1" ht="25.5" x14ac:dyDescent="0.25">
      <c r="A50" s="36" t="s">
        <v>154</v>
      </c>
      <c r="B50" s="36" t="s">
        <v>77</v>
      </c>
      <c r="C50" s="36" t="s">
        <v>78</v>
      </c>
      <c r="D50" s="37">
        <v>2E-3</v>
      </c>
      <c r="E50" s="38">
        <f>'Dec 08'!$D50*$C$6*$C$2</f>
        <v>278756.46877400001</v>
      </c>
      <c r="F50" s="38">
        <v>7810</v>
      </c>
      <c r="G50" s="74">
        <f>'Dec 08'!$E50/'Dec 08'!$F50</f>
        <v>35.692249522919333</v>
      </c>
      <c r="H50" s="36">
        <v>34</v>
      </c>
      <c r="I50" s="36">
        <v>34</v>
      </c>
      <c r="J50" s="40">
        <f t="shared" si="2"/>
        <v>0</v>
      </c>
      <c r="K50" s="41">
        <f>'Dec 08'!$F50*'Dec 08'!$I50</f>
        <v>265540</v>
      </c>
      <c r="L50" s="42">
        <f>'Dec 08'!$K50/$K$2</f>
        <v>1.9076762290654002E-3</v>
      </c>
      <c r="M50" s="43"/>
    </row>
    <row r="51" spans="1:13" s="44" customFormat="1" ht="25.5" x14ac:dyDescent="0.25">
      <c r="A51" s="36" t="s">
        <v>154</v>
      </c>
      <c r="B51" s="36" t="s">
        <v>63</v>
      </c>
      <c r="C51" s="36" t="s">
        <v>64</v>
      </c>
      <c r="D51" s="37">
        <v>2E-3</v>
      </c>
      <c r="E51" s="38">
        <f>'Dec 08'!$D51*$C$6*$C$2</f>
        <v>278756.46877400001</v>
      </c>
      <c r="F51" s="38">
        <v>27050.888888888901</v>
      </c>
      <c r="G51" s="74">
        <f>'Dec 08'!$E51/'Dec 08'!$F51</f>
        <v>10.304891270633945</v>
      </c>
      <c r="H51" s="36">
        <v>9</v>
      </c>
      <c r="I51" s="36">
        <v>9</v>
      </c>
      <c r="J51" s="40">
        <f t="shared" si="2"/>
        <v>0</v>
      </c>
      <c r="K51" s="41">
        <f>'Dec 08'!$F51*'Dec 08'!$I51</f>
        <v>243458.00000000012</v>
      </c>
      <c r="L51" s="42">
        <f>'Dec 08'!$K51/$K$2</f>
        <v>1.7490360750764646E-3</v>
      </c>
      <c r="M51" s="43"/>
    </row>
    <row r="52" spans="1:13" s="44" customFormat="1" ht="25.5" x14ac:dyDescent="0.25">
      <c r="A52" s="36" t="s">
        <v>154</v>
      </c>
      <c r="B52" s="36" t="s">
        <v>88</v>
      </c>
      <c r="C52" s="36" t="s">
        <v>89</v>
      </c>
      <c r="D52" s="37">
        <v>2E-3</v>
      </c>
      <c r="E52" s="38">
        <f>'Dec 08'!$D52*$C$6*$C$2</f>
        <v>278756.46877400001</v>
      </c>
      <c r="F52" s="38">
        <v>57892.5</v>
      </c>
      <c r="G52" s="74">
        <f>'Dec 08'!$E52/'Dec 08'!$F52</f>
        <v>4.8150704974564924</v>
      </c>
      <c r="H52" s="36">
        <v>4</v>
      </c>
      <c r="I52" s="36">
        <v>4</v>
      </c>
      <c r="J52" s="40">
        <f t="shared" si="2"/>
        <v>0</v>
      </c>
      <c r="K52" s="41">
        <f>'Dec 08'!$F52*'Dec 08'!$I52</f>
        <v>231570</v>
      </c>
      <c r="L52" s="42">
        <f>'Dec 08'!$K52/$K$2</f>
        <v>1.6636310324797572E-3</v>
      </c>
      <c r="M52" s="43"/>
    </row>
    <row r="53" spans="1:13" s="44" customFormat="1" ht="12.75" x14ac:dyDescent="0.25">
      <c r="A53" s="36"/>
      <c r="B53" s="36"/>
      <c r="C53" s="36"/>
      <c r="D53" s="37"/>
      <c r="E53" s="38"/>
      <c r="F53" s="38"/>
      <c r="G53" s="39"/>
      <c r="H53" s="36"/>
      <c r="I53" s="36"/>
      <c r="J53" s="43"/>
      <c r="K53" s="41"/>
      <c r="L53" s="42"/>
      <c r="M53" s="43"/>
    </row>
    <row r="54" spans="1:13" s="17" customFormat="1" ht="12.75" x14ac:dyDescent="0.2">
      <c r="A54" s="48" t="s">
        <v>164</v>
      </c>
      <c r="B54" s="67"/>
      <c r="C54" s="67"/>
      <c r="D54" s="75">
        <f>SUM(D43:D53)</f>
        <v>2.0000000000000004E-2</v>
      </c>
      <c r="E54" s="50">
        <f>SUM(E42:E53)</f>
        <v>2787564.6877400004</v>
      </c>
      <c r="F54" s="70"/>
      <c r="G54" s="70"/>
      <c r="H54" s="67"/>
      <c r="I54" s="67"/>
      <c r="J54" s="48"/>
      <c r="K54" s="50">
        <f>SUM(K42:K53)</f>
        <v>2550960.0000000005</v>
      </c>
      <c r="L54" s="53">
        <f>'Dec 08'!$K54/$K$2</f>
        <v>1.8326450829617664E-2</v>
      </c>
      <c r="M54" s="60"/>
    </row>
    <row r="55" spans="1:13" s="4" customFormat="1" ht="12.75" x14ac:dyDescent="0.2">
      <c r="A55" s="36"/>
      <c r="B55" s="63"/>
      <c r="C55" s="63"/>
      <c r="D55" s="76"/>
      <c r="E55" s="38"/>
      <c r="F55" s="38"/>
      <c r="G55" s="39"/>
      <c r="H55" s="63"/>
      <c r="I55" s="63"/>
      <c r="J55" s="36"/>
      <c r="K55" s="36"/>
      <c r="L55" s="42"/>
      <c r="M55" s="64"/>
    </row>
    <row r="56" spans="1:13" s="44" customFormat="1" ht="25.5" x14ac:dyDescent="0.25">
      <c r="A56" s="48" t="s">
        <v>165</v>
      </c>
      <c r="B56" s="55" t="s">
        <v>166</v>
      </c>
      <c r="C56" s="55" t="s">
        <v>167</v>
      </c>
      <c r="D56" s="56">
        <v>0</v>
      </c>
      <c r="E56" s="57">
        <f>'Dec 08'!$D56*$C$6*$C$2</f>
        <v>0</v>
      </c>
      <c r="F56" s="57">
        <v>0</v>
      </c>
      <c r="G56" s="58" t="s">
        <v>168</v>
      </c>
      <c r="H56" s="55">
        <v>0</v>
      </c>
      <c r="I56" s="55">
        <v>0</v>
      </c>
      <c r="J56" s="77">
        <f>I56-H56</f>
        <v>0</v>
      </c>
      <c r="K56" s="57">
        <f>'Dec 08'!$F56*'Dec 08'!$I56</f>
        <v>0</v>
      </c>
      <c r="L56" s="78">
        <f>'Dec 08'!$K56/$K$2</f>
        <v>0</v>
      </c>
      <c r="M56" s="55"/>
    </row>
    <row r="57" spans="1:13" s="4" customFormat="1" ht="12.75" x14ac:dyDescent="0.2">
      <c r="A57" s="36"/>
      <c r="B57" s="63"/>
      <c r="C57" s="63"/>
      <c r="D57" s="76"/>
      <c r="E57" s="38"/>
      <c r="F57" s="38"/>
      <c r="G57" s="39"/>
      <c r="H57" s="63"/>
      <c r="I57" s="63"/>
      <c r="J57" s="36"/>
      <c r="K57" s="36"/>
      <c r="L57" s="42"/>
      <c r="M57" s="64"/>
    </row>
    <row r="58" spans="1:13" s="4" customFormat="1" ht="12.75" x14ac:dyDescent="0.2">
      <c r="A58" s="36"/>
      <c r="B58" s="63"/>
      <c r="C58" s="63"/>
      <c r="D58" s="79"/>
      <c r="E58" s="65"/>
      <c r="F58" s="38"/>
      <c r="G58" s="39"/>
      <c r="H58" s="63"/>
      <c r="I58" s="63"/>
      <c r="J58" s="36"/>
      <c r="K58" s="36"/>
      <c r="L58" s="42"/>
      <c r="M58" s="64"/>
    </row>
    <row r="59" spans="1:13" s="17" customFormat="1" ht="12.75" x14ac:dyDescent="0.2">
      <c r="A59" s="48" t="s">
        <v>169</v>
      </c>
      <c r="B59" s="67"/>
      <c r="C59" s="67"/>
      <c r="D59" s="67"/>
      <c r="E59" s="80"/>
      <c r="F59" s="80"/>
      <c r="G59" s="48"/>
      <c r="H59" s="67"/>
      <c r="I59" s="67"/>
      <c r="J59" s="67"/>
      <c r="K59" s="80">
        <f>SUM(K26,K28,K41,K54,K56:K56)</f>
        <v>139195528.02211732</v>
      </c>
      <c r="L59" s="53">
        <f>'Dec 08'!$K59/$K$2</f>
        <v>1</v>
      </c>
      <c r="M59" s="67"/>
    </row>
    <row r="60" spans="1:13" s="4" customFormat="1" ht="12.75" x14ac:dyDescent="0.2">
      <c r="A60" s="64"/>
      <c r="B60" s="64"/>
      <c r="C60" s="64"/>
      <c r="D60" s="81"/>
      <c r="E60" s="82"/>
      <c r="F60" s="38"/>
      <c r="G60" s="83"/>
      <c r="H60" s="64"/>
      <c r="I60" s="64"/>
      <c r="J60" s="64"/>
      <c r="K60" s="64"/>
      <c r="L60" s="42"/>
      <c r="M60" s="64"/>
    </row>
    <row r="61" spans="1:13" s="4" customFormat="1" ht="12.75" x14ac:dyDescent="0.2">
      <c r="A61" s="64"/>
      <c r="B61" s="64"/>
      <c r="C61" s="64"/>
      <c r="D61" s="81"/>
      <c r="E61" s="82"/>
      <c r="F61" s="38"/>
      <c r="G61" s="83"/>
      <c r="H61" s="64"/>
      <c r="I61" s="64"/>
      <c r="J61" s="64"/>
      <c r="K61" s="64"/>
      <c r="L61" s="42"/>
      <c r="M61" s="64"/>
    </row>
    <row r="62" spans="1:13" s="4" customFormat="1" ht="12.75" x14ac:dyDescent="0.2">
      <c r="A62" s="64"/>
      <c r="B62" s="64"/>
      <c r="C62" s="64"/>
      <c r="D62" s="81"/>
      <c r="E62" s="82"/>
      <c r="F62" s="38"/>
      <c r="G62" s="83"/>
      <c r="H62" s="64"/>
      <c r="I62" s="64"/>
      <c r="J62" s="64"/>
      <c r="K62" s="64"/>
      <c r="L62" s="42"/>
      <c r="M62" s="64"/>
    </row>
    <row r="63" spans="1:13" s="4" customFormat="1" ht="12.75" x14ac:dyDescent="0.2">
      <c r="A63" s="64"/>
      <c r="B63" s="64"/>
      <c r="C63" s="64"/>
      <c r="D63" s="81"/>
      <c r="E63" s="82"/>
      <c r="F63" s="38"/>
      <c r="G63" s="83"/>
      <c r="H63" s="64"/>
      <c r="I63" s="64"/>
      <c r="J63" s="64"/>
      <c r="K63" s="64"/>
      <c r="L63" s="42"/>
      <c r="M63" s="64"/>
    </row>
    <row r="64" spans="1:13" s="4" customFormat="1" ht="12.75" x14ac:dyDescent="0.2">
      <c r="A64" s="64"/>
      <c r="B64" s="64"/>
      <c r="C64" s="64"/>
      <c r="D64" s="81"/>
      <c r="E64" s="82"/>
      <c r="F64" s="38"/>
      <c r="G64" s="83"/>
      <c r="H64" s="64"/>
      <c r="I64" s="64"/>
      <c r="J64" s="64"/>
      <c r="K64" s="64"/>
      <c r="L64" s="42"/>
      <c r="M64" s="64"/>
    </row>
    <row r="65" spans="1:13" s="4" customFormat="1" ht="12.75" x14ac:dyDescent="0.2">
      <c r="A65" s="64"/>
      <c r="B65" s="64"/>
      <c r="C65" s="64"/>
      <c r="D65" s="81"/>
      <c r="E65" s="82"/>
      <c r="F65" s="38"/>
      <c r="G65" s="83"/>
      <c r="H65" s="64"/>
      <c r="I65" s="64"/>
      <c r="J65" s="64"/>
      <c r="K65" s="64"/>
      <c r="L65" s="42"/>
      <c r="M65" s="64"/>
    </row>
    <row r="66" spans="1:13" s="4" customFormat="1" ht="12.75" x14ac:dyDescent="0.2">
      <c r="A66" s="64"/>
      <c r="B66" s="64"/>
      <c r="C66" s="64"/>
      <c r="D66" s="81"/>
      <c r="E66" s="82"/>
      <c r="F66" s="38"/>
      <c r="G66" s="83"/>
      <c r="H66" s="64"/>
      <c r="I66" s="64"/>
      <c r="J66" s="64"/>
      <c r="K66" s="64"/>
      <c r="L66" s="42"/>
      <c r="M66" s="64"/>
    </row>
    <row r="67" spans="1:13" s="4" customFormat="1" ht="12.75" x14ac:dyDescent="0.2">
      <c r="A67" s="64"/>
      <c r="B67" s="64"/>
      <c r="C67" s="64"/>
      <c r="D67" s="81"/>
      <c r="E67" s="82"/>
      <c r="F67" s="38"/>
      <c r="G67" s="83"/>
      <c r="H67" s="64"/>
      <c r="I67" s="64"/>
      <c r="J67" s="64"/>
      <c r="K67" s="64"/>
      <c r="L67" s="42"/>
      <c r="M67" s="64"/>
    </row>
    <row r="68" spans="1:13" s="4" customFormat="1" ht="12.75" x14ac:dyDescent="0.2">
      <c r="A68" s="64"/>
      <c r="B68" s="64"/>
      <c r="C68" s="64"/>
      <c r="D68" s="81"/>
      <c r="E68" s="82"/>
      <c r="F68" s="38"/>
      <c r="G68" s="83"/>
      <c r="H68" s="64"/>
      <c r="I68" s="64"/>
      <c r="J68" s="64"/>
      <c r="K68" s="64"/>
      <c r="L68" s="42"/>
      <c r="M68" s="64"/>
    </row>
    <row r="69" spans="1:13" s="4" customFormat="1" ht="12.75" x14ac:dyDescent="0.2"/>
    <row r="70" spans="1:13" s="4" customFormat="1" ht="12.75" x14ac:dyDescent="0.2"/>
    <row r="72" spans="1:13" s="4" customFormat="1" ht="12.75" x14ac:dyDescent="0.2">
      <c r="A72" s="84"/>
      <c r="B72" s="84"/>
      <c r="E72" s="84"/>
      <c r="F72" s="84"/>
      <c r="G72" s="84"/>
      <c r="H72" s="85"/>
      <c r="M72" s="84"/>
    </row>
    <row r="73" spans="1:13" s="4" customFormat="1" ht="12.75" x14ac:dyDescent="0.2">
      <c r="A73" s="84"/>
      <c r="B73" s="84"/>
      <c r="E73" s="84"/>
      <c r="F73" s="84"/>
      <c r="G73" s="84"/>
      <c r="H73" s="85"/>
      <c r="M73" s="84"/>
    </row>
    <row r="74" spans="1:13" s="4" customFormat="1" ht="12.75" x14ac:dyDescent="0.2">
      <c r="A74" s="86"/>
      <c r="B74" s="86"/>
    </row>
    <row r="75" spans="1:13" s="4" customFormat="1" ht="12.75" x14ac:dyDescent="0.2">
      <c r="A75" s="87"/>
      <c r="B75" s="87"/>
      <c r="E75" s="87"/>
      <c r="F75" s="86"/>
      <c r="G75" s="86"/>
      <c r="M75" s="88"/>
    </row>
    <row r="76" spans="1:13" s="4" customFormat="1" ht="12.75" x14ac:dyDescent="0.2"/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H74"/>
  <sheetViews>
    <sheetView zoomScale="140" zoomScaleNormal="140" workbookViewId="0">
      <pane xSplit="2" topLeftCell="C1" activePane="topRight" state="frozen"/>
      <selection pane="topRight" activeCell="H16" sqref="H16"/>
    </sheetView>
  </sheetViews>
  <sheetFormatPr defaultColWidth="9.140625" defaultRowHeight="15" x14ac:dyDescent="0.25"/>
  <cols>
    <col min="1" max="2" width="15.140625" style="4" customWidth="1"/>
    <col min="3" max="3" width="29.28515625" style="4" customWidth="1"/>
    <col min="4" max="4" width="14.85546875" style="4" customWidth="1"/>
    <col min="5" max="5" width="27.42578125" style="4" customWidth="1"/>
    <col min="6" max="7" width="13.7109375" style="4" customWidth="1"/>
    <col min="8" max="8" width="16.42578125" style="4" customWidth="1"/>
    <col min="9" max="9" width="15.42578125" style="4" customWidth="1"/>
    <col min="10" max="10" width="13.42578125" customWidth="1"/>
    <col min="11" max="11" width="23.42578125" customWidth="1"/>
    <col min="12" max="12" width="13.42578125" customWidth="1"/>
    <col min="13" max="13" width="22.42578125" style="4" customWidth="1"/>
    <col min="14" max="16" width="10.85546875" style="4" customWidth="1"/>
    <col min="17" max="17" width="11.28515625" style="4" customWidth="1"/>
    <col min="18" max="1022" width="9.140625" style="4"/>
  </cols>
  <sheetData>
    <row r="1" spans="1:17" s="4" customFormat="1" ht="25.5" x14ac:dyDescent="0.2">
      <c r="A1" s="5"/>
      <c r="B1" s="5" t="s">
        <v>95</v>
      </c>
      <c r="C1" s="6">
        <v>44174</v>
      </c>
      <c r="D1" s="7"/>
      <c r="E1" s="8" t="s">
        <v>96</v>
      </c>
      <c r="F1" s="9"/>
      <c r="G1" s="10"/>
      <c r="K1" s="11" t="s">
        <v>97</v>
      </c>
      <c r="L1" s="11" t="s">
        <v>98</v>
      </c>
      <c r="M1" s="12" t="s">
        <v>99</v>
      </c>
    </row>
    <row r="2" spans="1:17" x14ac:dyDescent="0.25">
      <c r="A2" s="5"/>
      <c r="B2" s="5" t="s">
        <v>100</v>
      </c>
      <c r="C2" s="13">
        <v>4.9000000000000004</v>
      </c>
      <c r="D2" s="14"/>
      <c r="E2" s="15">
        <f>SUM(E24,E39,E52,E26,E54)</f>
        <v>140421995.77185532</v>
      </c>
      <c r="F2" s="16"/>
      <c r="G2" s="17"/>
      <c r="H2" s="14"/>
      <c r="I2" s="14"/>
      <c r="J2" s="14"/>
      <c r="K2" s="15">
        <f>SUM(K24,K39,K52,K26,K54:K54)</f>
        <v>140236415.99331719</v>
      </c>
      <c r="L2" s="18">
        <f>SUM(L52,L39,L24,L26,L54)</f>
        <v>1</v>
      </c>
      <c r="M2" s="19">
        <f>K2/$C$6</f>
        <v>4.8935291209087008</v>
      </c>
      <c r="N2" s="20"/>
    </row>
    <row r="3" spans="1:17" ht="26.25" x14ac:dyDescent="0.25">
      <c r="A3" s="5"/>
      <c r="B3" s="5" t="s">
        <v>101</v>
      </c>
      <c r="C3" s="21">
        <v>28657521.5</v>
      </c>
      <c r="D3" s="22"/>
      <c r="E3" s="8" t="s">
        <v>170</v>
      </c>
      <c r="F3" s="16"/>
      <c r="H3" s="14"/>
      <c r="I3" s="14"/>
      <c r="J3" s="14"/>
      <c r="K3" s="8" t="s">
        <v>102</v>
      </c>
      <c r="L3" s="14"/>
      <c r="M3" s="12" t="s">
        <v>171</v>
      </c>
      <c r="N3" s="23"/>
    </row>
    <row r="4" spans="1:17" x14ac:dyDescent="0.25">
      <c r="A4" s="5"/>
      <c r="B4" s="5" t="s">
        <v>104</v>
      </c>
      <c r="C4" s="21">
        <v>0</v>
      </c>
      <c r="D4" s="22"/>
      <c r="E4" s="15">
        <f>SUM(E24,E52,E26)</f>
        <v>57573101.115355365</v>
      </c>
      <c r="F4" s="16"/>
      <c r="G4" s="17"/>
      <c r="H4" s="14"/>
      <c r="I4" s="14"/>
      <c r="J4" s="14"/>
      <c r="K4" s="15">
        <f>SUM(K24,K26,K52)</f>
        <v>57454305.660899393</v>
      </c>
      <c r="L4" s="14"/>
      <c r="M4" s="19">
        <f>K4/$C$6</f>
        <v>2.004859550080051</v>
      </c>
      <c r="N4" s="23"/>
    </row>
    <row r="5" spans="1:17" x14ac:dyDescent="0.25">
      <c r="A5" s="5"/>
      <c r="B5" s="5" t="s">
        <v>105</v>
      </c>
      <c r="C5" s="21">
        <v>0</v>
      </c>
      <c r="D5" s="22"/>
      <c r="E5" s="16"/>
      <c r="F5" s="16"/>
      <c r="G5" s="24">
        <f>SUM(D24,D26,D39,D52,D54:D54)</f>
        <v>1.0000009999999999</v>
      </c>
      <c r="H5" s="14"/>
      <c r="I5" s="14"/>
      <c r="J5" s="14"/>
      <c r="K5" s="14"/>
      <c r="L5" s="14"/>
      <c r="M5" s="14"/>
      <c r="N5" s="23"/>
    </row>
    <row r="6" spans="1:17" x14ac:dyDescent="0.25">
      <c r="A6" s="5"/>
      <c r="B6" s="5" t="s">
        <v>106</v>
      </c>
      <c r="C6" s="21">
        <f>C3+C4-C5</f>
        <v>28657521.5</v>
      </c>
      <c r="D6" s="22"/>
      <c r="E6" s="16"/>
      <c r="F6" s="16"/>
      <c r="G6" s="17"/>
      <c r="H6" s="14"/>
      <c r="I6" s="14"/>
      <c r="J6" s="14"/>
      <c r="K6" s="14"/>
      <c r="L6" s="14"/>
      <c r="M6" s="14"/>
      <c r="N6" s="23"/>
    </row>
    <row r="7" spans="1:17" x14ac:dyDescent="0.25">
      <c r="A7" s="25"/>
      <c r="B7" s="26"/>
      <c r="C7" s="26"/>
      <c r="D7" s="27"/>
      <c r="E7" s="28"/>
      <c r="F7" s="28"/>
      <c r="G7" s="28"/>
      <c r="H7" s="29"/>
      <c r="I7" s="29"/>
      <c r="J7" s="29"/>
      <c r="K7" s="14"/>
      <c r="L7" s="14"/>
      <c r="M7" s="14"/>
      <c r="N7" s="23"/>
    </row>
    <row r="8" spans="1:17" s="34" customFormat="1" ht="38.25" x14ac:dyDescent="0.2">
      <c r="A8" s="30" t="s">
        <v>107</v>
      </c>
      <c r="B8" s="30" t="s">
        <v>108</v>
      </c>
      <c r="C8" s="31" t="s">
        <v>1</v>
      </c>
      <c r="D8" s="31" t="s">
        <v>109</v>
      </c>
      <c r="E8" s="31" t="s">
        <v>110</v>
      </c>
      <c r="F8" s="31" t="s">
        <v>111</v>
      </c>
      <c r="G8" s="31" t="s">
        <v>112</v>
      </c>
      <c r="H8" s="31" t="s">
        <v>113</v>
      </c>
      <c r="I8" s="31" t="s">
        <v>114</v>
      </c>
      <c r="J8" s="31" t="s">
        <v>115</v>
      </c>
      <c r="K8" s="32" t="s">
        <v>116</v>
      </c>
      <c r="L8" s="32" t="s">
        <v>117</v>
      </c>
      <c r="M8" s="32" t="s">
        <v>118</v>
      </c>
      <c r="N8" s="33"/>
      <c r="Q8" s="35"/>
    </row>
    <row r="9" spans="1:17" s="44" customFormat="1" ht="12.75" customHeight="1" x14ac:dyDescent="0.25">
      <c r="A9" s="36" t="s">
        <v>119</v>
      </c>
      <c r="B9" s="36" t="s">
        <v>120</v>
      </c>
      <c r="C9" s="36" t="s">
        <v>121</v>
      </c>
      <c r="D9" s="37">
        <v>9.7999999999999997E-3</v>
      </c>
      <c r="E9" s="38">
        <f>'Dec 09'!$D9*$C$6*$C$2</f>
        <v>1376134.18243</v>
      </c>
      <c r="F9" s="38">
        <v>655.25024342745905</v>
      </c>
      <c r="G9" s="39">
        <f>'Dec 09'!$E9/'Dec 09'!$F9</f>
        <v>2100.1658469163895</v>
      </c>
      <c r="H9" s="36">
        <v>2054</v>
      </c>
      <c r="I9" s="36">
        <f>ROUND(Table1389584567991011121314456267891011121314151617181920213456789101112131415161718192021222334567891011121314151617181920345678[[#This Row],[Target Quantity]],0)</f>
        <v>2100</v>
      </c>
      <c r="J9" s="40">
        <f t="shared" ref="J9:J22" si="0">I9-H9</f>
        <v>46</v>
      </c>
      <c r="K9" s="41">
        <f>'Dec 09'!$F9*'Dec 09'!$I9</f>
        <v>1376025.5111976641</v>
      </c>
      <c r="L9" s="42">
        <f>'Dec 09'!$K9/$K$2</f>
        <v>9.8121839570061258E-3</v>
      </c>
      <c r="M9" s="43"/>
    </row>
    <row r="10" spans="1:17" s="45" customFormat="1" ht="12.75" customHeight="1" x14ac:dyDescent="0.25">
      <c r="A10" s="36" t="s">
        <v>119</v>
      </c>
      <c r="B10" s="36" t="s">
        <v>43</v>
      </c>
      <c r="C10" s="36" t="s">
        <v>44</v>
      </c>
      <c r="D10" s="37">
        <v>9.7999999999999997E-3</v>
      </c>
      <c r="E10" s="38">
        <f>'Dec 09'!$D10*$C$6*$C$2</f>
        <v>1376134.18243</v>
      </c>
      <c r="F10" s="38">
        <v>410</v>
      </c>
      <c r="G10" s="39">
        <f>'Dec 09'!$E10/'Dec 09'!$F10</f>
        <v>3356.4248351951219</v>
      </c>
      <c r="H10" s="36">
        <v>3364</v>
      </c>
      <c r="I10" s="36">
        <f>ROUND(Table1389584567991011121314456267891011121314151617181920213456789101112131415161718192021222334567891011121314151617181920345678[[#This Row],[Target Quantity]],0)</f>
        <v>3356</v>
      </c>
      <c r="J10" s="40">
        <f t="shared" si="0"/>
        <v>-8</v>
      </c>
      <c r="K10" s="41">
        <f>'Dec 09'!$F10*'Dec 09'!$I10</f>
        <v>1375960</v>
      </c>
      <c r="L10" s="42">
        <f>'Dec 09'!$K10/$K$2</f>
        <v>9.8117168087465227E-3</v>
      </c>
      <c r="M10" s="36"/>
      <c r="O10" s="44"/>
    </row>
    <row r="11" spans="1:17" s="45" customFormat="1" ht="12.75" customHeight="1" x14ac:dyDescent="0.25">
      <c r="A11" s="36" t="s">
        <v>119</v>
      </c>
      <c r="B11" s="36" t="s">
        <v>25</v>
      </c>
      <c r="C11" s="36" t="s">
        <v>26</v>
      </c>
      <c r="D11" s="37">
        <v>9.7999999999999997E-3</v>
      </c>
      <c r="E11" s="38">
        <f>'Dec 09'!$D11*$C$6*$C$2</f>
        <v>1376134.18243</v>
      </c>
      <c r="F11" s="38">
        <v>301.45009784735799</v>
      </c>
      <c r="G11" s="39">
        <f>'Dec 09'!$E11/'Dec 09'!$F11</f>
        <v>4565.0480535813858</v>
      </c>
      <c r="H11" s="36">
        <v>4599</v>
      </c>
      <c r="I11" s="36">
        <f>ROUND(Table1389584567991011121314456267891011121314151617181920213456789101112131415161718192021222334567891011121314151617181920345678[[#This Row],[Target Quantity]],0)</f>
        <v>4565</v>
      </c>
      <c r="J11" s="40">
        <f t="shared" si="0"/>
        <v>-34</v>
      </c>
      <c r="K11" s="41">
        <f>'Dec 09'!$F11*'Dec 09'!$I11</f>
        <v>1376119.6966731893</v>
      </c>
      <c r="L11" s="42">
        <f>'Dec 09'!$K11/$K$2</f>
        <v>9.8128555762489449E-3</v>
      </c>
      <c r="M11" s="36"/>
      <c r="O11" s="44"/>
    </row>
    <row r="12" spans="1:17" s="45" customFormat="1" ht="12.75" customHeight="1" x14ac:dyDescent="0.25">
      <c r="A12" s="36" t="s">
        <v>119</v>
      </c>
      <c r="B12" s="36" t="s">
        <v>128</v>
      </c>
      <c r="C12" s="36" t="s">
        <v>129</v>
      </c>
      <c r="D12" s="37">
        <v>9.7999999999999997E-3</v>
      </c>
      <c r="E12" s="38">
        <f>'Dec 09'!$D12*$C$6*$C$2</f>
        <v>1376134.18243</v>
      </c>
      <c r="F12" s="38">
        <v>24.509995920032601</v>
      </c>
      <c r="G12" s="39">
        <f>'Dec 09'!$E12/'Dec 09'!$F12</f>
        <v>56145.834822650984</v>
      </c>
      <c r="H12" s="36">
        <v>56373</v>
      </c>
      <c r="I12" s="36">
        <f>ROUND(Table1389584567991011121314456267891011121314151617181920213456789101112131415161718192021222334567891011121314151617181920345678[[#This Row],[Target Quantity]],0)</f>
        <v>56146</v>
      </c>
      <c r="J12" s="40">
        <f t="shared" si="0"/>
        <v>-227</v>
      </c>
      <c r="K12" s="41">
        <f>'Dec 09'!$F12*'Dec 09'!$I12</f>
        <v>1376138.2309261505</v>
      </c>
      <c r="L12" s="42">
        <f>'Dec 09'!$K12/$K$2</f>
        <v>9.8129877405860738E-3</v>
      </c>
      <c r="M12" s="36"/>
      <c r="O12" s="44"/>
    </row>
    <row r="13" spans="1:17" s="45" customFormat="1" ht="12.75" customHeight="1" x14ac:dyDescent="0.25">
      <c r="A13" s="36" t="s">
        <v>119</v>
      </c>
      <c r="B13" s="36" t="s">
        <v>33</v>
      </c>
      <c r="C13" s="36" t="s">
        <v>34</v>
      </c>
      <c r="D13" s="37">
        <v>4.8999999999999998E-3</v>
      </c>
      <c r="E13" s="38">
        <f>'Dec 09'!$D13*$C$6*$C$2</f>
        <v>688067.09121500002</v>
      </c>
      <c r="F13" s="38">
        <v>40.959992929530998</v>
      </c>
      <c r="G13" s="39">
        <f>'Dec 09'!$E13/'Dec 09'!$F13</f>
        <v>16798.515868857074</v>
      </c>
      <c r="H13" s="36">
        <v>16972</v>
      </c>
      <c r="I13" s="36">
        <f>ROUND(Table1389584567991011121314456267891011121314151617181920213456789101112131415161718192021222334567891011121314151617181920345678[[#This Row],[Target Quantity]],0)</f>
        <v>16799</v>
      </c>
      <c r="J13" s="40">
        <f t="shared" si="0"/>
        <v>-173</v>
      </c>
      <c r="K13" s="41">
        <f>'Dec 09'!$F13*'Dec 09'!$I13</f>
        <v>688086.9212231912</v>
      </c>
      <c r="L13" s="42">
        <f>'Dec 09'!$K13/$K$2</f>
        <v>4.90662083988214E-3</v>
      </c>
      <c r="M13" s="36"/>
      <c r="O13" s="44"/>
    </row>
    <row r="14" spans="1:17" s="45" customFormat="1" ht="12.75" customHeight="1" x14ac:dyDescent="0.25">
      <c r="A14" s="36" t="s">
        <v>119</v>
      </c>
      <c r="B14" s="36" t="s">
        <v>19</v>
      </c>
      <c r="C14" s="36" t="s">
        <v>20</v>
      </c>
      <c r="D14" s="37">
        <v>9.7999999999999997E-3</v>
      </c>
      <c r="E14" s="38">
        <f>'Dec 09'!$D14*$C$6*$C$2</f>
        <v>1376134.18243</v>
      </c>
      <c r="F14" s="38">
        <v>515.76004548900698</v>
      </c>
      <c r="G14" s="39">
        <f>'Dec 09'!$E14/'Dec 09'!$F14</f>
        <v>2668.167483049695</v>
      </c>
      <c r="H14" s="36">
        <v>2638</v>
      </c>
      <c r="I14" s="36">
        <f>ROUND(Table1389584567991011121314456267891011121314151617181920213456789101112131415161718192021222334567891011121314151617181920345678[[#This Row],[Target Quantity]],0)</f>
        <v>2668</v>
      </c>
      <c r="J14" s="40">
        <f t="shared" si="0"/>
        <v>30</v>
      </c>
      <c r="K14" s="41">
        <f>'Dec 09'!$F14*'Dec 09'!$I14</f>
        <v>1376047.8013646707</v>
      </c>
      <c r="L14" s="42">
        <f>'Dec 09'!$K14/$K$2</f>
        <v>9.8123429040731097E-3</v>
      </c>
      <c r="M14" s="36"/>
      <c r="O14" s="44"/>
    </row>
    <row r="15" spans="1:17" s="45" customFormat="1" ht="12.75" customHeight="1" x14ac:dyDescent="0.25">
      <c r="A15" s="36" t="s">
        <v>119</v>
      </c>
      <c r="B15" s="36" t="s">
        <v>29</v>
      </c>
      <c r="C15" s="36" t="s">
        <v>30</v>
      </c>
      <c r="D15" s="37">
        <v>4.8999999999999998E-3</v>
      </c>
      <c r="E15" s="38">
        <f>'Dec 09'!$D15*$C$6*$C$2</f>
        <v>688067.09121500002</v>
      </c>
      <c r="F15" s="38">
        <v>21.479990033946901</v>
      </c>
      <c r="G15" s="39">
        <f>'Dec 09'!$E15/'Dec 09'!$F15</f>
        <v>32032.933447714884</v>
      </c>
      <c r="H15" s="36">
        <v>32109</v>
      </c>
      <c r="I15" s="36">
        <f>ROUND(Table1389584567991011121314456267891011121314151617181920213456789101112131415161718192021222334567891011121314151617181920345678[[#This Row],[Target Quantity]],0)</f>
        <v>32033</v>
      </c>
      <c r="J15" s="40">
        <f t="shared" si="0"/>
        <v>-76</v>
      </c>
      <c r="K15" s="41">
        <f>'Dec 09'!$F15*'Dec 09'!$I15</f>
        <v>688068.52075742104</v>
      </c>
      <c r="L15" s="42">
        <f>'Dec 09'!$K15/$K$2</f>
        <v>4.9064896295567782E-3</v>
      </c>
      <c r="M15" s="36"/>
      <c r="O15" s="44"/>
    </row>
    <row r="16" spans="1:17" s="45" customFormat="1" ht="12.75" customHeight="1" x14ac:dyDescent="0.25">
      <c r="A16" s="36" t="s">
        <v>119</v>
      </c>
      <c r="B16" s="36" t="s">
        <v>21</v>
      </c>
      <c r="C16" s="36" t="s">
        <v>22</v>
      </c>
      <c r="D16" s="37">
        <v>9.7999999999999997E-3</v>
      </c>
      <c r="E16" s="38">
        <f>'Dec 09'!$D16*$C$6*$C$2</f>
        <v>1376134.18243</v>
      </c>
      <c r="F16" s="38">
        <v>37.299997302910199</v>
      </c>
      <c r="G16" s="39">
        <f>'Dec 09'!$E16/'Dec 09'!$F16</f>
        <v>36893.680480846364</v>
      </c>
      <c r="H16" s="36">
        <v>37077</v>
      </c>
      <c r="I16" s="36">
        <f>ROUND(Table1389584567991011121314456267891011121314151617181920213456789101112131415161718192021222334567891011121314151617181920345678[[#This Row],[Target Quantity]],0)</f>
        <v>36894</v>
      </c>
      <c r="J16" s="40">
        <f t="shared" si="0"/>
        <v>-183</v>
      </c>
      <c r="K16" s="41">
        <f>'Dec 09'!$F16*'Dec 09'!$I16</f>
        <v>1376146.1004935689</v>
      </c>
      <c r="L16" s="42">
        <f>'Dec 09'!$K16/$K$2</f>
        <v>9.8130438570189042E-3</v>
      </c>
      <c r="M16" s="36"/>
      <c r="O16" s="44"/>
    </row>
    <row r="17" spans="1:15" s="45" customFormat="1" ht="12.75" customHeight="1" x14ac:dyDescent="0.25">
      <c r="A17" s="36" t="s">
        <v>119</v>
      </c>
      <c r="B17" s="36" t="s">
        <v>37</v>
      </c>
      <c r="C17" s="36" t="s">
        <v>38</v>
      </c>
      <c r="D17" s="37">
        <v>4.8999999999999998E-3</v>
      </c>
      <c r="E17" s="38">
        <f>'Dec 09'!$D17*$C$6*$C$2</f>
        <v>688067.09121500002</v>
      </c>
      <c r="F17" s="38">
        <v>71.730052356021005</v>
      </c>
      <c r="G17" s="39">
        <f>'Dec 09'!$E17/'Dec 09'!$F17</f>
        <v>9592.4520980395446</v>
      </c>
      <c r="H17" s="36">
        <v>9550</v>
      </c>
      <c r="I17" s="36">
        <f>ROUND(Table1389584567991011121314456267891011121314151617181920213456789101112131415161718192021222334567891011121314151617181920345678[[#This Row],[Target Quantity]],0)</f>
        <v>9592</v>
      </c>
      <c r="J17" s="40">
        <f t="shared" si="0"/>
        <v>42</v>
      </c>
      <c r="K17" s="41">
        <f>'Dec 09'!$F17*'Dec 09'!$I17</f>
        <v>688034.66219895345</v>
      </c>
      <c r="L17" s="42">
        <f>'Dec 09'!$K17/$K$2</f>
        <v>4.9062481904253814E-3</v>
      </c>
      <c r="M17" s="36"/>
      <c r="O17" s="44"/>
    </row>
    <row r="18" spans="1:15" s="45" customFormat="1" ht="12.75" customHeight="1" x14ac:dyDescent="0.25">
      <c r="A18" s="36" t="s">
        <v>119</v>
      </c>
      <c r="B18" s="36" t="s">
        <v>23</v>
      </c>
      <c r="C18" s="36" t="s">
        <v>24</v>
      </c>
      <c r="D18" s="37">
        <v>9.7999999999999997E-3</v>
      </c>
      <c r="E18" s="38">
        <f>'Dec 09'!$D18*$C$6*$C$2</f>
        <v>1376134.18243</v>
      </c>
      <c r="F18" s="38">
        <v>252.6</v>
      </c>
      <c r="G18" s="39">
        <f>'Dec 09'!$E18/'Dec 09'!$F18</f>
        <v>5447.8787903008715</v>
      </c>
      <c r="H18" s="36">
        <v>5420</v>
      </c>
      <c r="I18" s="36">
        <f>ROUND(Table1389584567991011121314456267891011121314151617181920213456789101112131415161718192021222334567891011121314151617181920345678[[#This Row],[Target Quantity]],0)</f>
        <v>5448</v>
      </c>
      <c r="J18" s="40">
        <f t="shared" si="0"/>
        <v>28</v>
      </c>
      <c r="K18" s="41">
        <f>'Dec 09'!$F18*'Dec 09'!$I18</f>
        <v>1376164.8</v>
      </c>
      <c r="L18" s="42">
        <f>'Dec 09'!$K18/$K$2</f>
        <v>9.8131771997480282E-3</v>
      </c>
      <c r="M18" s="36"/>
      <c r="O18" s="44"/>
    </row>
    <row r="19" spans="1:15" s="45" customFormat="1" ht="12.75" customHeight="1" x14ac:dyDescent="0.25">
      <c r="A19" s="36" t="s">
        <v>119</v>
      </c>
      <c r="B19" s="36" t="s">
        <v>15</v>
      </c>
      <c r="C19" s="36" t="s">
        <v>16</v>
      </c>
      <c r="D19" s="37">
        <v>4.8999999999999998E-3</v>
      </c>
      <c r="E19" s="38">
        <f>'Dec 09'!$D19*$C$6*$C$2</f>
        <v>688067.09121500002</v>
      </c>
      <c r="F19" s="38">
        <v>143.94997949979501</v>
      </c>
      <c r="G19" s="39">
        <f>'Dec 09'!$E19/'Dec 09'!$F19</f>
        <v>4779.9040583814731</v>
      </c>
      <c r="H19" s="36">
        <v>4878</v>
      </c>
      <c r="I19" s="36">
        <f>ROUND(Table1389584567991011121314456267891011121314151617181920213456789101112131415161718192021222334567891011121314151617181920345678[[#This Row],[Target Quantity]],0)</f>
        <v>4780</v>
      </c>
      <c r="J19" s="40">
        <f t="shared" si="0"/>
        <v>-98</v>
      </c>
      <c r="K19" s="41">
        <f>'Dec 09'!$F19*'Dec 09'!$I19</f>
        <v>688080.90200902009</v>
      </c>
      <c r="L19" s="42">
        <f>'Dec 09'!$K19/$K$2</f>
        <v>4.9065779179768105E-3</v>
      </c>
      <c r="M19" s="36"/>
      <c r="O19" s="44"/>
    </row>
    <row r="20" spans="1:15" s="45" customFormat="1" ht="12.75" customHeight="1" x14ac:dyDescent="0.25">
      <c r="A20" s="36" t="s">
        <v>119</v>
      </c>
      <c r="B20" s="36" t="s">
        <v>27</v>
      </c>
      <c r="C20" s="36" t="s">
        <v>28</v>
      </c>
      <c r="D20" s="37">
        <v>9.7999999999999997E-3</v>
      </c>
      <c r="E20" s="38">
        <f>'Dec 09'!$D20*$C$6*$C$2</f>
        <v>1376134.18243</v>
      </c>
      <c r="F20" s="38">
        <v>43.839996140610403</v>
      </c>
      <c r="G20" s="39">
        <f>'Dec 09'!$E20/'Dec 09'!$F20</f>
        <v>31389.92480784556</v>
      </c>
      <c r="H20" s="36">
        <v>31093</v>
      </c>
      <c r="I20" s="36">
        <f>ROUND(Table1389584567991011121314456267891011121314151617181920213456789101112131415161718192021222334567891011121314151617181920345678[[#This Row],[Target Quantity]],0)</f>
        <v>31390</v>
      </c>
      <c r="J20" s="40">
        <f t="shared" si="0"/>
        <v>297</v>
      </c>
      <c r="K20" s="41">
        <f>'Dec 09'!$F20*'Dec 09'!$I20</f>
        <v>1376137.4788537605</v>
      </c>
      <c r="L20" s="42">
        <f>'Dec 09'!$K20/$K$2</f>
        <v>9.812982377696667E-3</v>
      </c>
      <c r="M20" s="36"/>
      <c r="O20" s="91"/>
    </row>
    <row r="21" spans="1:15" s="45" customFormat="1" ht="12.75" customHeight="1" x14ac:dyDescent="0.25">
      <c r="A21" s="36" t="s">
        <v>119</v>
      </c>
      <c r="B21" s="36" t="s">
        <v>39</v>
      </c>
      <c r="C21" s="36" t="s">
        <v>40</v>
      </c>
      <c r="D21" s="37">
        <v>0.22866700000000001</v>
      </c>
      <c r="E21" s="38">
        <f>'Dec 09'!$D21*$C$6*$C$2</f>
        <v>32109844.397318453</v>
      </c>
      <c r="F21" s="38">
        <v>308.35000770623799</v>
      </c>
      <c r="G21" s="39">
        <f>'Dec 09'!$E21/'Dec 09'!$F21</f>
        <v>104134.40439381855</v>
      </c>
      <c r="H21" s="36">
        <v>103812</v>
      </c>
      <c r="I21" s="36">
        <f>ROUND(Table1389584567991011121314456267891011121314151617181920213456789101112131415161718192021222334567891011121314151617181920345678[[#This Row],[Target Quantity]],0)</f>
        <v>104134</v>
      </c>
      <c r="J21" s="40">
        <f t="shared" si="0"/>
        <v>322</v>
      </c>
      <c r="K21" s="41">
        <f>'Dec 09'!$F21*'Dec 09'!$I21</f>
        <v>32109719.702481385</v>
      </c>
      <c r="L21" s="42">
        <f>'Dec 09'!$K21/$K$2</f>
        <v>0.22896848493341088</v>
      </c>
      <c r="M21" s="36"/>
      <c r="O21" s="44"/>
    </row>
    <row r="22" spans="1:15" s="45" customFormat="1" ht="12.75" customHeight="1" x14ac:dyDescent="0.25">
      <c r="A22" s="36" t="s">
        <v>119</v>
      </c>
      <c r="B22" s="45" t="s">
        <v>11</v>
      </c>
      <c r="C22" s="36" t="s">
        <v>12</v>
      </c>
      <c r="D22" s="37">
        <v>2.3334000000000001E-2</v>
      </c>
      <c r="E22" s="38">
        <f>'Dec 09'!$D22*$C$6*$C$2</f>
        <v>3276603.5727369003</v>
      </c>
      <c r="F22" s="38">
        <v>2.4961332199984501</v>
      </c>
      <c r="G22" s="39">
        <f>'Dec 09'!$E22/'Dec 09'!$F22</f>
        <v>1312671.7542499334</v>
      </c>
      <c r="H22" s="36">
        <v>1294100</v>
      </c>
      <c r="I22" s="36">
        <f>ROUND(Table1389584567991011121314456267891011121314151617181920213456789101112131415161718192021222334567891011121314151617181920345678[[#This Row],[Target Quantity]],-2)</f>
        <v>1312700</v>
      </c>
      <c r="J22" s="40">
        <f t="shared" si="0"/>
        <v>18600</v>
      </c>
      <c r="K22" s="41">
        <f>'Dec 09'!$F22*'Dec 09'!$I22</f>
        <v>3276674.0778919654</v>
      </c>
      <c r="L22" s="42">
        <f>'Dec 09'!$K22/$K$2</f>
        <v>2.3365358096773606E-2</v>
      </c>
      <c r="M22" s="36"/>
      <c r="O22" s="44"/>
    </row>
    <row r="23" spans="1:15" s="45" customFormat="1" ht="12.75" customHeight="1" x14ac:dyDescent="0.25">
      <c r="A23" s="36"/>
      <c r="B23" s="36"/>
      <c r="C23" s="36"/>
      <c r="D23" s="37"/>
      <c r="E23" s="38"/>
      <c r="F23" s="38"/>
      <c r="G23" s="39"/>
      <c r="H23" s="36"/>
      <c r="I23" s="36"/>
      <c r="J23" s="46"/>
      <c r="K23" s="38"/>
      <c r="L23" s="47"/>
      <c r="M23" s="36"/>
    </row>
    <row r="24" spans="1:15" s="54" customFormat="1" ht="12.75" customHeight="1" x14ac:dyDescent="0.25">
      <c r="A24" s="48" t="s">
        <v>136</v>
      </c>
      <c r="B24" s="48"/>
      <c r="C24" s="48"/>
      <c r="D24" s="49">
        <f>SUM(D9:D23)</f>
        <v>0.35000100000000006</v>
      </c>
      <c r="E24" s="50">
        <f>'Dec 09'!$D24*$C$6*$C$2</f>
        <v>49147789.794355363</v>
      </c>
      <c r="F24" s="51"/>
      <c r="G24" s="51"/>
      <c r="H24" s="48"/>
      <c r="I24" s="48"/>
      <c r="J24" s="52"/>
      <c r="K24" s="50">
        <f>SUM(K9:K23)</f>
        <v>49147404.40607094</v>
      </c>
      <c r="L24" s="53">
        <f>'Dec 09'!$K24/$K$2</f>
        <v>0.35046107002914995</v>
      </c>
      <c r="M24" s="48"/>
      <c r="O24" s="90"/>
    </row>
    <row r="25" spans="1:15" s="45" customFormat="1" ht="12.75" customHeight="1" x14ac:dyDescent="0.25">
      <c r="A25" s="36"/>
      <c r="B25" s="36"/>
      <c r="C25" s="36"/>
      <c r="D25" s="37"/>
      <c r="E25" s="38"/>
      <c r="F25" s="38"/>
      <c r="G25" s="39"/>
      <c r="H25" s="36"/>
      <c r="I25" s="36"/>
      <c r="J25" s="46"/>
      <c r="K25" s="38"/>
      <c r="L25" s="42"/>
      <c r="M25" s="36"/>
      <c r="O25" s="89"/>
    </row>
    <row r="26" spans="1:15" s="44" customFormat="1" ht="12.75" customHeight="1" x14ac:dyDescent="0.25">
      <c r="A26" s="55"/>
      <c r="B26" s="48" t="s">
        <v>31</v>
      </c>
      <c r="C26" s="55" t="s">
        <v>32</v>
      </c>
      <c r="D26" s="56">
        <v>0.04</v>
      </c>
      <c r="E26" s="57">
        <f>'Dec 09'!$D26*$C$6*$C$2</f>
        <v>5616874.2140000006</v>
      </c>
      <c r="F26" s="51">
        <v>17.740001148743101</v>
      </c>
      <c r="G26" s="58">
        <f>'Dec 09'!$E26/'Dec 09'!$F26</f>
        <v>316621.97577692731</v>
      </c>
      <c r="H26" s="55">
        <v>313386</v>
      </c>
      <c r="I26" s="55">
        <f>ROUND(Table1389584567991011121314456267891011121314151617181920213456789101112131415161718192021222334567891011121314151617181920345678[[#This Row],[Target Quantity]],0)</f>
        <v>316622</v>
      </c>
      <c r="J26" s="59">
        <f>I26-H26</f>
        <v>3236</v>
      </c>
      <c r="K26" s="60">
        <f>'Dec 09'!$F26*'Dec 09'!$I26</f>
        <v>5616874.6437173383</v>
      </c>
      <c r="L26" s="53">
        <f>'Dec 09'!$K26/$K$2</f>
        <v>4.0052896417325755E-2</v>
      </c>
      <c r="M26" s="48"/>
      <c r="O26" s="61"/>
    </row>
    <row r="27" spans="1:15" s="44" customFormat="1" ht="12.75" customHeight="1" x14ac:dyDescent="0.25">
      <c r="A27" s="36"/>
      <c r="B27" s="36"/>
      <c r="C27" s="36"/>
      <c r="D27" s="37"/>
      <c r="E27" s="38"/>
      <c r="F27" s="38"/>
      <c r="G27" s="39"/>
      <c r="H27" s="36"/>
      <c r="I27" s="36"/>
      <c r="J27" s="46"/>
      <c r="K27" s="41"/>
      <c r="L27" s="42"/>
      <c r="M27" s="36"/>
      <c r="O27" s="61"/>
    </row>
    <row r="28" spans="1:15" s="4" customFormat="1" ht="25.5" x14ac:dyDescent="0.2">
      <c r="A28" s="36" t="s">
        <v>137</v>
      </c>
      <c r="B28" s="62" t="s">
        <v>75</v>
      </c>
      <c r="C28" s="63" t="s">
        <v>76</v>
      </c>
      <c r="D28" s="37">
        <v>5.8999999999999997E-2</v>
      </c>
      <c r="E28" s="38">
        <f>'Dec 09'!$D28*$C$6*$C$2</f>
        <v>8284889.4656500006</v>
      </c>
      <c r="F28" s="38">
        <v>155802.92452830201</v>
      </c>
      <c r="G28" s="39">
        <f>'Dec 09'!$E28/'Dec 09'!$F28</f>
        <v>53.175442571009178</v>
      </c>
      <c r="H28" s="36">
        <v>53</v>
      </c>
      <c r="I28" s="36">
        <f>ROUND(Table1389584567991011121314456267891011121314151617181920213456789101112131415161718192021222334567891011121314151617181920345678[[#This Row],[Target Quantity]],0)</f>
        <v>53</v>
      </c>
      <c r="J28" s="40">
        <f t="shared" ref="J28:J37" si="1">I28-H28</f>
        <v>0</v>
      </c>
      <c r="K28" s="41">
        <f>'Dec 09'!$F28*'Dec 09'!$I28</f>
        <v>8257555.0000000065</v>
      </c>
      <c r="L28" s="42">
        <f>'Dec 09'!$K28/$K$2</f>
        <v>5.8883100666188667E-2</v>
      </c>
      <c r="M28" s="64"/>
    </row>
    <row r="29" spans="1:15" s="4" customFormat="1" ht="25.5" x14ac:dyDescent="0.2">
      <c r="A29" s="36" t="s">
        <v>137</v>
      </c>
      <c r="B29" s="62" t="s">
        <v>80</v>
      </c>
      <c r="C29" s="63" t="s">
        <v>81</v>
      </c>
      <c r="D29" s="37">
        <v>5.8999999999999997E-2</v>
      </c>
      <c r="E29" s="38">
        <f>'Dec 09'!$D29*$C$6*$C$2</f>
        <v>8284889.4656500006</v>
      </c>
      <c r="F29" s="38">
        <v>211547.717948718</v>
      </c>
      <c r="G29" s="39">
        <f>'Dec 09'!$E29/'Dec 09'!$F29</f>
        <v>39.163218331943284</v>
      </c>
      <c r="H29" s="36">
        <v>39</v>
      </c>
      <c r="I29" s="36">
        <f>ROUND(Table1389584567991011121314456267891011121314151617181920213456789101112131415161718192021222334567891011121314151617181920345678[[#This Row],[Target Quantity]],0)</f>
        <v>39</v>
      </c>
      <c r="J29" s="40">
        <f t="shared" si="1"/>
        <v>0</v>
      </c>
      <c r="K29" s="41">
        <f>'Dec 09'!$F29*'Dec 09'!$I29</f>
        <v>8250361.0000000019</v>
      </c>
      <c r="L29" s="42">
        <f>'Dec 09'!$K29/$K$2</f>
        <v>5.8831801579934583E-2</v>
      </c>
      <c r="M29" s="64"/>
    </row>
    <row r="30" spans="1:15" s="4" customFormat="1" ht="25.5" x14ac:dyDescent="0.2">
      <c r="A30" s="36" t="s">
        <v>137</v>
      </c>
      <c r="B30" s="62" t="s">
        <v>82</v>
      </c>
      <c r="C30" s="63" t="s">
        <v>83</v>
      </c>
      <c r="D30" s="37">
        <v>5.8999999999999997E-2</v>
      </c>
      <c r="E30" s="38">
        <f>'Dec 09'!$D30*$C$6*$C$2</f>
        <v>8284889.4656500006</v>
      </c>
      <c r="F30" s="38">
        <v>172418.75</v>
      </c>
      <c r="G30" s="39">
        <f>'Dec 09'!$E30/'Dec 09'!$F30</f>
        <v>48.05097743516874</v>
      </c>
      <c r="H30" s="36">
        <v>48</v>
      </c>
      <c r="I30" s="36">
        <f>ROUND(Table1389584567991011121314456267891011121314151617181920213456789101112131415161718192021222334567891011121314151617181920345678[[#This Row],[Target Quantity]],0)</f>
        <v>48</v>
      </c>
      <c r="J30" s="40">
        <f t="shared" si="1"/>
        <v>0</v>
      </c>
      <c r="K30" s="41">
        <f>'Dec 09'!$F30*'Dec 09'!$I30</f>
        <v>8276100</v>
      </c>
      <c r="L30" s="42">
        <f>'Dec 09'!$K30/$K$2</f>
        <v>5.9015341638468485E-2</v>
      </c>
      <c r="M30" s="64"/>
    </row>
    <row r="31" spans="1:15" s="4" customFormat="1" ht="25.5" x14ac:dyDescent="0.2">
      <c r="A31" s="36" t="s">
        <v>137</v>
      </c>
      <c r="B31" s="62" t="s">
        <v>84</v>
      </c>
      <c r="C31" s="63" t="s">
        <v>85</v>
      </c>
      <c r="D31" s="37">
        <v>5.8999999999999997E-2</v>
      </c>
      <c r="E31" s="38">
        <f>'Dec 09'!$D31*$C$6*$C$2</f>
        <v>8284889.4656500006</v>
      </c>
      <c r="F31" s="38">
        <v>125824.86153846201</v>
      </c>
      <c r="G31" s="39">
        <f>'Dec 09'!$E31/'Dec 09'!$F31</f>
        <v>65.844614207006174</v>
      </c>
      <c r="H31" s="36">
        <v>65</v>
      </c>
      <c r="I31" s="36">
        <f>ROUND(Table1389584567991011121314456267891011121314151617181920213456789101112131415161718192021222334567891011121314151617181920345678[[#This Row],[Target Quantity]],0)</f>
        <v>66</v>
      </c>
      <c r="J31" s="40">
        <f t="shared" si="1"/>
        <v>1</v>
      </c>
      <c r="K31" s="41">
        <f>'Dec 09'!$F31*'Dec 09'!$I31</f>
        <v>8304440.8615384921</v>
      </c>
      <c r="L31" s="42">
        <f>'Dec 09'!$K31/$K$2</f>
        <v>5.9217435091426116E-2</v>
      </c>
      <c r="M31" s="64"/>
    </row>
    <row r="32" spans="1:15" s="4" customFormat="1" ht="25.5" x14ac:dyDescent="0.2">
      <c r="A32" s="36" t="s">
        <v>137</v>
      </c>
      <c r="B32" s="62" t="s">
        <v>86</v>
      </c>
      <c r="C32" s="63" t="s">
        <v>87</v>
      </c>
      <c r="D32" s="37">
        <v>5.8999999999999997E-2</v>
      </c>
      <c r="E32" s="38">
        <f>'Dec 09'!$D32*$C$6*$C$2</f>
        <v>8284889.4656500006</v>
      </c>
      <c r="F32" s="38">
        <v>137619.433333333</v>
      </c>
      <c r="G32" s="39">
        <f>'Dec 09'!$E32/'Dec 09'!$F32</f>
        <v>60.20145022384208</v>
      </c>
      <c r="H32" s="36">
        <v>60</v>
      </c>
      <c r="I32" s="36">
        <f>ROUND(Table1389584567991011121314456267891011121314151617181920213456789101112131415161718192021222334567891011121314151617181920345678[[#This Row],[Target Quantity]],0)</f>
        <v>60</v>
      </c>
      <c r="J32" s="40">
        <f t="shared" si="1"/>
        <v>0</v>
      </c>
      <c r="K32" s="41">
        <f>'Dec 09'!$F32*'Dec 09'!$I32</f>
        <v>8257165.9999999795</v>
      </c>
      <c r="L32" s="42">
        <f>'Dec 09'!$K32/$K$2</f>
        <v>5.8880326778983472E-2</v>
      </c>
      <c r="M32" s="64"/>
    </row>
    <row r="33" spans="1:16" s="4" customFormat="1" ht="25.5" x14ac:dyDescent="0.2">
      <c r="A33" s="36" t="s">
        <v>137</v>
      </c>
      <c r="B33" s="62" t="s">
        <v>92</v>
      </c>
      <c r="C33" s="63" t="s">
        <v>93</v>
      </c>
      <c r="D33" s="37">
        <v>5.8999999999999997E-2</v>
      </c>
      <c r="E33" s="38">
        <f>'Dec 09'!$D33*$C$6*$C$2</f>
        <v>8284889.4656500006</v>
      </c>
      <c r="F33" s="38">
        <v>220792.189189189</v>
      </c>
      <c r="G33" s="39">
        <f>'Dec 09'!$E33/'Dec 09'!$F33</f>
        <v>37.523471713716162</v>
      </c>
      <c r="H33" s="36">
        <v>37</v>
      </c>
      <c r="I33" s="36">
        <f>ROUND(Table1389584567991011121314456267891011121314151617181920213456789101112131415161718192021222334567891011121314151617181920345678[[#This Row],[Target Quantity]],0)</f>
        <v>38</v>
      </c>
      <c r="J33" s="40">
        <f t="shared" si="1"/>
        <v>1</v>
      </c>
      <c r="K33" s="41">
        <f>'Dec 09'!$F33*'Dec 09'!$I33</f>
        <v>8390103.1891891826</v>
      </c>
      <c r="L33" s="42">
        <f>'Dec 09'!$K33/$K$2</f>
        <v>5.9828277339810249E-2</v>
      </c>
      <c r="M33" s="64"/>
    </row>
    <row r="34" spans="1:16" s="44" customFormat="1" ht="25.5" customHeight="1" x14ac:dyDescent="0.2">
      <c r="A34" s="36" t="s">
        <v>138</v>
      </c>
      <c r="B34" s="36" t="s">
        <v>54</v>
      </c>
      <c r="C34" s="36" t="s">
        <v>55</v>
      </c>
      <c r="D34" s="37">
        <v>5.8999999999999997E-2</v>
      </c>
      <c r="E34" s="38">
        <f>'Dec 09'!$D34*$C$6*$C$2</f>
        <v>8284889.4656500006</v>
      </c>
      <c r="F34" s="38">
        <v>115830.281690141</v>
      </c>
      <c r="G34" s="39">
        <f>'Dec 09'!$E34/'Dec 09'!$F34</f>
        <v>71.526109966761624</v>
      </c>
      <c r="H34" s="36">
        <v>71</v>
      </c>
      <c r="I34" s="36">
        <f>ROUND(Table1389584567991011121314456267891011121314151617181920213456789101112131415161718192021222334567891011121314151617181920345678[[#This Row],[Target Quantity]],0)</f>
        <v>72</v>
      </c>
      <c r="J34" s="40">
        <f t="shared" si="1"/>
        <v>1</v>
      </c>
      <c r="K34" s="41">
        <f>'Dec 09'!$F34*'Dec 09'!$I34</f>
        <v>8339780.2816901514</v>
      </c>
      <c r="L34" s="42">
        <f>'Dec 09'!$K34/$K$2</f>
        <v>5.9469433974179538E-2</v>
      </c>
      <c r="M34" s="43"/>
      <c r="O34" s="4"/>
    </row>
    <row r="35" spans="1:16" s="44" customFormat="1" ht="25.5" x14ac:dyDescent="0.2">
      <c r="A35" s="36" t="s">
        <v>138</v>
      </c>
      <c r="B35" s="36" t="s">
        <v>52</v>
      </c>
      <c r="C35" s="36" t="s">
        <v>53</v>
      </c>
      <c r="D35" s="37">
        <v>5.8999999999999997E-2</v>
      </c>
      <c r="E35" s="38">
        <f>'Dec 09'!$D35*$C$6*$C$2</f>
        <v>8284889.4656500006</v>
      </c>
      <c r="F35" s="38">
        <v>137257.65</v>
      </c>
      <c r="G35" s="39">
        <f>'Dec 09'!$E35/'Dec 09'!$F35</f>
        <v>60.360129039437879</v>
      </c>
      <c r="H35" s="36">
        <v>60</v>
      </c>
      <c r="I35" s="36">
        <f>ROUND(Table1389584567991011121314456267891011121314151617181920213456789101112131415161718192021222334567891011121314151617181920345678[[#This Row],[Target Quantity]],0)</f>
        <v>60</v>
      </c>
      <c r="J35" s="40">
        <f t="shared" si="1"/>
        <v>0</v>
      </c>
      <c r="K35" s="41">
        <f>'Dec 09'!$F35*'Dec 09'!$I35</f>
        <v>8235459</v>
      </c>
      <c r="L35" s="42">
        <f>'Dec 09'!$K35/$K$2</f>
        <v>5.8725538168291833E-2</v>
      </c>
      <c r="M35" s="43"/>
      <c r="O35" s="4"/>
    </row>
    <row r="36" spans="1:16" s="44" customFormat="1" ht="24.95" customHeight="1" x14ac:dyDescent="0.2">
      <c r="A36" s="36" t="s">
        <v>138</v>
      </c>
      <c r="B36" s="36" t="s">
        <v>48</v>
      </c>
      <c r="C36" s="36" t="s">
        <v>49</v>
      </c>
      <c r="D36" s="37">
        <v>5.8999999999999997E-2</v>
      </c>
      <c r="E36" s="38">
        <f>'Dec 09'!$D36*$C$6*$C$2</f>
        <v>8284889.4656500006</v>
      </c>
      <c r="F36" s="38">
        <v>183855.844444444</v>
      </c>
      <c r="G36" s="39">
        <f>'Dec 09'!$E36/'Dec 09'!$F36</f>
        <v>45.061877095527734</v>
      </c>
      <c r="H36" s="36">
        <v>45</v>
      </c>
      <c r="I36" s="36">
        <f>ROUND(Table1389584567991011121314456267891011121314151617181920213456789101112131415161718192021222334567891011121314151617181920345678[[#This Row],[Target Quantity]],0)</f>
        <v>45</v>
      </c>
      <c r="J36" s="40">
        <f t="shared" si="1"/>
        <v>0</v>
      </c>
      <c r="K36" s="41">
        <f>'Dec 09'!$F36*'Dec 09'!$I36</f>
        <v>8273512.9999999795</v>
      </c>
      <c r="L36" s="42">
        <f>'Dec 09'!$K36/$K$2</f>
        <v>5.8996894218932727E-2</v>
      </c>
      <c r="M36" s="43"/>
      <c r="O36" s="4"/>
    </row>
    <row r="37" spans="1:16" s="44" customFormat="1" ht="25.5" x14ac:dyDescent="0.2">
      <c r="A37" s="36" t="s">
        <v>138</v>
      </c>
      <c r="B37" s="36" t="s">
        <v>58</v>
      </c>
      <c r="C37" s="36" t="s">
        <v>59</v>
      </c>
      <c r="D37" s="37">
        <v>5.8999999999999997E-2</v>
      </c>
      <c r="E37" s="38">
        <f>'Dec 09'!$D37*$C$6*$C$2</f>
        <v>8284889.4656500006</v>
      </c>
      <c r="F37" s="38">
        <v>273254.40000000002</v>
      </c>
      <c r="G37" s="39">
        <f>'Dec 09'!$E37/'Dec 09'!$F37</f>
        <v>30.319326845789124</v>
      </c>
      <c r="H37" s="36">
        <v>30</v>
      </c>
      <c r="I37" s="36">
        <f>ROUND(Table1389584567991011121314456267891011121314151617181920213456789101112131415161718192021222334567891011121314151617181920345678[[#This Row],[Target Quantity]],0)</f>
        <v>30</v>
      </c>
      <c r="J37" s="40">
        <f t="shared" si="1"/>
        <v>0</v>
      </c>
      <c r="K37" s="41">
        <f>'Dec 09'!$F37*'Dec 09'!$I37</f>
        <v>8197632.0000000009</v>
      </c>
      <c r="L37" s="42">
        <f>'Dec 09'!$K37/$K$2</f>
        <v>5.8455800812755011E-2</v>
      </c>
      <c r="M37" s="43"/>
      <c r="O37" s="4"/>
    </row>
    <row r="38" spans="1:16" s="66" customFormat="1" ht="12.75" x14ac:dyDescent="0.2">
      <c r="A38" s="36"/>
      <c r="B38" s="63"/>
      <c r="C38" s="63"/>
      <c r="D38" s="37"/>
      <c r="E38" s="65"/>
      <c r="F38" s="38"/>
      <c r="G38" s="39"/>
      <c r="H38" s="36"/>
      <c r="I38" s="36"/>
      <c r="J38" s="46"/>
      <c r="K38" s="38"/>
      <c r="L38" s="47"/>
      <c r="M38" s="64"/>
    </row>
    <row r="39" spans="1:16" s="17" customFormat="1" ht="12.75" x14ac:dyDescent="0.2">
      <c r="A39" s="48" t="s">
        <v>142</v>
      </c>
      <c r="B39" s="67"/>
      <c r="C39" s="67"/>
      <c r="D39" s="56">
        <f>SUBTOTAL(9,D28:D38)</f>
        <v>0.58999999999999986</v>
      </c>
      <c r="E39" s="68">
        <f>'Dec 09'!$D39*$C$6*$C$2</f>
        <v>82848894.656499982</v>
      </c>
      <c r="F39" s="69"/>
      <c r="G39" s="70"/>
      <c r="H39" s="55"/>
      <c r="I39" s="55"/>
      <c r="J39" s="59"/>
      <c r="K39" s="68">
        <f>SUM(K28:K38)</f>
        <v>82782110.332417786</v>
      </c>
      <c r="L39" s="71">
        <f>'Dec 09'!$K39/$K$2</f>
        <v>0.59030395026897065</v>
      </c>
      <c r="M39" s="72"/>
    </row>
    <row r="40" spans="1:16" s="44" customFormat="1" ht="12.75" x14ac:dyDescent="0.25">
      <c r="A40" s="36"/>
      <c r="B40" s="36"/>
      <c r="C40" s="36"/>
      <c r="D40" s="37"/>
      <c r="E40" s="38"/>
      <c r="F40" s="38"/>
      <c r="G40" s="74"/>
      <c r="H40" s="36"/>
      <c r="I40" s="36"/>
      <c r="J40" s="40"/>
      <c r="K40" s="41"/>
      <c r="L40" s="42"/>
      <c r="M40" s="43"/>
    </row>
    <row r="41" spans="1:16" s="44" customFormat="1" ht="25.5" x14ac:dyDescent="0.25">
      <c r="A41" s="36" t="s">
        <v>154</v>
      </c>
      <c r="B41" s="36" t="s">
        <v>45</v>
      </c>
      <c r="C41" s="36" t="s">
        <v>46</v>
      </c>
      <c r="D41" s="37">
        <v>2E-3</v>
      </c>
      <c r="E41" s="38">
        <f>'Dec 09'!$D41*$C$6*$C$2</f>
        <v>280843.7107</v>
      </c>
      <c r="F41" s="38">
        <v>50393.599999999999</v>
      </c>
      <c r="G41" s="74">
        <f>'Dec 09'!$E41/'Dec 09'!$F41</f>
        <v>5.5730035302101859</v>
      </c>
      <c r="H41" s="36">
        <v>5</v>
      </c>
      <c r="I41" s="36">
        <v>5</v>
      </c>
      <c r="J41" s="40">
        <f t="shared" ref="J41:J50" si="2">I41-H41</f>
        <v>0</v>
      </c>
      <c r="K41" s="41">
        <f>'Dec 09'!$F41*'Dec 09'!$I41</f>
        <v>251968</v>
      </c>
      <c r="L41" s="42">
        <f>'Dec 09'!$K41/$K$2</f>
        <v>1.7967373040395388E-3</v>
      </c>
      <c r="M41" s="43"/>
    </row>
    <row r="42" spans="1:16" s="44" customFormat="1" ht="25.5" x14ac:dyDescent="0.25">
      <c r="A42" s="36" t="s">
        <v>154</v>
      </c>
      <c r="B42" s="36" t="s">
        <v>156</v>
      </c>
      <c r="C42" s="36" t="s">
        <v>61</v>
      </c>
      <c r="D42" s="37">
        <v>2E-3</v>
      </c>
      <c r="E42" s="38">
        <f>'Dec 09'!$D42*$C$6*$C$2</f>
        <v>280843.7107</v>
      </c>
      <c r="F42" s="38">
        <v>87953</v>
      </c>
      <c r="G42" s="74">
        <f>'Dec 09'!$E42/'Dec 09'!$F42</f>
        <v>3.1931112150807817</v>
      </c>
      <c r="H42" s="36">
        <v>3</v>
      </c>
      <c r="I42" s="36">
        <v>3</v>
      </c>
      <c r="J42" s="40">
        <f t="shared" si="2"/>
        <v>0</v>
      </c>
      <c r="K42" s="41">
        <f>'Dec 09'!$F42*'Dec 09'!$I42</f>
        <v>263859</v>
      </c>
      <c r="L42" s="42">
        <f>'Dec 09'!$K42/$K$2</f>
        <v>1.8815298304013554E-3</v>
      </c>
      <c r="M42" s="43"/>
      <c r="P42" s="44" t="s">
        <v>157</v>
      </c>
    </row>
    <row r="43" spans="1:16" s="44" customFormat="1" ht="25.5" x14ac:dyDescent="0.25">
      <c r="A43" s="36" t="s">
        <v>154</v>
      </c>
      <c r="B43" s="36" t="s">
        <v>68</v>
      </c>
      <c r="C43" s="36" t="s">
        <v>69</v>
      </c>
      <c r="D43" s="37">
        <v>2E-3</v>
      </c>
      <c r="E43" s="38">
        <f>'Dec 09'!$D43*$C$6*$C$2</f>
        <v>280843.7107</v>
      </c>
      <c r="F43" s="38">
        <v>98732.333333333299</v>
      </c>
      <c r="G43" s="74">
        <f>'Dec 09'!$E43/'Dec 09'!$F43</f>
        <v>2.8444958325033687</v>
      </c>
      <c r="H43" s="36">
        <v>3</v>
      </c>
      <c r="I43" s="36">
        <v>3</v>
      </c>
      <c r="J43" s="40">
        <f t="shared" si="2"/>
        <v>0</v>
      </c>
      <c r="K43" s="41">
        <f>'Dec 09'!$F43*'Dec 09'!$I43</f>
        <v>296196.99999999988</v>
      </c>
      <c r="L43" s="42">
        <f>'Dec 09'!$K43/$K$2</f>
        <v>2.1121261400042827E-3</v>
      </c>
      <c r="M43" s="43"/>
    </row>
    <row r="44" spans="1:16" s="44" customFormat="1" ht="25.5" x14ac:dyDescent="0.25">
      <c r="A44" s="36" t="s">
        <v>154</v>
      </c>
      <c r="B44" s="36" t="s">
        <v>70</v>
      </c>
      <c r="C44" s="36" t="s">
        <v>71</v>
      </c>
      <c r="D44" s="37">
        <v>2E-3</v>
      </c>
      <c r="E44" s="38">
        <f>'Dec 09'!$D44*$C$6*$C$2</f>
        <v>280843.7107</v>
      </c>
      <c r="F44" s="38">
        <v>231108</v>
      </c>
      <c r="G44" s="74">
        <f>'Dec 09'!$E44/'Dec 09'!$F44</f>
        <v>1.2152054913719992</v>
      </c>
      <c r="H44" s="36">
        <v>1</v>
      </c>
      <c r="I44" s="36">
        <v>1</v>
      </c>
      <c r="J44" s="40">
        <f t="shared" si="2"/>
        <v>0</v>
      </c>
      <c r="K44" s="41">
        <f>'Dec 09'!$F44*'Dec 09'!$I44</f>
        <v>231108</v>
      </c>
      <c r="L44" s="42">
        <f>'Dec 09'!$K44/$K$2</f>
        <v>1.6479884940229306E-3</v>
      </c>
      <c r="M44" s="43"/>
    </row>
    <row r="45" spans="1:16" s="44" customFormat="1" ht="25.5" x14ac:dyDescent="0.25">
      <c r="A45" s="36" t="s">
        <v>154</v>
      </c>
      <c r="B45" s="36" t="s">
        <v>159</v>
      </c>
      <c r="C45" s="36" t="s">
        <v>73</v>
      </c>
      <c r="D45" s="37">
        <v>2E-3</v>
      </c>
      <c r="E45" s="38">
        <f>'Dec 09'!$D45*$C$6*$C$2</f>
        <v>280843.7107</v>
      </c>
      <c r="F45" s="38">
        <v>14743.7368421053</v>
      </c>
      <c r="G45" s="74">
        <f>'Dec 09'!$E45/'Dec 09'!$F45</f>
        <v>19.048339895620217</v>
      </c>
      <c r="H45" s="36">
        <v>19</v>
      </c>
      <c r="I45" s="36">
        <v>19</v>
      </c>
      <c r="J45" s="40">
        <f t="shared" si="2"/>
        <v>0</v>
      </c>
      <c r="K45" s="41">
        <f>'Dec 09'!$F45*'Dec 09'!$I45</f>
        <v>280131.0000000007</v>
      </c>
      <c r="L45" s="42">
        <f>'Dec 09'!$K45/$K$2</f>
        <v>1.9975624591928392E-3</v>
      </c>
      <c r="M45" s="43"/>
    </row>
    <row r="46" spans="1:16" s="4" customFormat="1" ht="25.5" x14ac:dyDescent="0.2">
      <c r="A46" s="36" t="s">
        <v>154</v>
      </c>
      <c r="B46" s="63" t="s">
        <v>90</v>
      </c>
      <c r="C46" s="63" t="s">
        <v>91</v>
      </c>
      <c r="D46" s="37">
        <v>2E-3</v>
      </c>
      <c r="E46" s="38">
        <f>'Dec 09'!$D46*$C$6*$C$2</f>
        <v>280843.7107</v>
      </c>
      <c r="F46" s="38">
        <v>70971.25</v>
      </c>
      <c r="G46" s="74">
        <f>'Dec 09'!$E46/'Dec 09'!$F46</f>
        <v>3.9571475872272224</v>
      </c>
      <c r="H46" s="36">
        <v>4</v>
      </c>
      <c r="I46" s="36">
        <v>4</v>
      </c>
      <c r="J46" s="40">
        <f t="shared" si="2"/>
        <v>0</v>
      </c>
      <c r="K46" s="41">
        <f>'Dec 09'!$F46*'Dec 09'!$I46</f>
        <v>283885</v>
      </c>
      <c r="L46" s="42">
        <f>'Dec 09'!$K46/$K$2</f>
        <v>2.0243315403434743E-3</v>
      </c>
      <c r="M46" s="64"/>
    </row>
    <row r="47" spans="1:16" s="44" customFormat="1" ht="25.5" x14ac:dyDescent="0.25">
      <c r="A47" s="36" t="s">
        <v>154</v>
      </c>
      <c r="B47" s="36" t="s">
        <v>163</v>
      </c>
      <c r="C47" s="36" t="s">
        <v>67</v>
      </c>
      <c r="D47" s="37">
        <v>2E-3</v>
      </c>
      <c r="E47" s="38">
        <f>'Dec 09'!$D47*$C$6*$C$2</f>
        <v>280843.7107</v>
      </c>
      <c r="F47" s="38">
        <v>24800</v>
      </c>
      <c r="G47" s="74">
        <f>'Dec 09'!$E47/'Dec 09'!$F47</f>
        <v>11.324343173387097</v>
      </c>
      <c r="H47" s="36">
        <v>9</v>
      </c>
      <c r="I47" s="36">
        <v>10</v>
      </c>
      <c r="J47" s="40">
        <f t="shared" si="2"/>
        <v>1</v>
      </c>
      <c r="K47" s="41">
        <f>'Dec 09'!$F47*'Dec 09'!$I47</f>
        <v>248000</v>
      </c>
      <c r="L47" s="42">
        <f>'Dec 09'!$K47/$K$2</f>
        <v>1.768442228385373E-3</v>
      </c>
      <c r="M47" s="43"/>
    </row>
    <row r="48" spans="1:16" s="44" customFormat="1" ht="25.5" x14ac:dyDescent="0.25">
      <c r="A48" s="36" t="s">
        <v>154</v>
      </c>
      <c r="B48" s="36" t="s">
        <v>77</v>
      </c>
      <c r="C48" s="36" t="s">
        <v>78</v>
      </c>
      <c r="D48" s="37">
        <v>2E-3</v>
      </c>
      <c r="E48" s="38">
        <f>'Dec 09'!$D48*$C$6*$C$2</f>
        <v>280843.7107</v>
      </c>
      <c r="F48" s="38">
        <v>7730</v>
      </c>
      <c r="G48" s="74">
        <f>'Dec 09'!$E48/'Dec 09'!$F48</f>
        <v>36.33165727037516</v>
      </c>
      <c r="H48" s="36">
        <v>34</v>
      </c>
      <c r="I48" s="36">
        <v>36</v>
      </c>
      <c r="J48" s="40">
        <f t="shared" si="2"/>
        <v>2</v>
      </c>
      <c r="K48" s="41">
        <f>'Dec 09'!$F48*'Dec 09'!$I48</f>
        <v>278280</v>
      </c>
      <c r="L48" s="42">
        <f>'Dec 09'!$K48/$K$2</f>
        <v>1.9843633198188774E-3</v>
      </c>
      <c r="M48" s="43"/>
    </row>
    <row r="49" spans="1:13" s="44" customFormat="1" ht="25.5" x14ac:dyDescent="0.25">
      <c r="A49" s="36" t="s">
        <v>154</v>
      </c>
      <c r="B49" s="36" t="s">
        <v>63</v>
      </c>
      <c r="C49" s="36" t="s">
        <v>64</v>
      </c>
      <c r="D49" s="37">
        <v>2E-3</v>
      </c>
      <c r="E49" s="38">
        <f>'Dec 09'!$D49*$C$6*$C$2</f>
        <v>280843.7107</v>
      </c>
      <c r="F49" s="38">
        <v>26747.111111111099</v>
      </c>
      <c r="G49" s="74">
        <f>'Dec 09'!$E49/'Dec 09'!$F49</f>
        <v>10.499964259068481</v>
      </c>
      <c r="H49" s="36">
        <v>9</v>
      </c>
      <c r="I49" s="36">
        <v>10</v>
      </c>
      <c r="J49" s="40">
        <f t="shared" si="2"/>
        <v>1</v>
      </c>
      <c r="K49" s="41">
        <f>'Dec 09'!$F49*'Dec 09'!$I49</f>
        <v>267471.11111111101</v>
      </c>
      <c r="L49" s="42">
        <f>'Dec 09'!$K49/$K$2</f>
        <v>1.9072871280727615E-3</v>
      </c>
      <c r="M49" s="43"/>
    </row>
    <row r="50" spans="1:13" s="44" customFormat="1" ht="25.5" x14ac:dyDescent="0.25">
      <c r="A50" s="36" t="s">
        <v>154</v>
      </c>
      <c r="B50" s="36" t="s">
        <v>88</v>
      </c>
      <c r="C50" s="36" t="s">
        <v>89</v>
      </c>
      <c r="D50" s="37">
        <v>2E-3</v>
      </c>
      <c r="E50" s="38">
        <f>'Dec 09'!$D50*$C$6*$C$2</f>
        <v>280843.7107</v>
      </c>
      <c r="F50" s="38">
        <v>57825.5</v>
      </c>
      <c r="G50" s="74">
        <f>'Dec 09'!$E50/'Dec 09'!$F50</f>
        <v>4.8567450467354369</v>
      </c>
      <c r="H50" s="36">
        <v>4</v>
      </c>
      <c r="I50" s="36">
        <v>5</v>
      </c>
      <c r="J50" s="40">
        <f t="shared" si="2"/>
        <v>1</v>
      </c>
      <c r="K50" s="41">
        <f>'Dec 09'!$F50*'Dec 09'!$I50</f>
        <v>289127.5</v>
      </c>
      <c r="L50" s="42">
        <f>'Dec 09'!$K50/$K$2</f>
        <v>2.0617148402721449E-3</v>
      </c>
      <c r="M50" s="43"/>
    </row>
    <row r="51" spans="1:13" s="44" customFormat="1" ht="12.75" x14ac:dyDescent="0.25">
      <c r="A51" s="36"/>
      <c r="B51" s="36"/>
      <c r="C51" s="36"/>
      <c r="D51" s="37"/>
      <c r="E51" s="38"/>
      <c r="F51" s="38"/>
      <c r="G51" s="39"/>
      <c r="H51" s="36"/>
      <c r="I51" s="36"/>
      <c r="J51" s="43"/>
      <c r="K51" s="41"/>
      <c r="L51" s="42"/>
      <c r="M51" s="43"/>
    </row>
    <row r="52" spans="1:13" s="17" customFormat="1" ht="12.75" x14ac:dyDescent="0.2">
      <c r="A52" s="48" t="s">
        <v>164</v>
      </c>
      <c r="B52" s="67"/>
      <c r="C52" s="67"/>
      <c r="D52" s="75">
        <f>SUM(D41:D51)</f>
        <v>2.0000000000000004E-2</v>
      </c>
      <c r="E52" s="50">
        <f>SUM(E40:E51)</f>
        <v>2808437.1070000003</v>
      </c>
      <c r="F52" s="70"/>
      <c r="G52" s="70"/>
      <c r="H52" s="67"/>
      <c r="I52" s="67"/>
      <c r="J52" s="48"/>
      <c r="K52" s="50">
        <f>SUM(K40:K51)</f>
        <v>2690026.6111111115</v>
      </c>
      <c r="L52" s="53">
        <f>'Dec 09'!$K52/$K$2</f>
        <v>1.9182083284553578E-2</v>
      </c>
      <c r="M52" s="60"/>
    </row>
    <row r="53" spans="1:13" s="4" customFormat="1" ht="12.75" x14ac:dyDescent="0.2">
      <c r="A53" s="36"/>
      <c r="B53" s="63"/>
      <c r="C53" s="63"/>
      <c r="D53" s="76"/>
      <c r="E53" s="38"/>
      <c r="F53" s="38"/>
      <c r="G53" s="39"/>
      <c r="H53" s="63"/>
      <c r="I53" s="63"/>
      <c r="J53" s="36"/>
      <c r="K53" s="36"/>
      <c r="L53" s="42"/>
      <c r="M53" s="64"/>
    </row>
    <row r="54" spans="1:13" s="44" customFormat="1" ht="25.5" x14ac:dyDescent="0.25">
      <c r="A54" s="48" t="s">
        <v>165</v>
      </c>
      <c r="B54" s="55" t="s">
        <v>166</v>
      </c>
      <c r="C54" s="55" t="s">
        <v>167</v>
      </c>
      <c r="D54" s="56">
        <v>0</v>
      </c>
      <c r="E54" s="57">
        <f>'Dec 09'!$D54*$C$6*$C$2</f>
        <v>0</v>
      </c>
      <c r="F54" s="57">
        <v>0</v>
      </c>
      <c r="G54" s="58" t="s">
        <v>168</v>
      </c>
      <c r="H54" s="55">
        <v>0</v>
      </c>
      <c r="I54" s="55">
        <v>0</v>
      </c>
      <c r="J54" s="77">
        <f>I54-H54</f>
        <v>0</v>
      </c>
      <c r="K54" s="57">
        <f>'Dec 09'!$F54*'Dec 09'!$I54</f>
        <v>0</v>
      </c>
      <c r="L54" s="78">
        <f>'Dec 09'!$K54/$K$2</f>
        <v>0</v>
      </c>
      <c r="M54" s="55"/>
    </row>
    <row r="55" spans="1:13" s="4" customFormat="1" ht="12.75" x14ac:dyDescent="0.2">
      <c r="A55" s="36"/>
      <c r="B55" s="63"/>
      <c r="C55" s="63"/>
      <c r="D55" s="76"/>
      <c r="E55" s="38"/>
      <c r="F55" s="38"/>
      <c r="G55" s="39"/>
      <c r="H55" s="63"/>
      <c r="I55" s="63"/>
      <c r="J55" s="36"/>
      <c r="K55" s="36"/>
      <c r="L55" s="42"/>
      <c r="M55" s="64"/>
    </row>
    <row r="56" spans="1:13" s="4" customFormat="1" ht="12.75" x14ac:dyDescent="0.2">
      <c r="A56" s="36"/>
      <c r="B56" s="63"/>
      <c r="C56" s="63"/>
      <c r="D56" s="79"/>
      <c r="E56" s="65"/>
      <c r="F56" s="38"/>
      <c r="G56" s="39"/>
      <c r="H56" s="63"/>
      <c r="I56" s="63"/>
      <c r="J56" s="36"/>
      <c r="K56" s="36"/>
      <c r="L56" s="42"/>
      <c r="M56" s="64"/>
    </row>
    <row r="57" spans="1:13" s="17" customFormat="1" ht="12.75" x14ac:dyDescent="0.2">
      <c r="A57" s="48" t="s">
        <v>169</v>
      </c>
      <c r="B57" s="67"/>
      <c r="C57" s="67"/>
      <c r="D57" s="67"/>
      <c r="E57" s="80"/>
      <c r="F57" s="80"/>
      <c r="G57" s="48"/>
      <c r="H57" s="67"/>
      <c r="I57" s="67"/>
      <c r="J57" s="67"/>
      <c r="K57" s="80">
        <f>SUM(K24,K26,K39,K52,K54:K54)</f>
        <v>140236415.99331719</v>
      </c>
      <c r="L57" s="53">
        <f>'Dec 09'!$K57/$K$2</f>
        <v>1</v>
      </c>
      <c r="M57" s="67"/>
    </row>
    <row r="58" spans="1:13" s="4" customFormat="1" ht="12.75" x14ac:dyDescent="0.2">
      <c r="A58" s="64"/>
      <c r="B58" s="64"/>
      <c r="C58" s="64"/>
      <c r="D58" s="81"/>
      <c r="E58" s="82"/>
      <c r="F58" s="38"/>
      <c r="G58" s="83"/>
      <c r="H58" s="64"/>
      <c r="I58" s="64"/>
      <c r="J58" s="64"/>
      <c r="K58" s="64"/>
      <c r="L58" s="42"/>
      <c r="M58" s="64"/>
    </row>
    <row r="59" spans="1:13" s="4" customFormat="1" ht="12.75" x14ac:dyDescent="0.2">
      <c r="A59" s="64"/>
      <c r="B59" s="64"/>
      <c r="C59" s="64"/>
      <c r="D59" s="81"/>
      <c r="E59" s="82"/>
      <c r="F59" s="38"/>
      <c r="G59" s="83"/>
      <c r="H59" s="64"/>
      <c r="I59" s="64"/>
      <c r="J59" s="64"/>
      <c r="K59" s="64"/>
      <c r="L59" s="42"/>
      <c r="M59" s="64"/>
    </row>
    <row r="60" spans="1:13" s="4" customFormat="1" ht="12.75" x14ac:dyDescent="0.2">
      <c r="A60" s="64"/>
      <c r="B60" s="64"/>
      <c r="C60" s="64"/>
      <c r="D60" s="81"/>
      <c r="E60" s="82"/>
      <c r="F60" s="38"/>
      <c r="G60" s="83"/>
      <c r="H60" s="64"/>
      <c r="I60" s="64"/>
      <c r="J60" s="64"/>
      <c r="K60" s="64"/>
      <c r="L60" s="42"/>
      <c r="M60" s="64"/>
    </row>
    <row r="61" spans="1:13" s="4" customFormat="1" ht="12.75" x14ac:dyDescent="0.2">
      <c r="A61" s="64"/>
      <c r="B61" s="64"/>
      <c r="C61" s="64"/>
      <c r="D61" s="81"/>
      <c r="E61" s="82"/>
      <c r="F61" s="38"/>
      <c r="G61" s="83"/>
      <c r="H61" s="64"/>
      <c r="I61" s="64"/>
      <c r="J61" s="64"/>
      <c r="K61" s="64"/>
      <c r="L61" s="42"/>
      <c r="M61" s="64"/>
    </row>
    <row r="62" spans="1:13" s="4" customFormat="1" ht="12.75" x14ac:dyDescent="0.2">
      <c r="A62" s="64"/>
      <c r="B62" s="64"/>
      <c r="C62" s="64"/>
      <c r="D62" s="81"/>
      <c r="E62" s="82"/>
      <c r="F62" s="38"/>
      <c r="G62" s="83"/>
      <c r="H62" s="64"/>
      <c r="I62" s="64"/>
      <c r="J62" s="64"/>
      <c r="K62" s="64"/>
      <c r="L62" s="42"/>
      <c r="M62" s="64"/>
    </row>
    <row r="63" spans="1:13" s="4" customFormat="1" ht="12.75" x14ac:dyDescent="0.2">
      <c r="A63" s="64"/>
      <c r="B63" s="64"/>
      <c r="C63" s="64"/>
      <c r="D63" s="81"/>
      <c r="E63" s="82"/>
      <c r="F63" s="38"/>
      <c r="G63" s="83"/>
      <c r="H63" s="64"/>
      <c r="I63" s="64"/>
      <c r="J63" s="64"/>
      <c r="K63" s="64"/>
      <c r="L63" s="42"/>
      <c r="M63" s="64"/>
    </row>
    <row r="64" spans="1:13" s="4" customFormat="1" ht="12.75" x14ac:dyDescent="0.2">
      <c r="A64" s="64"/>
      <c r="B64" s="64"/>
      <c r="C64" s="64"/>
      <c r="D64" s="81"/>
      <c r="E64" s="82"/>
      <c r="F64" s="38"/>
      <c r="G64" s="83"/>
      <c r="H64" s="64"/>
      <c r="I64" s="64"/>
      <c r="J64" s="64"/>
      <c r="K64" s="64"/>
      <c r="L64" s="42"/>
      <c r="M64" s="64"/>
    </row>
    <row r="65" spans="1:13" s="4" customFormat="1" ht="12.75" x14ac:dyDescent="0.2">
      <c r="A65" s="64"/>
      <c r="B65" s="64"/>
      <c r="C65" s="64"/>
      <c r="D65" s="81"/>
      <c r="E65" s="82"/>
      <c r="F65" s="38"/>
      <c r="G65" s="83"/>
      <c r="H65" s="64"/>
      <c r="I65" s="64"/>
      <c r="J65" s="64"/>
      <c r="K65" s="64"/>
      <c r="L65" s="42"/>
      <c r="M65" s="64"/>
    </row>
    <row r="66" spans="1:13" s="4" customFormat="1" ht="12.75" x14ac:dyDescent="0.2">
      <c r="A66" s="64"/>
      <c r="B66" s="64"/>
      <c r="C66" s="64"/>
      <c r="D66" s="81"/>
      <c r="E66" s="82"/>
      <c r="F66" s="38"/>
      <c r="G66" s="83"/>
      <c r="H66" s="64"/>
      <c r="I66" s="64"/>
      <c r="J66" s="64"/>
      <c r="K66" s="64"/>
      <c r="L66" s="42"/>
      <c r="M66" s="64"/>
    </row>
    <row r="67" spans="1:13" s="4" customFormat="1" ht="12.75" x14ac:dyDescent="0.2"/>
    <row r="68" spans="1:13" s="4" customFormat="1" ht="12.75" x14ac:dyDescent="0.2"/>
    <row r="70" spans="1:13" s="4" customFormat="1" ht="12.75" x14ac:dyDescent="0.2">
      <c r="A70" s="84"/>
      <c r="B70" s="84"/>
      <c r="E70" s="84"/>
      <c r="F70" s="84"/>
      <c r="G70" s="84"/>
      <c r="H70" s="85"/>
      <c r="M70" s="84"/>
    </row>
    <row r="71" spans="1:13" s="4" customFormat="1" ht="12.75" x14ac:dyDescent="0.2">
      <c r="A71" s="84"/>
      <c r="B71" s="84"/>
      <c r="E71" s="84"/>
      <c r="F71" s="84"/>
      <c r="G71" s="84"/>
      <c r="H71" s="85"/>
      <c r="M71" s="84"/>
    </row>
    <row r="72" spans="1:13" s="4" customFormat="1" ht="12.75" x14ac:dyDescent="0.2">
      <c r="A72" s="86"/>
      <c r="B72" s="86"/>
    </row>
    <row r="73" spans="1:13" s="4" customFormat="1" ht="12.75" x14ac:dyDescent="0.2">
      <c r="A73" s="87"/>
      <c r="B73" s="87"/>
      <c r="E73" s="87"/>
      <c r="F73" s="86"/>
      <c r="G73" s="86"/>
      <c r="M73" s="88"/>
    </row>
    <row r="74" spans="1:13" s="4" customFormat="1" ht="12.75" x14ac:dyDescent="0.2"/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74"/>
  <sheetViews>
    <sheetView topLeftCell="A19" zoomScale="140" zoomScaleNormal="140" workbookViewId="0">
      <pane xSplit="2" topLeftCell="F1" activePane="topRight" state="frozen"/>
      <selection activeCell="A19" sqref="A19"/>
      <selection pane="topRight" activeCell="O15" sqref="O15"/>
    </sheetView>
  </sheetViews>
  <sheetFormatPr defaultColWidth="9.140625" defaultRowHeight="15" x14ac:dyDescent="0.25"/>
  <cols>
    <col min="1" max="1" width="15.140625" style="4" customWidth="1"/>
    <col min="2" max="2" width="20.28515625" style="4" customWidth="1"/>
    <col min="3" max="3" width="29.28515625" style="4" customWidth="1"/>
    <col min="4" max="4" width="14.85546875" style="4" customWidth="1"/>
    <col min="5" max="5" width="27.42578125" style="4" customWidth="1"/>
    <col min="6" max="7" width="13.7109375" style="4" customWidth="1"/>
    <col min="8" max="8" width="16.42578125" style="4" customWidth="1"/>
    <col min="9" max="9" width="15.42578125" style="4" customWidth="1"/>
    <col min="10" max="10" width="13.42578125" customWidth="1"/>
    <col min="11" max="11" width="23.42578125" customWidth="1"/>
    <col min="12" max="12" width="13.42578125" customWidth="1"/>
    <col min="13" max="13" width="22.42578125" style="4" customWidth="1"/>
    <col min="14" max="16" width="10.85546875" style="4" customWidth="1"/>
    <col min="17" max="17" width="11.28515625" style="4" customWidth="1"/>
    <col min="18" max="1022" width="9.140625" style="4"/>
  </cols>
  <sheetData>
    <row r="1" spans="1:17" s="4" customFormat="1" ht="25.5" x14ac:dyDescent="0.2">
      <c r="A1" s="5"/>
      <c r="B1" s="5" t="s">
        <v>95</v>
      </c>
      <c r="C1" s="6">
        <v>44175</v>
      </c>
      <c r="D1" s="7"/>
      <c r="E1" s="8" t="s">
        <v>96</v>
      </c>
      <c r="F1" s="9"/>
      <c r="G1" s="10"/>
      <c r="K1" s="11" t="s">
        <v>97</v>
      </c>
      <c r="L1" s="11" t="s">
        <v>98</v>
      </c>
      <c r="M1" s="12" t="s">
        <v>99</v>
      </c>
    </row>
    <row r="2" spans="1:17" x14ac:dyDescent="0.25">
      <c r="A2" s="5"/>
      <c r="B2" s="5" t="s">
        <v>100</v>
      </c>
      <c r="C2" s="13">
        <v>4</v>
      </c>
      <c r="D2" s="14"/>
      <c r="E2" s="15">
        <f>SUM(E24,E39,E52,E26,E54)</f>
        <v>111433489.47337805</v>
      </c>
      <c r="F2" s="16"/>
      <c r="G2" s="17"/>
      <c r="H2" s="14"/>
      <c r="I2" s="14"/>
      <c r="J2" s="14"/>
      <c r="K2" s="15">
        <f>SUM(K24,K39,K52,K26,K54:K54)</f>
        <v>111651612.50693329</v>
      </c>
      <c r="L2" s="18">
        <f>SUM(L52,L39,L24,L26,L54)</f>
        <v>1.0000000000000002</v>
      </c>
      <c r="M2" s="19">
        <f>K2/$C$6</f>
        <v>4.0078337198699998</v>
      </c>
      <c r="N2" s="20"/>
    </row>
    <row r="3" spans="1:17" ht="26.25" x14ac:dyDescent="0.25">
      <c r="A3" s="5"/>
      <c r="B3" s="5" t="s">
        <v>101</v>
      </c>
      <c r="C3" s="21">
        <v>27858344.510000002</v>
      </c>
      <c r="D3" s="22"/>
      <c r="E3" s="8" t="s">
        <v>170</v>
      </c>
      <c r="F3" s="16"/>
      <c r="H3" s="14"/>
      <c r="I3" s="14"/>
      <c r="J3" s="14"/>
      <c r="K3" s="8" t="s">
        <v>102</v>
      </c>
      <c r="L3" s="14"/>
      <c r="M3" s="12" t="s">
        <v>171</v>
      </c>
      <c r="N3" s="23"/>
    </row>
    <row r="4" spans="1:17" x14ac:dyDescent="0.25">
      <c r="A4" s="5"/>
      <c r="B4" s="5" t="s">
        <v>104</v>
      </c>
      <c r="C4" s="21">
        <v>0</v>
      </c>
      <c r="D4" s="22"/>
      <c r="E4" s="15">
        <f>SUM(E24,E52,E26)</f>
        <v>45687796.429778054</v>
      </c>
      <c r="F4" s="16"/>
      <c r="G4" s="17"/>
      <c r="H4" s="14"/>
      <c r="I4" s="14"/>
      <c r="J4" s="14"/>
      <c r="K4" s="15">
        <f>SUM(K24,K26,K52)</f>
        <v>45777279.697347581</v>
      </c>
      <c r="L4" s="14"/>
      <c r="M4" s="19">
        <f>K4/$C$6</f>
        <v>1.643216081304308</v>
      </c>
      <c r="N4" s="23"/>
    </row>
    <row r="5" spans="1:17" x14ac:dyDescent="0.25">
      <c r="A5" s="5"/>
      <c r="B5" s="5" t="s">
        <v>105</v>
      </c>
      <c r="C5" s="21">
        <v>0</v>
      </c>
      <c r="D5" s="22"/>
      <c r="E5" s="16"/>
      <c r="F5" s="16"/>
      <c r="G5" s="24">
        <f>SUM(D24,D26,D39,D52,D54:D54)</f>
        <v>1.0000009999999999</v>
      </c>
      <c r="H5" s="14"/>
      <c r="I5" s="14"/>
      <c r="J5" s="14"/>
      <c r="K5" s="14"/>
      <c r="L5" s="14"/>
      <c r="M5" s="14"/>
      <c r="N5" s="23"/>
    </row>
    <row r="6" spans="1:17" x14ac:dyDescent="0.25">
      <c r="A6" s="5"/>
      <c r="B6" s="5" t="s">
        <v>106</v>
      </c>
      <c r="C6" s="21">
        <f>C3+C4-C5</f>
        <v>27858344.510000002</v>
      </c>
      <c r="D6" s="22"/>
      <c r="E6" s="16"/>
      <c r="F6" s="16"/>
      <c r="G6" s="17"/>
      <c r="H6" s="14"/>
      <c r="I6" s="14"/>
      <c r="J6" s="14"/>
      <c r="K6" s="14"/>
      <c r="L6" s="14"/>
      <c r="M6" s="14"/>
      <c r="N6" s="23"/>
    </row>
    <row r="7" spans="1:17" x14ac:dyDescent="0.25">
      <c r="A7" s="25"/>
      <c r="B7" s="26"/>
      <c r="C7" s="26"/>
      <c r="D7" s="27"/>
      <c r="E7" s="28"/>
      <c r="F7" s="28"/>
      <c r="G7" s="28"/>
      <c r="H7" s="29"/>
      <c r="I7" s="29"/>
      <c r="J7" s="29"/>
      <c r="K7" s="14"/>
      <c r="L7" s="14"/>
      <c r="M7" s="14"/>
      <c r="N7" s="23"/>
    </row>
    <row r="8" spans="1:17" s="34" customFormat="1" ht="38.25" x14ac:dyDescent="0.2">
      <c r="A8" s="30" t="s">
        <v>107</v>
      </c>
      <c r="B8" s="30" t="s">
        <v>108</v>
      </c>
      <c r="C8" s="31" t="s">
        <v>1</v>
      </c>
      <c r="D8" s="31" t="s">
        <v>109</v>
      </c>
      <c r="E8" s="31" t="s">
        <v>110</v>
      </c>
      <c r="F8" s="31" t="s">
        <v>111</v>
      </c>
      <c r="G8" s="31" t="s">
        <v>112</v>
      </c>
      <c r="H8" s="31" t="s">
        <v>113</v>
      </c>
      <c r="I8" s="31" t="s">
        <v>114</v>
      </c>
      <c r="J8" s="31" t="s">
        <v>115</v>
      </c>
      <c r="K8" s="32" t="s">
        <v>116</v>
      </c>
      <c r="L8" s="32" t="s">
        <v>117</v>
      </c>
      <c r="M8" s="32" t="s">
        <v>118</v>
      </c>
      <c r="N8" s="33"/>
      <c r="Q8" s="35"/>
    </row>
    <row r="9" spans="1:17" s="44" customFormat="1" ht="12.75" customHeight="1" x14ac:dyDescent="0.25">
      <c r="A9" s="36" t="s">
        <v>119</v>
      </c>
      <c r="B9" s="36" t="s">
        <v>120</v>
      </c>
      <c r="C9" s="36" t="s">
        <v>121</v>
      </c>
      <c r="D9" s="37">
        <v>9.7999999999999997E-3</v>
      </c>
      <c r="E9" s="38">
        <f>'Dec 10'!$D9*$C$6*$C$2</f>
        <v>1092047.104792</v>
      </c>
      <c r="F9" s="38">
        <v>597.70000000000005</v>
      </c>
      <c r="G9" s="39">
        <f>'Dec 10'!$E9/'Dec 10'!$F9</f>
        <v>1827.0823235603145</v>
      </c>
      <c r="H9" s="36">
        <v>2100</v>
      </c>
      <c r="I9" s="36">
        <f>ROUND(Table13895845679910111213144562678910111213141516171819202134567891011121314151617181920212223345678910111213141516171819203456789[[#This Row],[Target Quantity]],0)</f>
        <v>1827</v>
      </c>
      <c r="J9" s="40">
        <f t="shared" ref="J9:J22" si="0">I9-H9</f>
        <v>-273</v>
      </c>
      <c r="K9" s="41">
        <f>'Dec 10'!$F9*'Dec 10'!$I9</f>
        <v>1091997.9000000001</v>
      </c>
      <c r="L9" s="42">
        <f>'Dec 10'!$K9/$K$2</f>
        <v>9.78040420089938E-3</v>
      </c>
      <c r="M9" s="43"/>
    </row>
    <row r="10" spans="1:17" s="45" customFormat="1" ht="12.75" customHeight="1" x14ac:dyDescent="0.25">
      <c r="A10" s="36" t="s">
        <v>119</v>
      </c>
      <c r="B10" s="36" t="s">
        <v>43</v>
      </c>
      <c r="C10" s="36" t="s">
        <v>44</v>
      </c>
      <c r="D10" s="37">
        <v>9.7999999999999997E-3</v>
      </c>
      <c r="E10" s="38">
        <f>'Dec 10'!$D10*$C$6*$C$2</f>
        <v>1092047.104792</v>
      </c>
      <c r="F10" s="38">
        <v>388.55989272943998</v>
      </c>
      <c r="G10" s="39">
        <f>'Dec 10'!$E10/'Dec 10'!$F10</f>
        <v>2810.4987808209239</v>
      </c>
      <c r="H10" s="36">
        <v>3356</v>
      </c>
      <c r="I10" s="36">
        <f>ROUND(Table13895845679910111213144562678910111213141516171819202134567891011121314151617181920212223345678910111213141516171819203456789[[#This Row],[Target Quantity]],0)</f>
        <v>2810</v>
      </c>
      <c r="J10" s="40">
        <f t="shared" si="0"/>
        <v>-546</v>
      </c>
      <c r="K10" s="41">
        <f>'Dec 10'!$F10*'Dec 10'!$I10</f>
        <v>1091853.2985697263</v>
      </c>
      <c r="L10" s="42">
        <f>'Dec 10'!$K10/$K$2</f>
        <v>9.7791090881193046E-3</v>
      </c>
      <c r="M10" s="36"/>
      <c r="O10" s="44"/>
    </row>
    <row r="11" spans="1:17" s="45" customFormat="1" ht="12.75" customHeight="1" x14ac:dyDescent="0.25">
      <c r="A11" s="36" t="s">
        <v>119</v>
      </c>
      <c r="B11" s="36" t="s">
        <v>25</v>
      </c>
      <c r="C11" s="36" t="s">
        <v>26</v>
      </c>
      <c r="D11" s="37">
        <v>9.7999999999999997E-3</v>
      </c>
      <c r="E11" s="38">
        <f>'Dec 10'!$D11*$C$6*$C$2</f>
        <v>1092047.104792</v>
      </c>
      <c r="F11" s="38">
        <v>295.32004381160999</v>
      </c>
      <c r="G11" s="39">
        <f>'Dec 10'!$E11/'Dec 10'!$F11</f>
        <v>3697.8428239995678</v>
      </c>
      <c r="H11" s="36">
        <v>4565</v>
      </c>
      <c r="I11" s="36">
        <f>ROUND(Table13895845679910111213144562678910111213141516171819202134567891011121314151617181920212223345678910111213141516171819203456789[[#This Row],[Target Quantity]],0)</f>
        <v>3698</v>
      </c>
      <c r="J11" s="40">
        <f t="shared" si="0"/>
        <v>-867</v>
      </c>
      <c r="K11" s="41">
        <f>'Dec 10'!$F11*'Dec 10'!$I11</f>
        <v>1092093.5220153336</v>
      </c>
      <c r="L11" s="42">
        <f>'Dec 10'!$K11/$K$2</f>
        <v>9.7812606329130934E-3</v>
      </c>
      <c r="M11" s="36"/>
      <c r="O11" s="44"/>
    </row>
    <row r="12" spans="1:17" s="45" customFormat="1" ht="12.75" customHeight="1" x14ac:dyDescent="0.25">
      <c r="A12" s="36" t="s">
        <v>119</v>
      </c>
      <c r="B12" s="36" t="s">
        <v>128</v>
      </c>
      <c r="C12" s="36" t="s">
        <v>129</v>
      </c>
      <c r="D12" s="37">
        <v>9.7999999999999997E-3</v>
      </c>
      <c r="E12" s="38">
        <f>'Dec 10'!$D12*$C$6*$C$2</f>
        <v>1092047.104792</v>
      </c>
      <c r="F12" s="38">
        <v>24.4100024934991</v>
      </c>
      <c r="G12" s="39">
        <f>'Dec 10'!$E12/'Dec 10'!$F12</f>
        <v>44737.689194535531</v>
      </c>
      <c r="H12" s="36">
        <v>56146</v>
      </c>
      <c r="I12" s="36">
        <f>ROUND(Table13895845679910111213144562678910111213141516171819202134567891011121314151617181920212223345678910111213141516171819203456789[[#This Row],[Target Quantity]],0)</f>
        <v>44738</v>
      </c>
      <c r="J12" s="40">
        <f t="shared" si="0"/>
        <v>-11408</v>
      </c>
      <c r="K12" s="41">
        <f>'Dec 10'!$F12*'Dec 10'!$I12</f>
        <v>1092054.6915541627</v>
      </c>
      <c r="L12" s="42">
        <f>'Dec 10'!$K12/$K$2</f>
        <v>9.7809128505542079E-3</v>
      </c>
      <c r="M12" s="36"/>
      <c r="O12" s="44"/>
    </row>
    <row r="13" spans="1:17" s="45" customFormat="1" ht="12.75" customHeight="1" x14ac:dyDescent="0.25">
      <c r="A13" s="36" t="s">
        <v>119</v>
      </c>
      <c r="B13" s="36" t="s">
        <v>33</v>
      </c>
      <c r="C13" s="36" t="s">
        <v>34</v>
      </c>
      <c r="D13" s="37">
        <v>4.8999999999999998E-3</v>
      </c>
      <c r="E13" s="38">
        <f>'Dec 10'!$D13*$C$6*$C$2</f>
        <v>546023.55239600001</v>
      </c>
      <c r="F13" s="38">
        <v>41.250014881838197</v>
      </c>
      <c r="G13" s="39">
        <f>'Dec 10'!$E13/'Dec 10'!$F13</f>
        <v>13236.929828027929</v>
      </c>
      <c r="H13" s="36">
        <v>16799</v>
      </c>
      <c r="I13" s="36">
        <f>ROUND(Table13895845679910111213144562678910111213141516171819202134567891011121314151617181920212223345678910111213141516171819203456789[[#This Row],[Target Quantity]],0)</f>
        <v>13237</v>
      </c>
      <c r="J13" s="40">
        <f t="shared" si="0"/>
        <v>-3562</v>
      </c>
      <c r="K13" s="41">
        <f>'Dec 10'!$F13*'Dec 10'!$I13</f>
        <v>546026.44699089217</v>
      </c>
      <c r="L13" s="42">
        <f>'Dec 10'!$K13/$K$2</f>
        <v>4.890448375360323E-3</v>
      </c>
      <c r="M13" s="36"/>
      <c r="O13" s="44"/>
    </row>
    <row r="14" spans="1:17" s="45" customFormat="1" ht="12.75" customHeight="1" x14ac:dyDescent="0.25">
      <c r="A14" s="36" t="s">
        <v>119</v>
      </c>
      <c r="B14" s="36" t="s">
        <v>19</v>
      </c>
      <c r="C14" s="36" t="s">
        <v>20</v>
      </c>
      <c r="D14" s="37">
        <v>9.7999999999999997E-3</v>
      </c>
      <c r="E14" s="38">
        <f>'Dec 10'!$D14*$C$6*$C$2</f>
        <v>1092047.104792</v>
      </c>
      <c r="F14" s="38">
        <v>509.01011994002999</v>
      </c>
      <c r="G14" s="39">
        <f>'Dec 10'!$E14/'Dec 10'!$F14</f>
        <v>2145.432992414103</v>
      </c>
      <c r="H14" s="36">
        <v>2668</v>
      </c>
      <c r="I14" s="36">
        <f>ROUND(Table13895845679910111213144562678910111213141516171819202134567891011121314151617181920212223345678910111213141516171819203456789[[#This Row],[Target Quantity]],0)</f>
        <v>2145</v>
      </c>
      <c r="J14" s="40">
        <f t="shared" si="0"/>
        <v>-523</v>
      </c>
      <c r="K14" s="41">
        <f>'Dec 10'!$F14*'Dec 10'!$I14</f>
        <v>1091826.7072713643</v>
      </c>
      <c r="L14" s="42">
        <f>'Dec 10'!$K14/$K$2</f>
        <v>9.7788709249816211E-3</v>
      </c>
      <c r="M14" s="36"/>
      <c r="O14" s="44"/>
    </row>
    <row r="15" spans="1:17" s="45" customFormat="1" ht="12.75" customHeight="1" x14ac:dyDescent="0.25">
      <c r="A15" s="36" t="s">
        <v>119</v>
      </c>
      <c r="B15" s="36" t="s">
        <v>29</v>
      </c>
      <c r="C15" s="36" t="s">
        <v>30</v>
      </c>
      <c r="D15" s="37">
        <v>4.8999999999999998E-3</v>
      </c>
      <c r="E15" s="38">
        <f>'Dec 10'!$D15*$C$6*$C$2</f>
        <v>546023.55239600001</v>
      </c>
      <c r="F15" s="38">
        <v>21.819998126931601</v>
      </c>
      <c r="G15" s="39">
        <f>'Dec 10'!$E15/'Dec 10'!$F15</f>
        <v>25023.996300075927</v>
      </c>
      <c r="H15" s="36">
        <v>32033</v>
      </c>
      <c r="I15" s="36">
        <f>ROUND(Table13895845679910111213144562678910111213141516171819202134567891011121314151617181920212223345678910111213141516171819203456789[[#This Row],[Target Quantity]],0)</f>
        <v>25024</v>
      </c>
      <c r="J15" s="40">
        <f t="shared" si="0"/>
        <v>-7009</v>
      </c>
      <c r="K15" s="41">
        <f>'Dec 10'!$F15*'Dec 10'!$I15</f>
        <v>546023.6331283364</v>
      </c>
      <c r="L15" s="42">
        <f>'Dec 10'!$K15/$K$2</f>
        <v>4.8904231731935772E-3</v>
      </c>
      <c r="M15" s="36"/>
      <c r="O15" s="44"/>
    </row>
    <row r="16" spans="1:17" s="45" customFormat="1" ht="12.75" customHeight="1" x14ac:dyDescent="0.25">
      <c r="A16" s="36" t="s">
        <v>119</v>
      </c>
      <c r="B16" s="36" t="s">
        <v>21</v>
      </c>
      <c r="C16" s="36" t="s">
        <v>22</v>
      </c>
      <c r="D16" s="37">
        <v>9.7999999999999997E-3</v>
      </c>
      <c r="E16" s="38">
        <f>'Dec 10'!$D16*$C$6*$C$2</f>
        <v>1092047.104792</v>
      </c>
      <c r="F16" s="38">
        <v>38.5</v>
      </c>
      <c r="G16" s="39">
        <f>'Dec 10'!$E16/'Dec 10'!$F16</f>
        <v>28364.859864727274</v>
      </c>
      <c r="H16" s="36">
        <v>36894</v>
      </c>
      <c r="I16" s="36">
        <f>ROUND(Table13895845679910111213144562678910111213141516171819202134567891011121314151617181920212223345678910111213141516171819203456789[[#This Row],[Target Quantity]],0)</f>
        <v>28365</v>
      </c>
      <c r="J16" s="40">
        <f t="shared" si="0"/>
        <v>-8529</v>
      </c>
      <c r="K16" s="41">
        <f>'Dec 10'!$F16*'Dec 10'!$I16</f>
        <v>1092052.5</v>
      </c>
      <c r="L16" s="42">
        <f>'Dec 10'!$K16/$K$2</f>
        <v>9.7808932220498496E-3</v>
      </c>
      <c r="M16" s="36"/>
      <c r="O16" s="44"/>
    </row>
    <row r="17" spans="1:15" s="45" customFormat="1" ht="12.75" customHeight="1" x14ac:dyDescent="0.25">
      <c r="A17" s="36" t="s">
        <v>119</v>
      </c>
      <c r="B17" s="36" t="s">
        <v>37</v>
      </c>
      <c r="C17" s="36" t="s">
        <v>38</v>
      </c>
      <c r="D17" s="37">
        <v>4.8999999999999998E-3</v>
      </c>
      <c r="E17" s="38">
        <f>'Dec 10'!$D17*$C$6*$C$2</f>
        <v>546023.55239600001</v>
      </c>
      <c r="F17" s="38">
        <v>73.099979149291102</v>
      </c>
      <c r="G17" s="39">
        <f>'Dec 10'!$E17/'Dec 10'!$F17</f>
        <v>7469.5445710164086</v>
      </c>
      <c r="H17" s="36">
        <v>9592</v>
      </c>
      <c r="I17" s="36">
        <f>ROUND(Table13895845679910111213144562678910111213141516171819202134567891011121314151617181920212223345678910111213141516171819203456789[[#This Row],[Target Quantity]],0)</f>
        <v>7470</v>
      </c>
      <c r="J17" s="40">
        <f t="shared" si="0"/>
        <v>-2122</v>
      </c>
      <c r="K17" s="41">
        <f>'Dec 10'!$F17*'Dec 10'!$I17</f>
        <v>546056.84424520459</v>
      </c>
      <c r="L17" s="42">
        <f>'Dec 10'!$K17/$K$2</f>
        <v>4.8907206262811097E-3</v>
      </c>
      <c r="M17" s="36"/>
      <c r="O17" s="44"/>
    </row>
    <row r="18" spans="1:15" s="45" customFormat="1" ht="12.75" customHeight="1" x14ac:dyDescent="0.25">
      <c r="A18" s="36" t="s">
        <v>119</v>
      </c>
      <c r="B18" s="36" t="s">
        <v>23</v>
      </c>
      <c r="C18" s="36" t="s">
        <v>24</v>
      </c>
      <c r="D18" s="37">
        <v>9.7999999999999997E-3</v>
      </c>
      <c r="E18" s="38">
        <f>'Dec 10'!$D18*$C$6*$C$2</f>
        <v>1092047.104792</v>
      </c>
      <c r="F18" s="38">
        <v>254.83002936857599</v>
      </c>
      <c r="G18" s="39">
        <f>'Dec 10'!$E18/'Dec 10'!$F18</f>
        <v>4285.3941016994768</v>
      </c>
      <c r="H18" s="36">
        <v>5448</v>
      </c>
      <c r="I18" s="36">
        <f>ROUND(Table13895845679910111213144562678910111213141516171819202134567891011121314151617181920212223345678910111213141516171819203456789[[#This Row],[Target Quantity]],0)</f>
        <v>4285</v>
      </c>
      <c r="J18" s="40">
        <f t="shared" si="0"/>
        <v>-1163</v>
      </c>
      <c r="K18" s="41">
        <f>'Dec 10'!$F18*'Dec 10'!$I18</f>
        <v>1091946.675844348</v>
      </c>
      <c r="L18" s="42">
        <f>'Dec 10'!$K18/$K$2</f>
        <v>9.779945415266984E-3</v>
      </c>
      <c r="M18" s="36"/>
      <c r="O18" s="44"/>
    </row>
    <row r="19" spans="1:15" s="45" customFormat="1" ht="12.75" customHeight="1" x14ac:dyDescent="0.25">
      <c r="A19" s="36" t="s">
        <v>119</v>
      </c>
      <c r="B19" s="36" t="s">
        <v>15</v>
      </c>
      <c r="C19" s="36" t="s">
        <v>16</v>
      </c>
      <c r="D19" s="37">
        <v>4.8999999999999998E-3</v>
      </c>
      <c r="E19" s="38">
        <f>'Dec 10'!$D19*$C$6*$C$2</f>
        <v>546023.55239600001</v>
      </c>
      <c r="F19" s="38">
        <v>142.16506276150599</v>
      </c>
      <c r="G19" s="39">
        <f>'Dec 10'!$E19/'Dec 10'!$F19</f>
        <v>3840.771718379227</v>
      </c>
      <c r="H19" s="36">
        <v>4780</v>
      </c>
      <c r="I19" s="36">
        <f>ROUND(Table13895845679910111213144562678910111213141516171819202134567891011121314151617181920212223345678910111213141516171819203456789[[#This Row],[Target Quantity]],0)</f>
        <v>3841</v>
      </c>
      <c r="J19" s="40">
        <f t="shared" si="0"/>
        <v>-939</v>
      </c>
      <c r="K19" s="41">
        <f>'Dec 10'!$F19*'Dec 10'!$I19</f>
        <v>546056.00606694457</v>
      </c>
      <c r="L19" s="42">
        <f>'Dec 10'!$K19/$K$2</f>
        <v>4.890713119195084E-3</v>
      </c>
      <c r="M19" s="36"/>
      <c r="O19" s="44"/>
    </row>
    <row r="20" spans="1:15" s="45" customFormat="1" ht="12.75" customHeight="1" x14ac:dyDescent="0.25">
      <c r="A20" s="36" t="s">
        <v>119</v>
      </c>
      <c r="B20" s="36" t="s">
        <v>27</v>
      </c>
      <c r="C20" s="36" t="s">
        <v>28</v>
      </c>
      <c r="D20" s="37">
        <v>9.7999999999999997E-3</v>
      </c>
      <c r="E20" s="38">
        <f>'Dec 10'!$D20*$C$6*$C$2</f>
        <v>1092047.104792</v>
      </c>
      <c r="F20" s="38">
        <v>44.430009557183801</v>
      </c>
      <c r="G20" s="39">
        <f>'Dec 10'!$E20/'Dec 10'!$F20</f>
        <v>24579.042761322769</v>
      </c>
      <c r="H20" s="36">
        <v>31390</v>
      </c>
      <c r="I20" s="36">
        <f>ROUND(Table13895845679910111213144562678910111213141516171819202134567891011121314151617181920212223345678910111213141516171819203456789[[#This Row],[Target Quantity]],0)</f>
        <v>24579</v>
      </c>
      <c r="J20" s="40">
        <f t="shared" si="0"/>
        <v>-6811</v>
      </c>
      <c r="K20" s="41">
        <f>'Dec 10'!$F20*'Dec 10'!$I20</f>
        <v>1092045.2049060205</v>
      </c>
      <c r="L20" s="42">
        <f>'Dec 10'!$K20/$K$2</f>
        <v>9.7808278840415958E-3</v>
      </c>
      <c r="M20" s="36"/>
      <c r="O20" s="91"/>
    </row>
    <row r="21" spans="1:15" s="45" customFormat="1" ht="12.75" customHeight="1" x14ac:dyDescent="0.25">
      <c r="A21" s="36" t="s">
        <v>119</v>
      </c>
      <c r="B21" s="36" t="s">
        <v>39</v>
      </c>
      <c r="C21" s="36" t="s">
        <v>40</v>
      </c>
      <c r="D21" s="37">
        <v>0.22866700000000001</v>
      </c>
      <c r="E21" s="38">
        <f>'Dec 10'!$D21*$C$6*$C$2</f>
        <v>25481136.256272681</v>
      </c>
      <c r="F21" s="38">
        <v>301.69000518562598</v>
      </c>
      <c r="G21" s="39">
        <f>'Dec 10'!$E21/'Dec 10'!$F21</f>
        <v>84461.320621458653</v>
      </c>
      <c r="H21" s="36">
        <v>104134</v>
      </c>
      <c r="I21" s="36">
        <f>ROUND(Table13895845679910111213144562678910111213141516171819202134567891011121314151617181920212223345678910111213141516171819203456789[[#This Row],[Target Quantity]],0)</f>
        <v>84461</v>
      </c>
      <c r="J21" s="40">
        <f t="shared" si="0"/>
        <v>-19673</v>
      </c>
      <c r="K21" s="41">
        <f>'Dec 10'!$F21*'Dec 10'!$I21</f>
        <v>25481039.527983155</v>
      </c>
      <c r="L21" s="42">
        <f>'Dec 10'!$K21/$K$2</f>
        <v>0.22821918068044783</v>
      </c>
      <c r="M21" s="36"/>
      <c r="O21" s="44"/>
    </row>
    <row r="22" spans="1:15" s="45" customFormat="1" ht="12.75" customHeight="1" x14ac:dyDescent="0.25">
      <c r="A22" s="36" t="s">
        <v>119</v>
      </c>
      <c r="B22" s="45" t="s">
        <v>11</v>
      </c>
      <c r="C22" s="36" t="s">
        <v>12</v>
      </c>
      <c r="D22" s="37">
        <v>2.3334000000000001E-2</v>
      </c>
      <c r="E22" s="38">
        <f>'Dec 10'!$D22*$C$6*$C$2</f>
        <v>2600186.4431853602</v>
      </c>
      <c r="F22" s="38">
        <v>2.4768934257636901</v>
      </c>
      <c r="G22" s="39">
        <f>'Dec 10'!$E22/'Dec 10'!$F22</f>
        <v>1049777.2799343015</v>
      </c>
      <c r="H22" s="36">
        <v>1312700</v>
      </c>
      <c r="I22" s="36">
        <f>ROUND(Table13895845679910111213144562678910111213141516171819202134567891011121314151617181920212223345678910111213141516171819203456789[[#This Row],[Target Quantity]],-2)</f>
        <v>1049800</v>
      </c>
      <c r="J22" s="40">
        <f t="shared" si="0"/>
        <v>-262900</v>
      </c>
      <c r="K22" s="41">
        <f>'Dec 10'!$F22*'Dec 10'!$I22</f>
        <v>2600242.7183667216</v>
      </c>
      <c r="L22" s="42">
        <f>'Dec 10'!$K22/$K$2</f>
        <v>2.32888953413481E-2</v>
      </c>
      <c r="M22" s="36"/>
      <c r="O22" s="44"/>
    </row>
    <row r="23" spans="1:15" s="45" customFormat="1" ht="12.75" customHeight="1" x14ac:dyDescent="0.25">
      <c r="A23" s="36"/>
      <c r="B23" s="36"/>
      <c r="C23" s="36"/>
      <c r="D23" s="37"/>
      <c r="E23" s="38"/>
      <c r="F23" s="38"/>
      <c r="G23" s="39"/>
      <c r="H23" s="36"/>
      <c r="I23" s="36"/>
      <c r="J23" s="46"/>
      <c r="K23" s="38"/>
      <c r="L23" s="47"/>
      <c r="M23" s="36"/>
    </row>
    <row r="24" spans="1:15" s="54" customFormat="1" ht="12.75" customHeight="1" x14ac:dyDescent="0.25">
      <c r="A24" s="48" t="s">
        <v>136</v>
      </c>
      <c r="B24" s="48"/>
      <c r="C24" s="48"/>
      <c r="D24" s="49">
        <f>SUM(D9:D23)</f>
        <v>0.35000100000000006</v>
      </c>
      <c r="E24" s="50">
        <f>'Dec 10'!$D24*$C$6*$C$2</f>
        <v>39001793.747378051</v>
      </c>
      <c r="F24" s="51"/>
      <c r="G24" s="51"/>
      <c r="H24" s="48"/>
      <c r="I24" s="48"/>
      <c r="J24" s="52"/>
      <c r="K24" s="50">
        <f>SUM(K9:K23)</f>
        <v>39001315.676942207</v>
      </c>
      <c r="L24" s="53">
        <f>'Dec 10'!$K24/$K$2</f>
        <v>0.34931260553465204</v>
      </c>
      <c r="M24" s="48"/>
      <c r="O24" s="90"/>
    </row>
    <row r="25" spans="1:15" s="45" customFormat="1" ht="12.75" customHeight="1" x14ac:dyDescent="0.25">
      <c r="A25" s="36"/>
      <c r="B25" s="36"/>
      <c r="C25" s="36"/>
      <c r="D25" s="37"/>
      <c r="E25" s="38"/>
      <c r="F25" s="38"/>
      <c r="G25" s="39"/>
      <c r="H25" s="36"/>
      <c r="I25" s="36"/>
      <c r="J25" s="46"/>
      <c r="K25" s="38"/>
      <c r="L25" s="42"/>
      <c r="M25" s="36"/>
      <c r="O25" s="89"/>
    </row>
    <row r="26" spans="1:15" s="44" customFormat="1" ht="12.75" customHeight="1" x14ac:dyDescent="0.25">
      <c r="A26" s="55"/>
      <c r="B26" s="48" t="s">
        <v>31</v>
      </c>
      <c r="C26" s="55" t="s">
        <v>32</v>
      </c>
      <c r="D26" s="56">
        <v>0.04</v>
      </c>
      <c r="E26" s="57">
        <f>'Dec 10'!$D26*$C$6*$C$2</f>
        <v>4457335.1216000002</v>
      </c>
      <c r="F26" s="51">
        <v>17.469998926164301</v>
      </c>
      <c r="G26" s="58">
        <f>'Dec 10'!$E26/'Dec 10'!$F26</f>
        <v>255142.26649003287</v>
      </c>
      <c r="H26" s="55">
        <v>316622</v>
      </c>
      <c r="I26" s="55">
        <f>ROUND(Table13895845679910111213144562678910111213141516171819202134567891011121314151617181920212223345678910111213141516171819203456789[[#This Row],[Target Quantity]],0)</f>
        <v>255142</v>
      </c>
      <c r="J26" s="59">
        <f>I26-H26</f>
        <v>-61480</v>
      </c>
      <c r="K26" s="60">
        <f>'Dec 10'!$F26*'Dec 10'!$I26</f>
        <v>4457330.4660194125</v>
      </c>
      <c r="L26" s="53">
        <f>'Dec 10'!$K26/$K$2</f>
        <v>3.9921774221958715E-2</v>
      </c>
      <c r="M26" s="48"/>
      <c r="O26" s="61"/>
    </row>
    <row r="27" spans="1:15" s="44" customFormat="1" ht="12.75" customHeight="1" x14ac:dyDescent="0.25">
      <c r="A27" s="36"/>
      <c r="B27" s="36"/>
      <c r="C27" s="36"/>
      <c r="D27" s="37"/>
      <c r="E27" s="38"/>
      <c r="F27" s="38"/>
      <c r="G27" s="39"/>
      <c r="H27" s="36"/>
      <c r="I27" s="36"/>
      <c r="J27" s="46"/>
      <c r="K27" s="41"/>
      <c r="L27" s="42"/>
      <c r="M27" s="36"/>
      <c r="O27" s="61"/>
    </row>
    <row r="28" spans="1:15" s="4" customFormat="1" ht="12.75" x14ac:dyDescent="0.2">
      <c r="A28" s="36" t="s">
        <v>137</v>
      </c>
      <c r="B28" s="62" t="s">
        <v>75</v>
      </c>
      <c r="C28" s="63" t="s">
        <v>76</v>
      </c>
      <c r="D28" s="37">
        <v>5.8999999999999997E-2</v>
      </c>
      <c r="E28" s="38">
        <f>'Dec 10'!$D28*$C$6*$C$2</f>
        <v>6574569.3043600004</v>
      </c>
      <c r="F28" s="38">
        <v>156006.01886792501</v>
      </c>
      <c r="G28" s="39">
        <f>'Dec 10'!$E28/'Dec 10'!$F28</f>
        <v>42.143049044319518</v>
      </c>
      <c r="H28" s="36">
        <v>53</v>
      </c>
      <c r="I28" s="36">
        <f>ROUND(Table13895845679910111213144562678910111213141516171819202134567891011121314151617181920212223345678910111213141516171819203456789[[#This Row],[Target Quantity]],0)</f>
        <v>42</v>
      </c>
      <c r="J28" s="40">
        <f t="shared" ref="J28:J37" si="1">I28-H28</f>
        <v>-11</v>
      </c>
      <c r="K28" s="41">
        <f>'Dec 10'!$F28*'Dec 10'!$I28</f>
        <v>6552252.7924528504</v>
      </c>
      <c r="L28" s="42">
        <f>'Dec 10'!$K28/$K$2</f>
        <v>5.8684802174675012E-2</v>
      </c>
      <c r="M28" s="64"/>
    </row>
    <row r="29" spans="1:15" s="4" customFormat="1" ht="12.75" x14ac:dyDescent="0.2">
      <c r="A29" s="36" t="s">
        <v>137</v>
      </c>
      <c r="B29" s="62" t="s">
        <v>80</v>
      </c>
      <c r="C29" s="63" t="s">
        <v>81</v>
      </c>
      <c r="D29" s="37">
        <v>5.8999999999999997E-2</v>
      </c>
      <c r="E29" s="38">
        <f>'Dec 10'!$D29*$C$6*$C$2</f>
        <v>6574569.3043600004</v>
      </c>
      <c r="F29" s="38">
        <v>212293.179487179</v>
      </c>
      <c r="G29" s="39">
        <f>'Dec 10'!$E29/'Dec 10'!$F29</f>
        <v>30.96929124261883</v>
      </c>
      <c r="H29" s="36">
        <v>39</v>
      </c>
      <c r="I29" s="36">
        <f>ROUND(Table13895845679910111213144562678910111213141516171819202134567891011121314151617181920212223345678910111213141516171819203456789[[#This Row],[Target Quantity]],0)</f>
        <v>31</v>
      </c>
      <c r="J29" s="40">
        <f t="shared" si="1"/>
        <v>-8</v>
      </c>
      <c r="K29" s="41">
        <f>'Dec 10'!$F29*'Dec 10'!$I29</f>
        <v>6581088.5641025491</v>
      </c>
      <c r="L29" s="42">
        <f>'Dec 10'!$K29/$K$2</f>
        <v>5.8943067783225077E-2</v>
      </c>
      <c r="M29" s="64"/>
    </row>
    <row r="30" spans="1:15" s="4" customFormat="1" ht="12.75" x14ac:dyDescent="0.2">
      <c r="A30" s="36" t="s">
        <v>137</v>
      </c>
      <c r="B30" s="62" t="s">
        <v>82</v>
      </c>
      <c r="C30" s="63" t="s">
        <v>83</v>
      </c>
      <c r="D30" s="37">
        <v>5.8999999999999997E-2</v>
      </c>
      <c r="E30" s="38">
        <f>'Dec 10'!$D30*$C$6*$C$2</f>
        <v>6574569.3043600004</v>
      </c>
      <c r="F30" s="38">
        <v>172823.97916666701</v>
      </c>
      <c r="G30" s="39">
        <f>'Dec 10'!$E30/'Dec 10'!$F30</f>
        <v>38.041997042665329</v>
      </c>
      <c r="H30" s="36">
        <v>48</v>
      </c>
      <c r="I30" s="36">
        <f>ROUND(Table13895845679910111213144562678910111213141516171819202134567891011121314151617181920212223345678910111213141516171819203456789[[#This Row],[Target Quantity]],0)</f>
        <v>38</v>
      </c>
      <c r="J30" s="40">
        <f t="shared" si="1"/>
        <v>-10</v>
      </c>
      <c r="K30" s="41">
        <f>'Dec 10'!$F30*'Dec 10'!$I30</f>
        <v>6567311.2083333461</v>
      </c>
      <c r="L30" s="42">
        <f>'Dec 10'!$K30/$K$2</f>
        <v>5.881967184240651E-2</v>
      </c>
      <c r="M30" s="64"/>
    </row>
    <row r="31" spans="1:15" s="4" customFormat="1" ht="12.75" x14ac:dyDescent="0.2">
      <c r="A31" s="36" t="s">
        <v>137</v>
      </c>
      <c r="B31" s="62" t="s">
        <v>84</v>
      </c>
      <c r="C31" s="63" t="s">
        <v>85</v>
      </c>
      <c r="D31" s="37">
        <v>5.8999999999999997E-2</v>
      </c>
      <c r="E31" s="38">
        <f>'Dec 10'!$D31*$C$6*$C$2</f>
        <v>6574569.3043600004</v>
      </c>
      <c r="F31" s="38">
        <v>125880.621212121</v>
      </c>
      <c r="G31" s="39">
        <f>'Dec 10'!$E31/'Dec 10'!$F31</f>
        <v>52.228605491874852</v>
      </c>
      <c r="H31" s="36">
        <v>66</v>
      </c>
      <c r="I31" s="36">
        <f>ROUND(Table13895845679910111213144562678910111213141516171819202134567891011121314151617181920212223345678910111213141516171819203456789[[#This Row],[Target Quantity]],0)</f>
        <v>52</v>
      </c>
      <c r="J31" s="40">
        <f t="shared" si="1"/>
        <v>-14</v>
      </c>
      <c r="K31" s="41">
        <f>'Dec 10'!$F31*'Dec 10'!$I31</f>
        <v>6545792.3030302916</v>
      </c>
      <c r="L31" s="42">
        <f>'Dec 10'!$K31/$K$2</f>
        <v>5.8626939244821152E-2</v>
      </c>
      <c r="M31" s="64"/>
    </row>
    <row r="32" spans="1:15" s="4" customFormat="1" ht="12.75" x14ac:dyDescent="0.2">
      <c r="A32" s="36" t="s">
        <v>137</v>
      </c>
      <c r="B32" s="62" t="s">
        <v>86</v>
      </c>
      <c r="C32" s="63" t="s">
        <v>87</v>
      </c>
      <c r="D32" s="37">
        <v>5.8999999999999997E-2</v>
      </c>
      <c r="E32" s="38">
        <f>'Dec 10'!$D32*$C$6*$C$2</f>
        <v>6574569.3043600004</v>
      </c>
      <c r="F32" s="38">
        <v>137728.6</v>
      </c>
      <c r="G32" s="39">
        <f>'Dec 10'!$E32/'Dec 10'!$F32</f>
        <v>47.735686737249928</v>
      </c>
      <c r="H32" s="36">
        <v>60</v>
      </c>
      <c r="I32" s="36">
        <f>ROUND(Table13895845679910111213144562678910111213141516171819202134567891011121314151617181920212223345678910111213141516171819203456789[[#This Row],[Target Quantity]],0)</f>
        <v>48</v>
      </c>
      <c r="J32" s="40">
        <f t="shared" si="1"/>
        <v>-12</v>
      </c>
      <c r="K32" s="41">
        <f>'Dec 10'!$F32*'Dec 10'!$I32</f>
        <v>6610972.8000000007</v>
      </c>
      <c r="L32" s="42">
        <f>'Dec 10'!$K32/$K$2</f>
        <v>5.9210723889809254E-2</v>
      </c>
      <c r="M32" s="64"/>
    </row>
    <row r="33" spans="1:16" s="4" customFormat="1" ht="12.75" x14ac:dyDescent="0.2">
      <c r="A33" s="36" t="s">
        <v>137</v>
      </c>
      <c r="B33" s="62" t="s">
        <v>92</v>
      </c>
      <c r="C33" s="63" t="s">
        <v>93</v>
      </c>
      <c r="D33" s="37">
        <v>5.8999999999999997E-2</v>
      </c>
      <c r="E33" s="38">
        <f>'Dec 10'!$D33*$C$6*$C$2</f>
        <v>6574569.3043600004</v>
      </c>
      <c r="F33" s="38">
        <v>220830.5</v>
      </c>
      <c r="G33" s="39">
        <f>'Dec 10'!$E33/'Dec 10'!$F33</f>
        <v>29.772016566371043</v>
      </c>
      <c r="H33" s="36">
        <v>38</v>
      </c>
      <c r="I33" s="36">
        <f>ROUND(Table13895845679910111213144562678910111213141516171819202134567891011121314151617181920212223345678910111213141516171819203456789[[#This Row],[Target Quantity]],0)</f>
        <v>30</v>
      </c>
      <c r="J33" s="40">
        <f t="shared" si="1"/>
        <v>-8</v>
      </c>
      <c r="K33" s="41">
        <f>'Dec 10'!$F33*'Dec 10'!$I33</f>
        <v>6624915</v>
      </c>
      <c r="L33" s="42">
        <f>'Dec 10'!$K33/$K$2</f>
        <v>5.9335596246660648E-2</v>
      </c>
      <c r="M33" s="64"/>
    </row>
    <row r="34" spans="1:16" s="44" customFormat="1" ht="25.5" customHeight="1" x14ac:dyDescent="0.2">
      <c r="A34" s="36" t="s">
        <v>138</v>
      </c>
      <c r="B34" s="36" t="s">
        <v>54</v>
      </c>
      <c r="C34" s="36" t="s">
        <v>55</v>
      </c>
      <c r="D34" s="37">
        <v>5.8999999999999997E-2</v>
      </c>
      <c r="E34" s="38">
        <f>'Dec 10'!$D34*$C$6*$C$2</f>
        <v>6574569.3043600004</v>
      </c>
      <c r="F34" s="38">
        <v>115901.097222222</v>
      </c>
      <c r="G34" s="39">
        <f>'Dec 10'!$E34/'Dec 10'!$F34</f>
        <v>56.725686485558498</v>
      </c>
      <c r="H34" s="36">
        <v>72</v>
      </c>
      <c r="I34" s="36">
        <f>ROUND(Table13895845679910111213144562678910111213141516171819202134567891011121314151617181920212223345678910111213141516171819203456789[[#This Row],[Target Quantity]],0)</f>
        <v>57</v>
      </c>
      <c r="J34" s="40">
        <f t="shared" si="1"/>
        <v>-15</v>
      </c>
      <c r="K34" s="41">
        <f>'Dec 10'!$F34*'Dec 10'!$I34</f>
        <v>6606362.5416666539</v>
      </c>
      <c r="L34" s="42">
        <f>'Dec 10'!$K34/$K$2</f>
        <v>5.9169432427645552E-2</v>
      </c>
      <c r="M34" s="43"/>
      <c r="O34" s="4"/>
    </row>
    <row r="35" spans="1:16" s="44" customFormat="1" ht="25.5" x14ac:dyDescent="0.2">
      <c r="A35" s="36" t="s">
        <v>138</v>
      </c>
      <c r="B35" s="36" t="s">
        <v>52</v>
      </c>
      <c r="C35" s="36" t="s">
        <v>53</v>
      </c>
      <c r="D35" s="37">
        <v>5.8999999999999997E-2</v>
      </c>
      <c r="E35" s="38">
        <f>'Dec 10'!$D35*$C$6*$C$2</f>
        <v>6574569.3043600004</v>
      </c>
      <c r="F35" s="38">
        <v>137090.66666666701</v>
      </c>
      <c r="G35" s="39">
        <f>'Dec 10'!$E35/'Dec 10'!$F35</f>
        <v>47.95781845853827</v>
      </c>
      <c r="H35" s="36">
        <v>60</v>
      </c>
      <c r="I35" s="36">
        <f>ROUND(Table13895845679910111213144562678910111213141516171819202134567891011121314151617181920212223345678910111213141516171819203456789[[#This Row],[Target Quantity]],0)</f>
        <v>48</v>
      </c>
      <c r="J35" s="40">
        <f t="shared" si="1"/>
        <v>-12</v>
      </c>
      <c r="K35" s="41">
        <f>'Dec 10'!$F35*'Dec 10'!$I35</f>
        <v>6580352.0000000168</v>
      </c>
      <c r="L35" s="42">
        <f>'Dec 10'!$K35/$K$2</f>
        <v>5.8936470797422591E-2</v>
      </c>
      <c r="M35" s="43"/>
      <c r="O35" s="4"/>
    </row>
    <row r="36" spans="1:16" s="44" customFormat="1" ht="24.95" customHeight="1" x14ac:dyDescent="0.2">
      <c r="A36" s="36" t="s">
        <v>138</v>
      </c>
      <c r="B36" s="36" t="s">
        <v>48</v>
      </c>
      <c r="C36" s="36" t="s">
        <v>49</v>
      </c>
      <c r="D36" s="37">
        <v>5.8999999999999997E-2</v>
      </c>
      <c r="E36" s="38">
        <f>'Dec 10'!$D36*$C$6*$C$2</f>
        <v>6574569.3043600004</v>
      </c>
      <c r="F36" s="38">
        <v>183948.66666666701</v>
      </c>
      <c r="G36" s="39">
        <f>'Dec 10'!$E36/'Dec 10'!$F36</f>
        <v>35.741326227027045</v>
      </c>
      <c r="H36" s="36">
        <v>45</v>
      </c>
      <c r="I36" s="36">
        <f>ROUND(Table13895845679910111213144562678910111213141516171819202134567891011121314151617181920212223345678910111213141516171819203456789[[#This Row],[Target Quantity]],0)</f>
        <v>36</v>
      </c>
      <c r="J36" s="40">
        <f t="shared" si="1"/>
        <v>-9</v>
      </c>
      <c r="K36" s="41">
        <f>'Dec 10'!$F36*'Dec 10'!$I36</f>
        <v>6622152.0000000121</v>
      </c>
      <c r="L36" s="42">
        <f>'Dec 10'!$K36/$K$2</f>
        <v>5.9310849626903445E-2</v>
      </c>
      <c r="M36" s="43"/>
      <c r="O36" s="4"/>
    </row>
    <row r="37" spans="1:16" s="44" customFormat="1" ht="12.75" x14ac:dyDescent="0.2">
      <c r="A37" s="36" t="s">
        <v>138</v>
      </c>
      <c r="B37" s="36" t="s">
        <v>58</v>
      </c>
      <c r="C37" s="36" t="s">
        <v>59</v>
      </c>
      <c r="D37" s="37">
        <v>5.8999999999999997E-2</v>
      </c>
      <c r="E37" s="38">
        <f>'Dec 10'!$D37*$C$6*$C$2</f>
        <v>6574569.3043600004</v>
      </c>
      <c r="F37" s="38">
        <v>274297.23333333299</v>
      </c>
      <c r="G37" s="39">
        <f>'Dec 10'!$E37/'Dec 10'!$F37</f>
        <v>23.968777316723482</v>
      </c>
      <c r="H37" s="36">
        <v>30</v>
      </c>
      <c r="I37" s="36">
        <f>ROUND(Table13895845679910111213144562678910111213141516171819202134567891011121314151617181920212223345678910111213141516171819203456789[[#This Row],[Target Quantity]],0)</f>
        <v>24</v>
      </c>
      <c r="J37" s="40">
        <f t="shared" si="1"/>
        <v>-6</v>
      </c>
      <c r="K37" s="41">
        <f>'Dec 10'!$F37*'Dec 10'!$I37</f>
        <v>6583133.5999999922</v>
      </c>
      <c r="L37" s="42">
        <f>'Dec 10'!$K37/$K$2</f>
        <v>5.8961384006802377E-2</v>
      </c>
      <c r="M37" s="43"/>
      <c r="O37" s="4"/>
    </row>
    <row r="38" spans="1:16" s="66" customFormat="1" ht="12.75" x14ac:dyDescent="0.2">
      <c r="A38" s="36"/>
      <c r="B38" s="63"/>
      <c r="C38" s="63"/>
      <c r="D38" s="37"/>
      <c r="E38" s="65"/>
      <c r="F38" s="38"/>
      <c r="G38" s="39"/>
      <c r="H38" s="36"/>
      <c r="I38" s="36"/>
      <c r="J38" s="46"/>
      <c r="K38" s="38"/>
      <c r="L38" s="47"/>
      <c r="M38" s="64"/>
    </row>
    <row r="39" spans="1:16" s="17" customFormat="1" ht="12.75" x14ac:dyDescent="0.2">
      <c r="A39" s="48" t="s">
        <v>142</v>
      </c>
      <c r="B39" s="67"/>
      <c r="C39" s="67"/>
      <c r="D39" s="56">
        <f>SUBTOTAL(9,D28:D38)</f>
        <v>0.58999999999999986</v>
      </c>
      <c r="E39" s="68">
        <f>'Dec 10'!$D39*$C$6*$C$2</f>
        <v>65745693.043599986</v>
      </c>
      <c r="F39" s="69"/>
      <c r="G39" s="70"/>
      <c r="H39" s="55"/>
      <c r="I39" s="55"/>
      <c r="J39" s="59"/>
      <c r="K39" s="68">
        <f>SUM(K28:K38)</f>
        <v>65874332.80958572</v>
      </c>
      <c r="L39" s="71">
        <f>'Dec 10'!$K39/$K$2</f>
        <v>0.58999893804037173</v>
      </c>
      <c r="M39" s="72"/>
    </row>
    <row r="40" spans="1:16" s="44" customFormat="1" ht="12.75" x14ac:dyDescent="0.25">
      <c r="A40" s="36"/>
      <c r="B40" s="36"/>
      <c r="C40" s="36"/>
      <c r="D40" s="37"/>
      <c r="E40" s="38"/>
      <c r="F40" s="38"/>
      <c r="G40" s="74"/>
      <c r="H40" s="36"/>
      <c r="I40" s="36"/>
      <c r="J40" s="40"/>
      <c r="K40" s="41"/>
      <c r="L40" s="42"/>
      <c r="M40" s="43"/>
    </row>
    <row r="41" spans="1:16" s="44" customFormat="1" ht="12.75" x14ac:dyDescent="0.25">
      <c r="A41" s="36" t="s">
        <v>154</v>
      </c>
      <c r="B41" s="36" t="s">
        <v>45</v>
      </c>
      <c r="C41" s="36" t="s">
        <v>46</v>
      </c>
      <c r="D41" s="37">
        <v>2E-3</v>
      </c>
      <c r="E41" s="38">
        <f>'Dec 10'!$D41*$C$6*$C$2</f>
        <v>222866.75608000002</v>
      </c>
      <c r="F41" s="38">
        <v>50973.4</v>
      </c>
      <c r="G41" s="74">
        <f>'Dec 10'!$E41/'Dec 10'!$F41</f>
        <v>4.372216804843311</v>
      </c>
      <c r="H41" s="36">
        <v>5</v>
      </c>
      <c r="I41" s="36">
        <v>5</v>
      </c>
      <c r="J41" s="40">
        <f t="shared" ref="J41:J50" si="2">I41-H41</f>
        <v>0</v>
      </c>
      <c r="K41" s="41">
        <f>'Dec 10'!$F41*'Dec 10'!$I41</f>
        <v>254867</v>
      </c>
      <c r="L41" s="42">
        <f>'Dec 10'!$K41/$K$2</f>
        <v>2.2826987830934678E-3</v>
      </c>
      <c r="M41" s="43"/>
    </row>
    <row r="42" spans="1:16" s="44" customFormat="1" ht="12.75" x14ac:dyDescent="0.25">
      <c r="A42" s="36" t="s">
        <v>154</v>
      </c>
      <c r="B42" s="36" t="s">
        <v>156</v>
      </c>
      <c r="C42" s="36" t="s">
        <v>61</v>
      </c>
      <c r="D42" s="37">
        <v>2E-3</v>
      </c>
      <c r="E42" s="38">
        <f>'Dec 10'!$D42*$C$6*$C$2</f>
        <v>222866.75608000002</v>
      </c>
      <c r="F42" s="38">
        <v>87730.333333333299</v>
      </c>
      <c r="G42" s="74">
        <f>'Dec 10'!$E42/'Dec 10'!$F42</f>
        <v>2.5403614418426175</v>
      </c>
      <c r="H42" s="36">
        <v>3</v>
      </c>
      <c r="I42" s="36">
        <v>3</v>
      </c>
      <c r="J42" s="40">
        <f t="shared" si="2"/>
        <v>0</v>
      </c>
      <c r="K42" s="41">
        <f>'Dec 10'!$F42*'Dec 10'!$I42</f>
        <v>263190.99999999988</v>
      </c>
      <c r="L42" s="42">
        <f>'Dec 10'!$K42/$K$2</f>
        <v>2.3572521174618625E-3</v>
      </c>
      <c r="M42" s="43"/>
      <c r="P42" s="44" t="s">
        <v>157</v>
      </c>
    </row>
    <row r="43" spans="1:16" s="44" customFormat="1" ht="12.75" x14ac:dyDescent="0.25">
      <c r="A43" s="36" t="s">
        <v>154</v>
      </c>
      <c r="B43" s="36" t="s">
        <v>68</v>
      </c>
      <c r="C43" s="36" t="s">
        <v>69</v>
      </c>
      <c r="D43" s="37">
        <v>2E-3</v>
      </c>
      <c r="E43" s="38">
        <f>'Dec 10'!$D43*$C$6*$C$2</f>
        <v>222866.75608000002</v>
      </c>
      <c r="F43" s="38">
        <v>100640.33333333299</v>
      </c>
      <c r="G43" s="74">
        <f>'Dec 10'!$E43/'Dec 10'!$F43</f>
        <v>2.2144874594347606</v>
      </c>
      <c r="H43" s="36">
        <v>3</v>
      </c>
      <c r="I43" s="36">
        <v>2</v>
      </c>
      <c r="J43" s="40">
        <f t="shared" si="2"/>
        <v>-1</v>
      </c>
      <c r="K43" s="41">
        <f>'Dec 10'!$F43*'Dec 10'!$I43</f>
        <v>201280.66666666599</v>
      </c>
      <c r="L43" s="42">
        <f>'Dec 10'!$K43/$K$2</f>
        <v>1.8027564685119703E-3</v>
      </c>
      <c r="M43" s="43"/>
    </row>
    <row r="44" spans="1:16" s="44" customFormat="1" ht="12.75" x14ac:dyDescent="0.25">
      <c r="A44" s="36" t="s">
        <v>154</v>
      </c>
      <c r="B44" s="36" t="s">
        <v>70</v>
      </c>
      <c r="C44" s="36" t="s">
        <v>71</v>
      </c>
      <c r="D44" s="37">
        <v>2E-3</v>
      </c>
      <c r="E44" s="38">
        <f>'Dec 10'!$D44*$C$6*$C$2</f>
        <v>222866.75608000002</v>
      </c>
      <c r="F44" s="38">
        <v>228965</v>
      </c>
      <c r="G44" s="74">
        <f>'Dec 10'!$E44/'Dec 10'!$F44</f>
        <v>0.97336604319437481</v>
      </c>
      <c r="H44" s="36">
        <v>1</v>
      </c>
      <c r="I44" s="36">
        <v>1</v>
      </c>
      <c r="J44" s="40">
        <f t="shared" si="2"/>
        <v>0</v>
      </c>
      <c r="K44" s="41">
        <f>'Dec 10'!$F44*'Dec 10'!$I44</f>
        <v>228965</v>
      </c>
      <c r="L44" s="42">
        <f>'Dec 10'!$K44/$K$2</f>
        <v>2.0507092988538956E-3</v>
      </c>
      <c r="M44" s="43"/>
    </row>
    <row r="45" spans="1:16" s="44" customFormat="1" ht="12.75" x14ac:dyDescent="0.25">
      <c r="A45" s="36" t="s">
        <v>154</v>
      </c>
      <c r="B45" s="36" t="s">
        <v>159</v>
      </c>
      <c r="C45" s="36" t="s">
        <v>73</v>
      </c>
      <c r="D45" s="37">
        <v>2E-3</v>
      </c>
      <c r="E45" s="38">
        <f>'Dec 10'!$D45*$C$6*$C$2</f>
        <v>222866.75608000002</v>
      </c>
      <c r="F45" s="38">
        <v>15318.8947368421</v>
      </c>
      <c r="G45" s="74">
        <f>'Dec 10'!$E45/'Dec 10'!$F45</f>
        <v>14.5484879887583</v>
      </c>
      <c r="H45" s="36">
        <v>19</v>
      </c>
      <c r="I45" s="36">
        <v>15</v>
      </c>
      <c r="J45" s="40">
        <f t="shared" si="2"/>
        <v>-4</v>
      </c>
      <c r="K45" s="41">
        <f>'Dec 10'!$F45*'Dec 10'!$I45</f>
        <v>229783.42105263149</v>
      </c>
      <c r="L45" s="42">
        <f>'Dec 10'!$K45/$K$2</f>
        <v>2.0580394308086013E-3</v>
      </c>
      <c r="M45" s="43"/>
    </row>
    <row r="46" spans="1:16" s="4" customFormat="1" ht="25.5" x14ac:dyDescent="0.2">
      <c r="A46" s="36" t="s">
        <v>154</v>
      </c>
      <c r="B46" s="63" t="s">
        <v>90</v>
      </c>
      <c r="C46" s="63" t="s">
        <v>91</v>
      </c>
      <c r="D46" s="37">
        <v>2E-3</v>
      </c>
      <c r="E46" s="38">
        <f>'Dec 10'!$D46*$C$6*$C$2</f>
        <v>222866.75608000002</v>
      </c>
      <c r="F46" s="38">
        <v>70547</v>
      </c>
      <c r="G46" s="74">
        <f>'Dec 10'!$E46/'Dec 10'!$F46</f>
        <v>3.1591244996952388</v>
      </c>
      <c r="H46" s="36">
        <v>4</v>
      </c>
      <c r="I46" s="36">
        <v>3</v>
      </c>
      <c r="J46" s="40">
        <f t="shared" si="2"/>
        <v>-1</v>
      </c>
      <c r="K46" s="41">
        <f>'Dec 10'!$F46*'Dec 10'!$I46</f>
        <v>211641</v>
      </c>
      <c r="L46" s="42">
        <f>'Dec 10'!$K46/$K$2</f>
        <v>1.8955480825398525E-3</v>
      </c>
      <c r="M46" s="64"/>
    </row>
    <row r="47" spans="1:16" s="44" customFormat="1" ht="12.75" x14ac:dyDescent="0.25">
      <c r="A47" s="36" t="s">
        <v>154</v>
      </c>
      <c r="B47" s="36" t="s">
        <v>163</v>
      </c>
      <c r="C47" s="36" t="s">
        <v>67</v>
      </c>
      <c r="D47" s="37">
        <v>2E-3</v>
      </c>
      <c r="E47" s="38">
        <f>'Dec 10'!$D47*$C$6*$C$2</f>
        <v>222866.75608000002</v>
      </c>
      <c r="F47" s="38">
        <v>24440</v>
      </c>
      <c r="G47" s="74">
        <f>'Dec 10'!$E47/'Dec 10'!$F47</f>
        <v>9.1189343731587567</v>
      </c>
      <c r="H47" s="36">
        <v>10</v>
      </c>
      <c r="I47" s="36">
        <v>10</v>
      </c>
      <c r="J47" s="40">
        <f t="shared" si="2"/>
        <v>0</v>
      </c>
      <c r="K47" s="41">
        <f>'Dec 10'!$F47*'Dec 10'!$I47</f>
        <v>244400</v>
      </c>
      <c r="L47" s="42">
        <f>'Dec 10'!$K47/$K$2</f>
        <v>2.1889518163906801E-3</v>
      </c>
      <c r="M47" s="43"/>
    </row>
    <row r="48" spans="1:16" s="44" customFormat="1" ht="12.75" x14ac:dyDescent="0.25">
      <c r="A48" s="36" t="s">
        <v>154</v>
      </c>
      <c r="B48" s="36" t="s">
        <v>77</v>
      </c>
      <c r="C48" s="36" t="s">
        <v>78</v>
      </c>
      <c r="D48" s="37">
        <v>2E-3</v>
      </c>
      <c r="E48" s="38">
        <f>'Dec 10'!$D48*$C$6*$C$2</f>
        <v>222866.75608000002</v>
      </c>
      <c r="F48" s="38">
        <v>7555.8888888888896</v>
      </c>
      <c r="G48" s="74">
        <f>'Dec 10'!$E48/'Dec 10'!$F48</f>
        <v>29.4957693737041</v>
      </c>
      <c r="H48" s="36">
        <v>36</v>
      </c>
      <c r="I48" s="36">
        <v>30</v>
      </c>
      <c r="J48" s="40">
        <f t="shared" si="2"/>
        <v>-6</v>
      </c>
      <c r="K48" s="41">
        <f>'Dec 10'!$F48*'Dec 10'!$I48</f>
        <v>226676.66666666669</v>
      </c>
      <c r="L48" s="42">
        <f>'Dec 10'!$K48/$K$2</f>
        <v>2.0302139984999376E-3</v>
      </c>
      <c r="M48" s="43"/>
    </row>
    <row r="49" spans="1:13" s="44" customFormat="1" ht="12.75" x14ac:dyDescent="0.25">
      <c r="A49" s="36" t="s">
        <v>154</v>
      </c>
      <c r="B49" s="36" t="s">
        <v>63</v>
      </c>
      <c r="C49" s="36" t="s">
        <v>64</v>
      </c>
      <c r="D49" s="37">
        <v>2E-3</v>
      </c>
      <c r="E49" s="38">
        <f>'Dec 10'!$D49*$C$6*$C$2</f>
        <v>222866.75608000002</v>
      </c>
      <c r="F49" s="38">
        <v>27905.599999999999</v>
      </c>
      <c r="G49" s="74">
        <f>'Dec 10'!$E49/'Dec 10'!$F49</f>
        <v>7.9864527578693894</v>
      </c>
      <c r="H49" s="36">
        <v>10</v>
      </c>
      <c r="I49" s="36">
        <v>8</v>
      </c>
      <c r="J49" s="40">
        <f t="shared" si="2"/>
        <v>-2</v>
      </c>
      <c r="K49" s="41">
        <f>'Dec 10'!$F49*'Dec 10'!$I49</f>
        <v>223244.79999999999</v>
      </c>
      <c r="L49" s="42">
        <f>'Dec 10'!$K49/$K$2</f>
        <v>1.9994767203755075E-3</v>
      </c>
      <c r="M49" s="43"/>
    </row>
    <row r="50" spans="1:13" s="44" customFormat="1" ht="12.75" x14ac:dyDescent="0.25">
      <c r="A50" s="36" t="s">
        <v>154</v>
      </c>
      <c r="B50" s="36" t="s">
        <v>88</v>
      </c>
      <c r="C50" s="36" t="s">
        <v>89</v>
      </c>
      <c r="D50" s="37">
        <v>2E-3</v>
      </c>
      <c r="E50" s="38">
        <f>'Dec 10'!$D50*$C$6*$C$2</f>
        <v>222866.75608000002</v>
      </c>
      <c r="F50" s="38">
        <v>58646</v>
      </c>
      <c r="G50" s="74">
        <f>'Dec 10'!$E50/'Dec 10'!$F50</f>
        <v>3.8002038686355424</v>
      </c>
      <c r="H50" s="36">
        <v>5</v>
      </c>
      <c r="I50" s="36">
        <v>4</v>
      </c>
      <c r="J50" s="40">
        <f t="shared" si="2"/>
        <v>-1</v>
      </c>
      <c r="K50" s="41">
        <f>'Dec 10'!$F50*'Dec 10'!$I50</f>
        <v>234584</v>
      </c>
      <c r="L50" s="42">
        <f>'Dec 10'!$K50/$K$2</f>
        <v>2.1010354864819613E-3</v>
      </c>
      <c r="M50" s="43"/>
    </row>
    <row r="51" spans="1:13" s="44" customFormat="1" ht="12.75" x14ac:dyDescent="0.25">
      <c r="A51" s="36"/>
      <c r="B51" s="36"/>
      <c r="C51" s="36"/>
      <c r="D51" s="37"/>
      <c r="E51" s="38"/>
      <c r="F51" s="38"/>
      <c r="G51" s="39"/>
      <c r="H51" s="36"/>
      <c r="I51" s="36"/>
      <c r="J51" s="43"/>
      <c r="K51" s="41"/>
      <c r="L51" s="42"/>
      <c r="M51" s="43"/>
    </row>
    <row r="52" spans="1:13" s="17" customFormat="1" ht="12.75" x14ac:dyDescent="0.2">
      <c r="A52" s="48" t="s">
        <v>164</v>
      </c>
      <c r="B52" s="67"/>
      <c r="C52" s="67"/>
      <c r="D52" s="75">
        <f>SUM(D41:D51)</f>
        <v>2.0000000000000004E-2</v>
      </c>
      <c r="E52" s="50">
        <f>SUM(E40:E51)</f>
        <v>2228667.5608000001</v>
      </c>
      <c r="F52" s="70"/>
      <c r="G52" s="70"/>
      <c r="H52" s="67"/>
      <c r="I52" s="67"/>
      <c r="J52" s="48"/>
      <c r="K52" s="50">
        <f>SUM(K40:K51)</f>
        <v>2318633.5543859638</v>
      </c>
      <c r="L52" s="53">
        <f>'Dec 10'!$K52/$K$2</f>
        <v>2.0766682203017736E-2</v>
      </c>
      <c r="M52" s="60"/>
    </row>
    <row r="53" spans="1:13" s="4" customFormat="1" ht="12.75" x14ac:dyDescent="0.2">
      <c r="A53" s="36"/>
      <c r="B53" s="63"/>
      <c r="C53" s="63"/>
      <c r="D53" s="76"/>
      <c r="E53" s="38"/>
      <c r="F53" s="38"/>
      <c r="G53" s="39"/>
      <c r="H53" s="63"/>
      <c r="I53" s="63"/>
      <c r="J53" s="36"/>
      <c r="K53" s="36"/>
      <c r="L53" s="42"/>
      <c r="M53" s="64"/>
    </row>
    <row r="54" spans="1:13" s="44" customFormat="1" ht="12.75" x14ac:dyDescent="0.25">
      <c r="A54" s="48" t="s">
        <v>165</v>
      </c>
      <c r="B54" s="55" t="s">
        <v>166</v>
      </c>
      <c r="C54" s="55" t="s">
        <v>167</v>
      </c>
      <c r="D54" s="56">
        <v>0</v>
      </c>
      <c r="E54" s="57">
        <f>'Dec 10'!$D54*$C$6*$C$2</f>
        <v>0</v>
      </c>
      <c r="F54" s="57">
        <v>0</v>
      </c>
      <c r="G54" s="58" t="s">
        <v>168</v>
      </c>
      <c r="H54" s="55">
        <v>0</v>
      </c>
      <c r="I54" s="55">
        <v>0</v>
      </c>
      <c r="J54" s="77">
        <f>I54-H54</f>
        <v>0</v>
      </c>
      <c r="K54" s="57">
        <f>'Dec 10'!$F54*'Dec 10'!$I54</f>
        <v>0</v>
      </c>
      <c r="L54" s="78">
        <f>'Dec 10'!$K54/$K$2</f>
        <v>0</v>
      </c>
      <c r="M54" s="55"/>
    </row>
    <row r="55" spans="1:13" s="4" customFormat="1" ht="12.75" x14ac:dyDescent="0.2">
      <c r="A55" s="36"/>
      <c r="B55" s="63"/>
      <c r="C55" s="63"/>
      <c r="D55" s="76"/>
      <c r="E55" s="38"/>
      <c r="F55" s="38"/>
      <c r="G55" s="39"/>
      <c r="H55" s="63"/>
      <c r="I55" s="63"/>
      <c r="J55" s="36"/>
      <c r="K55" s="36"/>
      <c r="L55" s="42"/>
      <c r="M55" s="64"/>
    </row>
    <row r="56" spans="1:13" s="4" customFormat="1" ht="12.75" x14ac:dyDescent="0.2">
      <c r="A56" s="36"/>
      <c r="B56" s="63"/>
      <c r="C56" s="63"/>
      <c r="D56" s="79"/>
      <c r="E56" s="65"/>
      <c r="F56" s="38"/>
      <c r="G56" s="39"/>
      <c r="H56" s="63"/>
      <c r="I56" s="63"/>
      <c r="J56" s="36"/>
      <c r="K56" s="36"/>
      <c r="L56" s="42"/>
      <c r="M56" s="64"/>
    </row>
    <row r="57" spans="1:13" s="17" customFormat="1" ht="12.75" x14ac:dyDescent="0.2">
      <c r="A57" s="48" t="s">
        <v>169</v>
      </c>
      <c r="B57" s="67"/>
      <c r="C57" s="67"/>
      <c r="D57" s="67"/>
      <c r="E57" s="80"/>
      <c r="F57" s="80"/>
      <c r="G57" s="48"/>
      <c r="H57" s="67"/>
      <c r="I57" s="67"/>
      <c r="J57" s="67"/>
      <c r="K57" s="80">
        <f>SUM(K24,K26,K39,K52,K54:K54)</f>
        <v>111651612.5069333</v>
      </c>
      <c r="L57" s="53">
        <f>'Dec 10'!$K57/$K$2</f>
        <v>1.0000000000000002</v>
      </c>
      <c r="M57" s="67"/>
    </row>
    <row r="58" spans="1:13" s="4" customFormat="1" ht="12.75" x14ac:dyDescent="0.2">
      <c r="A58" s="64"/>
      <c r="B58" s="64"/>
      <c r="C58" s="64"/>
      <c r="D58" s="81"/>
      <c r="E58" s="82"/>
      <c r="F58" s="38"/>
      <c r="G58" s="83"/>
      <c r="H58" s="64"/>
      <c r="I58" s="64"/>
      <c r="J58" s="64"/>
      <c r="K58" s="64"/>
      <c r="L58" s="42"/>
      <c r="M58" s="64"/>
    </row>
    <row r="59" spans="1:13" s="4" customFormat="1" ht="12.75" x14ac:dyDescent="0.2">
      <c r="A59" s="64"/>
      <c r="B59" s="64"/>
      <c r="C59" s="64"/>
      <c r="D59" s="81"/>
      <c r="E59" s="82"/>
      <c r="F59" s="38"/>
      <c r="G59" s="83"/>
      <c r="H59" s="64"/>
      <c r="I59" s="64"/>
      <c r="J59" s="64"/>
      <c r="K59" s="64"/>
      <c r="L59" s="42"/>
      <c r="M59" s="64"/>
    </row>
    <row r="60" spans="1:13" s="4" customFormat="1" ht="12.75" x14ac:dyDescent="0.2">
      <c r="A60" s="64"/>
      <c r="B60" s="64"/>
      <c r="C60" s="64"/>
      <c r="D60" s="81"/>
      <c r="E60" s="82"/>
      <c r="F60" s="38"/>
      <c r="G60" s="83"/>
      <c r="H60" s="64"/>
      <c r="I60" s="64"/>
      <c r="J60" s="64"/>
      <c r="K60" s="64"/>
      <c r="L60" s="42"/>
      <c r="M60" s="64"/>
    </row>
    <row r="61" spans="1:13" s="4" customFormat="1" ht="12.75" x14ac:dyDescent="0.2">
      <c r="A61" s="64"/>
      <c r="B61" s="64"/>
      <c r="C61" s="64"/>
      <c r="D61" s="81"/>
      <c r="E61" s="82"/>
      <c r="F61" s="38"/>
      <c r="G61" s="83"/>
      <c r="H61" s="64"/>
      <c r="I61" s="64"/>
      <c r="J61" s="64"/>
      <c r="K61" s="64"/>
      <c r="L61" s="42"/>
      <c r="M61" s="64"/>
    </row>
    <row r="62" spans="1:13" s="4" customFormat="1" ht="12.75" x14ac:dyDescent="0.2">
      <c r="A62" s="64"/>
      <c r="B62" s="64"/>
      <c r="C62" s="64"/>
      <c r="D62" s="81"/>
      <c r="E62" s="82"/>
      <c r="F62" s="38"/>
      <c r="G62" s="83"/>
      <c r="H62" s="64"/>
      <c r="I62" s="64"/>
      <c r="J62" s="64"/>
      <c r="K62" s="64"/>
      <c r="L62" s="42"/>
      <c r="M62" s="64"/>
    </row>
    <row r="63" spans="1:13" s="4" customFormat="1" ht="12.75" x14ac:dyDescent="0.2">
      <c r="A63" s="64"/>
      <c r="B63" s="64"/>
      <c r="C63" s="64"/>
      <c r="D63" s="81"/>
      <c r="E63" s="82"/>
      <c r="F63" s="38"/>
      <c r="G63" s="83"/>
      <c r="H63" s="64"/>
      <c r="I63" s="64"/>
      <c r="J63" s="64"/>
      <c r="K63" s="64"/>
      <c r="L63" s="42"/>
      <c r="M63" s="64"/>
    </row>
    <row r="64" spans="1:13" s="4" customFormat="1" ht="12.75" x14ac:dyDescent="0.2">
      <c r="A64" s="64"/>
      <c r="B64" s="64"/>
      <c r="C64" s="64"/>
      <c r="D64" s="81"/>
      <c r="E64" s="82"/>
      <c r="F64" s="38"/>
      <c r="G64" s="83"/>
      <c r="H64" s="64"/>
      <c r="I64" s="64"/>
      <c r="J64" s="64"/>
      <c r="K64" s="64"/>
      <c r="L64" s="42"/>
      <c r="M64" s="64"/>
    </row>
    <row r="65" spans="1:13" s="4" customFormat="1" ht="12.75" x14ac:dyDescent="0.2">
      <c r="A65" s="64"/>
      <c r="B65" s="64"/>
      <c r="C65" s="64"/>
      <c r="D65" s="81"/>
      <c r="E65" s="82"/>
      <c r="F65" s="38"/>
      <c r="G65" s="83"/>
      <c r="H65" s="64"/>
      <c r="I65" s="64"/>
      <c r="J65" s="64"/>
      <c r="K65" s="64"/>
      <c r="L65" s="42"/>
      <c r="M65" s="64"/>
    </row>
    <row r="66" spans="1:13" s="4" customFormat="1" ht="12.75" x14ac:dyDescent="0.2">
      <c r="A66" s="64"/>
      <c r="B66" s="64"/>
      <c r="C66" s="64"/>
      <c r="D66" s="81"/>
      <c r="E66" s="82"/>
      <c r="F66" s="38"/>
      <c r="G66" s="83"/>
      <c r="H66" s="64"/>
      <c r="I66" s="64"/>
      <c r="J66" s="64"/>
      <c r="K66" s="64"/>
      <c r="L66" s="42"/>
      <c r="M66" s="64"/>
    </row>
    <row r="67" spans="1:13" s="4" customFormat="1" ht="12.75" x14ac:dyDescent="0.2"/>
    <row r="68" spans="1:13" s="4" customFormat="1" ht="12.75" x14ac:dyDescent="0.2"/>
    <row r="70" spans="1:13" s="4" customFormat="1" ht="12.75" x14ac:dyDescent="0.2">
      <c r="A70" s="84"/>
      <c r="B70" s="84"/>
      <c r="E70" s="84"/>
      <c r="F70" s="84"/>
      <c r="G70" s="84"/>
      <c r="H70" s="85"/>
      <c r="M70" s="84"/>
    </row>
    <row r="71" spans="1:13" s="4" customFormat="1" ht="12.75" x14ac:dyDescent="0.2">
      <c r="A71" s="84"/>
      <c r="B71" s="84"/>
      <c r="E71" s="84"/>
      <c r="F71" s="84"/>
      <c r="G71" s="84"/>
      <c r="H71" s="85"/>
      <c r="M71" s="84"/>
    </row>
    <row r="72" spans="1:13" s="4" customFormat="1" ht="12.75" x14ac:dyDescent="0.2">
      <c r="A72" s="86"/>
      <c r="B72" s="86"/>
    </row>
    <row r="73" spans="1:13" s="4" customFormat="1" ht="12.75" x14ac:dyDescent="0.2">
      <c r="A73" s="87"/>
      <c r="B73" s="87"/>
      <c r="E73" s="87"/>
      <c r="F73" s="86"/>
      <c r="G73" s="86"/>
      <c r="M73" s="88"/>
    </row>
    <row r="74" spans="1:13" s="4" customFormat="1" ht="12.75" x14ac:dyDescent="0.2"/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TWS data</vt:lpstr>
      <vt:lpstr>Dec 01</vt:lpstr>
      <vt:lpstr>Dec 02</vt:lpstr>
      <vt:lpstr>Dec 03</vt:lpstr>
      <vt:lpstr>Dec 04</vt:lpstr>
      <vt:lpstr>Dec 07</vt:lpstr>
      <vt:lpstr>Dec 08</vt:lpstr>
      <vt:lpstr>Dec 09</vt:lpstr>
      <vt:lpstr>Dec 10</vt:lpstr>
      <vt:lpstr>Dec 11</vt:lpstr>
      <vt:lpstr>Dec 14</vt:lpstr>
      <vt:lpstr>Dec 15</vt:lpstr>
      <vt:lpstr>Dec 16</vt:lpstr>
      <vt:lpstr>Dec 17</vt:lpstr>
      <vt:lpstr>Dec 18</vt:lpstr>
      <vt:lpstr>Dec 22</vt:lpstr>
      <vt:lpstr>Dec 23</vt:lpstr>
      <vt:lpstr>Dec 28</vt:lpstr>
      <vt:lpstr>Dec 29</vt:lpstr>
      <vt:lpstr>Dec 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Golden Horse</dc:creator>
  <dc:description/>
  <cp:lastModifiedBy>Golden Horse FM</cp:lastModifiedBy>
  <cp:revision>167</cp:revision>
  <cp:lastPrinted>2020-12-18T10:19:48Z</cp:lastPrinted>
  <dcterms:created xsi:type="dcterms:W3CDTF">2020-06-30T03:42:56Z</dcterms:created>
  <dcterms:modified xsi:type="dcterms:W3CDTF">2021-01-04T03:07:11Z</dcterms:modified>
  <dc:language>en-SG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f59dd16a-6f38-4c61-8740-1c2c41fd22a2</vt:lpwstr>
  </property>
</Properties>
</file>