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28800" windowHeight="12585" tabRatio="500" activeTab="4"/>
  </bookViews>
  <sheets>
    <sheet name="TWS data" sheetId="2" r:id="rId1"/>
    <sheet name="July 1-7" sheetId="3" r:id="rId2"/>
    <sheet name="July 7-14" sheetId="4" r:id="rId3"/>
    <sheet name="July 7-14 - Second_old" sheetId="5" state="hidden" r:id="rId4"/>
    <sheet name="July 7-14 - Second" sheetId="6" r:id="rId5"/>
    <sheet name="July 15-29" sheetId="7" r:id="rId6"/>
    <sheet name="July 20 - 26" sheetId="8" r:id="rId7"/>
    <sheet name="July 27-31" sheetId="9" r:id="rId8"/>
  </sheets>
  <definedNames>
    <definedName name="_xlnm.Print_Area" localSheetId="1">'July 1-7'!$B$1:$W$119</definedName>
  </definedName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" i="6" l="1"/>
  <c r="K4" i="6"/>
  <c r="E4" i="6"/>
  <c r="N4" i="3"/>
  <c r="L4" i="3"/>
  <c r="E4" i="3"/>
  <c r="E2" i="3"/>
  <c r="M4" i="4"/>
  <c r="K4" i="4"/>
  <c r="E4" i="4"/>
  <c r="E2" i="4"/>
  <c r="M4" i="7"/>
  <c r="K4" i="7"/>
  <c r="E4" i="7"/>
  <c r="E2" i="7"/>
  <c r="M4" i="8"/>
  <c r="K4" i="8"/>
  <c r="E4" i="8"/>
  <c r="E2" i="8"/>
  <c r="M4" i="9"/>
  <c r="K4" i="9"/>
  <c r="E4" i="9"/>
  <c r="E2" i="9"/>
  <c r="D70" i="9"/>
  <c r="J62" i="9"/>
  <c r="H62" i="9"/>
  <c r="H61" i="9"/>
  <c r="J61" i="9"/>
  <c r="J60" i="9"/>
  <c r="H60" i="9"/>
  <c r="J59" i="9"/>
  <c r="H59" i="9"/>
  <c r="J58" i="9"/>
  <c r="H58" i="9"/>
  <c r="H57" i="9"/>
  <c r="J57" i="9"/>
  <c r="J56" i="9"/>
  <c r="H56" i="9"/>
  <c r="E56" i="9"/>
  <c r="G56" i="9"/>
  <c r="J55" i="9"/>
  <c r="H55" i="9"/>
  <c r="H54" i="9"/>
  <c r="J54" i="9"/>
  <c r="F54" i="9"/>
  <c r="K54" i="9"/>
  <c r="H53" i="9"/>
  <c r="J53" i="9"/>
  <c r="F53" i="9"/>
  <c r="K53" i="9"/>
  <c r="D50" i="9"/>
  <c r="K46" i="9"/>
  <c r="J46" i="9"/>
  <c r="K45" i="9"/>
  <c r="J45" i="9"/>
  <c r="H44" i="9"/>
  <c r="J44" i="9"/>
  <c r="H43" i="9"/>
  <c r="J43" i="9"/>
  <c r="H42" i="9"/>
  <c r="J42" i="9"/>
  <c r="H41" i="9"/>
  <c r="J41" i="9"/>
  <c r="H40" i="9"/>
  <c r="J40" i="9"/>
  <c r="H39" i="9"/>
  <c r="J39" i="9"/>
  <c r="F39" i="9"/>
  <c r="K39" i="9"/>
  <c r="H38" i="9"/>
  <c r="J38" i="9"/>
  <c r="H37" i="9"/>
  <c r="J37" i="9"/>
  <c r="F37" i="9"/>
  <c r="K37" i="9"/>
  <c r="D35" i="9"/>
  <c r="H33" i="9"/>
  <c r="J33" i="9"/>
  <c r="H32" i="9"/>
  <c r="J32" i="9"/>
  <c r="F32" i="9"/>
  <c r="K32" i="9"/>
  <c r="H31" i="9"/>
  <c r="J31" i="9"/>
  <c r="H30" i="9"/>
  <c r="J30" i="9"/>
  <c r="E30" i="9"/>
  <c r="H29" i="9"/>
  <c r="J29" i="9"/>
  <c r="F29" i="9"/>
  <c r="K29" i="9"/>
  <c r="H28" i="9"/>
  <c r="J28" i="9"/>
  <c r="H27" i="9"/>
  <c r="J27" i="9"/>
  <c r="H25" i="9"/>
  <c r="J25" i="9"/>
  <c r="D23" i="9"/>
  <c r="J21" i="9"/>
  <c r="F21" i="9"/>
  <c r="K21" i="9"/>
  <c r="K20" i="9"/>
  <c r="J20" i="9"/>
  <c r="K19" i="9"/>
  <c r="J19" i="9"/>
  <c r="J18" i="9"/>
  <c r="H18" i="9"/>
  <c r="E18" i="9"/>
  <c r="G18" i="9"/>
  <c r="H17" i="9"/>
  <c r="J17" i="9"/>
  <c r="F17" i="9"/>
  <c r="K17" i="9"/>
  <c r="E17" i="9"/>
  <c r="G17" i="9"/>
  <c r="J16" i="9"/>
  <c r="H16" i="9"/>
  <c r="J15" i="9"/>
  <c r="H15" i="9"/>
  <c r="H14" i="9"/>
  <c r="J14" i="9"/>
  <c r="F14" i="9"/>
  <c r="K14" i="9"/>
  <c r="H13" i="9"/>
  <c r="J13" i="9"/>
  <c r="H12" i="9"/>
  <c r="J12" i="9"/>
  <c r="F12" i="9"/>
  <c r="K12" i="9"/>
  <c r="K11" i="9"/>
  <c r="J11" i="9"/>
  <c r="H11" i="9"/>
  <c r="H10" i="9"/>
  <c r="J10" i="9"/>
  <c r="H9" i="9"/>
  <c r="J9" i="9"/>
  <c r="C6" i="9"/>
  <c r="E41" i="9"/>
  <c r="G41" i="9"/>
  <c r="K73" i="8"/>
  <c r="D70" i="8"/>
  <c r="K62" i="8"/>
  <c r="J62" i="8"/>
  <c r="K61" i="8"/>
  <c r="J61" i="8"/>
  <c r="E61" i="8"/>
  <c r="G61" i="8"/>
  <c r="K60" i="8"/>
  <c r="J60" i="8"/>
  <c r="K59" i="8"/>
  <c r="J59" i="8"/>
  <c r="G59" i="8"/>
  <c r="E59" i="8"/>
  <c r="K58" i="8"/>
  <c r="J58" i="8"/>
  <c r="G58" i="8"/>
  <c r="E58" i="8"/>
  <c r="K57" i="8"/>
  <c r="J57" i="8"/>
  <c r="E57" i="8"/>
  <c r="G57" i="8"/>
  <c r="K56" i="8"/>
  <c r="K70" i="8"/>
  <c r="J56" i="8"/>
  <c r="K55" i="8"/>
  <c r="J55" i="8"/>
  <c r="K54" i="8"/>
  <c r="J54" i="8"/>
  <c r="E54" i="8"/>
  <c r="G54" i="8"/>
  <c r="K53" i="8"/>
  <c r="J53" i="8"/>
  <c r="E50" i="8"/>
  <c r="D50" i="8"/>
  <c r="K45" i="8"/>
  <c r="K74" i="8"/>
  <c r="J45" i="8"/>
  <c r="E45" i="8"/>
  <c r="G45" i="8"/>
  <c r="K44" i="8"/>
  <c r="K75" i="8"/>
  <c r="J44" i="8"/>
  <c r="G44" i="8"/>
  <c r="E44" i="8"/>
  <c r="K43" i="8"/>
  <c r="J43" i="8"/>
  <c r="K42" i="8"/>
  <c r="J42" i="8"/>
  <c r="E42" i="8"/>
  <c r="G42" i="8"/>
  <c r="K41" i="8"/>
  <c r="J41" i="8"/>
  <c r="K40" i="8"/>
  <c r="K50" i="8"/>
  <c r="J40" i="8"/>
  <c r="G40" i="8"/>
  <c r="E40" i="8"/>
  <c r="K39" i="8"/>
  <c r="J39" i="8"/>
  <c r="E39" i="8"/>
  <c r="G39" i="8"/>
  <c r="K38" i="8"/>
  <c r="K72" i="8"/>
  <c r="J38" i="8"/>
  <c r="E38" i="8"/>
  <c r="G38" i="8"/>
  <c r="D36" i="8"/>
  <c r="K34" i="8"/>
  <c r="J34" i="8"/>
  <c r="K33" i="8"/>
  <c r="J33" i="8"/>
  <c r="E33" i="8"/>
  <c r="G33" i="8"/>
  <c r="K32" i="8"/>
  <c r="J32" i="8"/>
  <c r="E32" i="8"/>
  <c r="G32" i="8"/>
  <c r="K31" i="8"/>
  <c r="J31" i="8"/>
  <c r="G31" i="8"/>
  <c r="E31" i="8"/>
  <c r="K30" i="8"/>
  <c r="J30" i="8"/>
  <c r="E30" i="8"/>
  <c r="G30" i="8"/>
  <c r="K29" i="8"/>
  <c r="K36" i="8"/>
  <c r="J29" i="8"/>
  <c r="E29" i="8"/>
  <c r="G29" i="8"/>
  <c r="K28" i="8"/>
  <c r="J28" i="8"/>
  <c r="K26" i="8"/>
  <c r="J26" i="8"/>
  <c r="E26" i="8"/>
  <c r="G26" i="8"/>
  <c r="E24" i="8"/>
  <c r="D24" i="8"/>
  <c r="K20" i="8"/>
  <c r="J20" i="8"/>
  <c r="E20" i="8"/>
  <c r="G20" i="8"/>
  <c r="K19" i="8"/>
  <c r="J19" i="8"/>
  <c r="E19" i="8"/>
  <c r="G19" i="8"/>
  <c r="K18" i="8"/>
  <c r="J18" i="8"/>
  <c r="E18" i="8"/>
  <c r="G18" i="8"/>
  <c r="K16" i="8"/>
  <c r="J16" i="8"/>
  <c r="E16" i="8"/>
  <c r="G16" i="8"/>
  <c r="K15" i="8"/>
  <c r="J15" i="8"/>
  <c r="K14" i="8"/>
  <c r="J14" i="8"/>
  <c r="E14" i="8"/>
  <c r="G14" i="8"/>
  <c r="K13" i="8"/>
  <c r="J13" i="8"/>
  <c r="E13" i="8"/>
  <c r="G13" i="8"/>
  <c r="K12" i="8"/>
  <c r="J12" i="8"/>
  <c r="G12" i="8"/>
  <c r="E12" i="8"/>
  <c r="K11" i="8"/>
  <c r="J11" i="8"/>
  <c r="E11" i="8"/>
  <c r="G11" i="8"/>
  <c r="K10" i="8"/>
  <c r="J10" i="8"/>
  <c r="G10" i="8"/>
  <c r="E10" i="8"/>
  <c r="K9" i="8"/>
  <c r="J9" i="8"/>
  <c r="C6" i="8"/>
  <c r="E56" i="8"/>
  <c r="G56" i="8"/>
  <c r="K75" i="7"/>
  <c r="D70" i="7"/>
  <c r="K62" i="7"/>
  <c r="J62" i="7"/>
  <c r="E62" i="7"/>
  <c r="G62" i="7"/>
  <c r="K61" i="7"/>
  <c r="J61" i="7"/>
  <c r="E61" i="7"/>
  <c r="G61" i="7"/>
  <c r="K60" i="7"/>
  <c r="J60" i="7"/>
  <c r="E60" i="7"/>
  <c r="G60" i="7"/>
  <c r="K59" i="7"/>
  <c r="J59" i="7"/>
  <c r="E59" i="7"/>
  <c r="G59" i="7"/>
  <c r="K58" i="7"/>
  <c r="J58" i="7"/>
  <c r="E58" i="7"/>
  <c r="G58" i="7"/>
  <c r="K57" i="7"/>
  <c r="J57" i="7"/>
  <c r="E57" i="7"/>
  <c r="G57" i="7"/>
  <c r="K56" i="7"/>
  <c r="J56" i="7"/>
  <c r="E56" i="7"/>
  <c r="G56" i="7"/>
  <c r="K55" i="7"/>
  <c r="J55" i="7"/>
  <c r="E55" i="7"/>
  <c r="G55" i="7"/>
  <c r="K54" i="7"/>
  <c r="J54" i="7"/>
  <c r="E54" i="7"/>
  <c r="E53" i="7"/>
  <c r="E70" i="7"/>
  <c r="K53" i="7"/>
  <c r="J53" i="7"/>
  <c r="G53" i="7"/>
  <c r="D50" i="7"/>
  <c r="K45" i="7"/>
  <c r="J45" i="7"/>
  <c r="E45" i="7"/>
  <c r="G45" i="7"/>
  <c r="K44" i="7"/>
  <c r="J44" i="7"/>
  <c r="E44" i="7"/>
  <c r="G44" i="7"/>
  <c r="K43" i="7"/>
  <c r="J43" i="7"/>
  <c r="E43" i="7"/>
  <c r="G43" i="7"/>
  <c r="K42" i="7"/>
  <c r="J42" i="7"/>
  <c r="E42" i="7"/>
  <c r="G42" i="7"/>
  <c r="K41" i="7"/>
  <c r="J41" i="7"/>
  <c r="E41" i="7"/>
  <c r="G41" i="7"/>
  <c r="K40" i="7"/>
  <c r="J40" i="7"/>
  <c r="E40" i="7"/>
  <c r="G40" i="7"/>
  <c r="K39" i="7"/>
  <c r="J39" i="7"/>
  <c r="E39" i="7"/>
  <c r="G39" i="7"/>
  <c r="K38" i="7"/>
  <c r="K37" i="7"/>
  <c r="K50" i="7"/>
  <c r="J38" i="7"/>
  <c r="E38" i="7"/>
  <c r="G38" i="7"/>
  <c r="J37" i="7"/>
  <c r="E37" i="7"/>
  <c r="D35" i="7"/>
  <c r="K33" i="7"/>
  <c r="J33" i="7"/>
  <c r="E33" i="7"/>
  <c r="G33" i="7"/>
  <c r="K32" i="7"/>
  <c r="J32" i="7"/>
  <c r="E32" i="7"/>
  <c r="G32" i="7"/>
  <c r="K31" i="7"/>
  <c r="J31" i="7"/>
  <c r="E31" i="7"/>
  <c r="G31" i="7"/>
  <c r="K30" i="7"/>
  <c r="J30" i="7"/>
  <c r="E30" i="7"/>
  <c r="G30" i="7"/>
  <c r="K29" i="7"/>
  <c r="J29" i="7"/>
  <c r="E29" i="7"/>
  <c r="G29" i="7"/>
  <c r="K28" i="7"/>
  <c r="J28" i="7"/>
  <c r="E28" i="7"/>
  <c r="G28" i="7"/>
  <c r="K27" i="7"/>
  <c r="K35" i="7"/>
  <c r="J27" i="7"/>
  <c r="E27" i="7"/>
  <c r="G27" i="7"/>
  <c r="K25" i="7"/>
  <c r="J25" i="7"/>
  <c r="E25" i="7"/>
  <c r="G25" i="7"/>
  <c r="D23" i="7"/>
  <c r="K21" i="7"/>
  <c r="J21" i="7"/>
  <c r="E21" i="7"/>
  <c r="G21" i="7"/>
  <c r="K20" i="7"/>
  <c r="J20" i="7"/>
  <c r="E20" i="7"/>
  <c r="G20" i="7"/>
  <c r="K19" i="7"/>
  <c r="J19" i="7"/>
  <c r="E19" i="7"/>
  <c r="G19" i="7"/>
  <c r="K18" i="7"/>
  <c r="J18" i="7"/>
  <c r="E18" i="7"/>
  <c r="G18" i="7"/>
  <c r="K17" i="7"/>
  <c r="J17" i="7"/>
  <c r="E17" i="7"/>
  <c r="G17" i="7"/>
  <c r="K16" i="7"/>
  <c r="J16" i="7"/>
  <c r="E16" i="7"/>
  <c r="G16" i="7"/>
  <c r="K15" i="7"/>
  <c r="J15" i="7"/>
  <c r="E15" i="7"/>
  <c r="G15" i="7"/>
  <c r="K14" i="7"/>
  <c r="J14" i="7"/>
  <c r="E14" i="7"/>
  <c r="G14" i="7"/>
  <c r="K13" i="7"/>
  <c r="J13" i="7"/>
  <c r="E13" i="7"/>
  <c r="G13" i="7"/>
  <c r="K12" i="7"/>
  <c r="J12" i="7"/>
  <c r="E12" i="7"/>
  <c r="G12" i="7"/>
  <c r="K11" i="7"/>
  <c r="J11" i="7"/>
  <c r="E11" i="7"/>
  <c r="G11" i="7"/>
  <c r="K10" i="7"/>
  <c r="J10" i="7"/>
  <c r="E10" i="7"/>
  <c r="G10" i="7"/>
  <c r="K9" i="7"/>
  <c r="J9" i="7"/>
  <c r="E9" i="7"/>
  <c r="G9" i="7"/>
  <c r="K8" i="7"/>
  <c r="J8" i="7"/>
  <c r="E8" i="7"/>
  <c r="G8" i="7"/>
  <c r="S7" i="7"/>
  <c r="K7" i="7"/>
  <c r="J7" i="7"/>
  <c r="E7" i="7"/>
  <c r="G7" i="7"/>
  <c r="S6" i="7"/>
  <c r="P6" i="7"/>
  <c r="S5" i="7"/>
  <c r="S3" i="7"/>
  <c r="S2" i="7"/>
  <c r="K92" i="6"/>
  <c r="I79" i="6"/>
  <c r="J79" i="6"/>
  <c r="D79" i="6"/>
  <c r="E79" i="6"/>
  <c r="I78" i="6"/>
  <c r="J78" i="6"/>
  <c r="D78" i="6"/>
  <c r="E78" i="6"/>
  <c r="I76" i="6"/>
  <c r="J76" i="6"/>
  <c r="K76" i="6"/>
  <c r="D76" i="6"/>
  <c r="E76" i="6"/>
  <c r="G76" i="6"/>
  <c r="I74" i="6"/>
  <c r="J74" i="6"/>
  <c r="D74" i="6"/>
  <c r="E74" i="6"/>
  <c r="G74" i="6"/>
  <c r="I72" i="6"/>
  <c r="J72" i="6"/>
  <c r="D72" i="6"/>
  <c r="E72" i="6"/>
  <c r="I71" i="6"/>
  <c r="K71" i="6"/>
  <c r="J71" i="6"/>
  <c r="D71" i="6"/>
  <c r="E71" i="6"/>
  <c r="G71" i="6"/>
  <c r="I70" i="6"/>
  <c r="J70" i="6"/>
  <c r="D70" i="6"/>
  <c r="E70" i="6"/>
  <c r="I69" i="6"/>
  <c r="J69" i="6"/>
  <c r="K69" i="6"/>
  <c r="D69" i="6"/>
  <c r="E69" i="6"/>
  <c r="G69" i="6"/>
  <c r="I62" i="6"/>
  <c r="J62" i="6"/>
  <c r="D62" i="6"/>
  <c r="E62" i="6"/>
  <c r="G62" i="6"/>
  <c r="I61" i="6"/>
  <c r="J61" i="6"/>
  <c r="D61" i="6"/>
  <c r="E61" i="6"/>
  <c r="I53" i="6"/>
  <c r="J53" i="6"/>
  <c r="D53" i="6"/>
  <c r="E53" i="6"/>
  <c r="I51" i="6"/>
  <c r="J51" i="6"/>
  <c r="D51" i="6"/>
  <c r="E51" i="6"/>
  <c r="I50" i="6"/>
  <c r="J50" i="6"/>
  <c r="D50" i="6"/>
  <c r="E50" i="6"/>
  <c r="I49" i="6"/>
  <c r="J49" i="6"/>
  <c r="D49" i="6"/>
  <c r="E49" i="6"/>
  <c r="I48" i="6"/>
  <c r="J48" i="6"/>
  <c r="K48" i="6"/>
  <c r="D48" i="6"/>
  <c r="E48" i="6"/>
  <c r="G48" i="6"/>
  <c r="I43" i="6"/>
  <c r="K43" i="6"/>
  <c r="J43" i="6"/>
  <c r="D43" i="6"/>
  <c r="E43" i="6"/>
  <c r="I42" i="6"/>
  <c r="J42" i="6"/>
  <c r="K42" i="6"/>
  <c r="D42" i="6"/>
  <c r="E42" i="6"/>
  <c r="G42" i="6"/>
  <c r="I41" i="6"/>
  <c r="J41" i="6"/>
  <c r="D41" i="6"/>
  <c r="E41" i="6"/>
  <c r="G41" i="6"/>
  <c r="I38" i="6"/>
  <c r="J38" i="6"/>
  <c r="K38" i="6"/>
  <c r="D38" i="6"/>
  <c r="E38" i="6"/>
  <c r="E58" i="6"/>
  <c r="I34" i="6"/>
  <c r="J34" i="6"/>
  <c r="D34" i="6"/>
  <c r="E34" i="6"/>
  <c r="I33" i="6"/>
  <c r="J33" i="6"/>
  <c r="D33" i="6"/>
  <c r="E33" i="6"/>
  <c r="G33" i="6"/>
  <c r="I32" i="6"/>
  <c r="J32" i="6"/>
  <c r="K32" i="6"/>
  <c r="I8" i="6"/>
  <c r="K8" i="6"/>
  <c r="I9" i="6"/>
  <c r="K9" i="6"/>
  <c r="I10" i="6"/>
  <c r="K10" i="6"/>
  <c r="I11" i="6"/>
  <c r="K11" i="6"/>
  <c r="I12" i="6"/>
  <c r="K12" i="6"/>
  <c r="I13" i="6"/>
  <c r="K13" i="6"/>
  <c r="I14" i="6"/>
  <c r="K14" i="6"/>
  <c r="I16" i="6"/>
  <c r="K16" i="6"/>
  <c r="I17" i="6"/>
  <c r="K17" i="6"/>
  <c r="I19" i="6"/>
  <c r="K19" i="6"/>
  <c r="K24" i="6"/>
  <c r="I28" i="6"/>
  <c r="K28" i="6"/>
  <c r="I29" i="6"/>
  <c r="K29" i="6"/>
  <c r="I30" i="6"/>
  <c r="K30" i="6"/>
  <c r="I31" i="6"/>
  <c r="K31" i="6"/>
  <c r="K33" i="6"/>
  <c r="K34" i="6"/>
  <c r="K36" i="6"/>
  <c r="K41" i="6"/>
  <c r="K49" i="6"/>
  <c r="K53" i="6"/>
  <c r="K50" i="6"/>
  <c r="K51" i="6"/>
  <c r="K58" i="6"/>
  <c r="K61" i="6"/>
  <c r="K62" i="6"/>
  <c r="K70" i="6"/>
  <c r="K72" i="6"/>
  <c r="K74" i="6"/>
  <c r="K78" i="6"/>
  <c r="K79" i="6"/>
  <c r="K87" i="6"/>
  <c r="I26" i="6"/>
  <c r="K26" i="6"/>
  <c r="K2" i="6"/>
  <c r="L32" i="6"/>
  <c r="D32" i="6"/>
  <c r="E32" i="6"/>
  <c r="G32" i="6"/>
  <c r="J31" i="6"/>
  <c r="D31" i="6"/>
  <c r="E31" i="6"/>
  <c r="G31" i="6"/>
  <c r="J30" i="6"/>
  <c r="D30" i="6"/>
  <c r="E30" i="6"/>
  <c r="J29" i="6"/>
  <c r="D29" i="6"/>
  <c r="E29" i="6"/>
  <c r="G29" i="6"/>
  <c r="J28" i="6"/>
  <c r="D28" i="6"/>
  <c r="E28" i="6"/>
  <c r="J26" i="6"/>
  <c r="D26" i="6"/>
  <c r="E26" i="6"/>
  <c r="G26" i="6"/>
  <c r="J19" i="6"/>
  <c r="D19" i="6"/>
  <c r="E19" i="6"/>
  <c r="G19" i="6"/>
  <c r="D17" i="6"/>
  <c r="E17" i="6"/>
  <c r="G17" i="6"/>
  <c r="J16" i="6"/>
  <c r="D16" i="6"/>
  <c r="E16" i="6"/>
  <c r="D14" i="6"/>
  <c r="E14" i="6"/>
  <c r="G14" i="6"/>
  <c r="J13" i="6"/>
  <c r="D13" i="6"/>
  <c r="E13" i="6"/>
  <c r="J12" i="6"/>
  <c r="D12" i="6"/>
  <c r="E12" i="6"/>
  <c r="D11" i="6"/>
  <c r="E11" i="6"/>
  <c r="G11" i="6"/>
  <c r="J10" i="6"/>
  <c r="D10" i="6"/>
  <c r="E10" i="6"/>
  <c r="G10" i="6"/>
  <c r="J9" i="6"/>
  <c r="D9" i="6"/>
  <c r="E9" i="6"/>
  <c r="G9" i="6"/>
  <c r="S8" i="6"/>
  <c r="J8" i="6"/>
  <c r="D8" i="6"/>
  <c r="S6" i="6"/>
  <c r="P6" i="6"/>
  <c r="S5" i="6"/>
  <c r="S3" i="6"/>
  <c r="S2" i="6"/>
  <c r="L10" i="6"/>
  <c r="D94" i="5"/>
  <c r="D46" i="5"/>
  <c r="E45" i="5"/>
  <c r="D45" i="5"/>
  <c r="D47" i="5"/>
  <c r="J44" i="5"/>
  <c r="H44" i="5"/>
  <c r="F44" i="5"/>
  <c r="E44" i="5"/>
  <c r="H43" i="5"/>
  <c r="J43" i="5"/>
  <c r="F43" i="5"/>
  <c r="E43" i="5"/>
  <c r="K42" i="5"/>
  <c r="H42" i="5"/>
  <c r="J42" i="5"/>
  <c r="F42" i="5"/>
  <c r="E42" i="5"/>
  <c r="D41" i="5"/>
  <c r="H40" i="5"/>
  <c r="J40" i="5"/>
  <c r="F40" i="5"/>
  <c r="K40" i="5"/>
  <c r="E40" i="5"/>
  <c r="G40" i="5"/>
  <c r="J39" i="5"/>
  <c r="H39" i="5"/>
  <c r="F39" i="5"/>
  <c r="K39" i="5"/>
  <c r="E39" i="5"/>
  <c r="G39" i="5"/>
  <c r="H38" i="5"/>
  <c r="J38" i="5"/>
  <c r="F38" i="5"/>
  <c r="E38" i="5"/>
  <c r="K37" i="5"/>
  <c r="J37" i="5"/>
  <c r="H37" i="5"/>
  <c r="F37" i="5"/>
  <c r="G37" i="5"/>
  <c r="E37" i="5"/>
  <c r="J36" i="5"/>
  <c r="H36" i="5"/>
  <c r="F36" i="5"/>
  <c r="K36" i="5"/>
  <c r="E36" i="5"/>
  <c r="G36" i="5"/>
  <c r="K35" i="5"/>
  <c r="J35" i="5"/>
  <c r="H35" i="5"/>
  <c r="F35" i="5"/>
  <c r="E35" i="5"/>
  <c r="G35" i="5"/>
  <c r="H34" i="5"/>
  <c r="J34" i="5"/>
  <c r="F34" i="5"/>
  <c r="E34" i="5"/>
  <c r="G34" i="5"/>
  <c r="J33" i="5"/>
  <c r="H33" i="5"/>
  <c r="F33" i="5"/>
  <c r="E33" i="5"/>
  <c r="G33" i="5"/>
  <c r="K32" i="5"/>
  <c r="J32" i="5"/>
  <c r="H32" i="5"/>
  <c r="F32" i="5"/>
  <c r="E32" i="5"/>
  <c r="G32" i="5"/>
  <c r="H31" i="5"/>
  <c r="J31" i="5"/>
  <c r="F31" i="5"/>
  <c r="K31" i="5"/>
  <c r="E31" i="5"/>
  <c r="G31" i="5"/>
  <c r="H30" i="5"/>
  <c r="J30" i="5"/>
  <c r="F30" i="5"/>
  <c r="E30" i="5"/>
  <c r="G30" i="5"/>
  <c r="H29" i="5"/>
  <c r="J29" i="5"/>
  <c r="G29" i="5"/>
  <c r="F29" i="5"/>
  <c r="E29" i="5"/>
  <c r="K28" i="5"/>
  <c r="H28" i="5"/>
  <c r="J28" i="5"/>
  <c r="G28" i="5"/>
  <c r="F28" i="5"/>
  <c r="E28" i="5"/>
  <c r="H27" i="5"/>
  <c r="J27" i="5"/>
  <c r="F27" i="5"/>
  <c r="K27" i="5"/>
  <c r="E27" i="5"/>
  <c r="K26" i="5"/>
  <c r="H26" i="5"/>
  <c r="J26" i="5"/>
  <c r="G26" i="5"/>
  <c r="F26" i="5"/>
  <c r="E26" i="5"/>
  <c r="H25" i="5"/>
  <c r="J25" i="5"/>
  <c r="G25" i="5"/>
  <c r="F25" i="5"/>
  <c r="E25" i="5"/>
  <c r="K24" i="5"/>
  <c r="H24" i="5"/>
  <c r="J24" i="5"/>
  <c r="G24" i="5"/>
  <c r="F24" i="5"/>
  <c r="E24" i="5"/>
  <c r="K23" i="5"/>
  <c r="H23" i="5"/>
  <c r="J23" i="5"/>
  <c r="F23" i="5"/>
  <c r="E23" i="5"/>
  <c r="G23" i="5"/>
  <c r="H22" i="5"/>
  <c r="J22" i="5"/>
  <c r="F22" i="5"/>
  <c r="K22" i="5"/>
  <c r="E22" i="5"/>
  <c r="G22" i="5"/>
  <c r="K21" i="5"/>
  <c r="H21" i="5"/>
  <c r="J21" i="5"/>
  <c r="G21" i="5"/>
  <c r="F21" i="5"/>
  <c r="E21" i="5"/>
  <c r="K20" i="5"/>
  <c r="J20" i="5"/>
  <c r="H20" i="5"/>
  <c r="G20" i="5"/>
  <c r="F20" i="5"/>
  <c r="E20" i="5"/>
  <c r="H19" i="5"/>
  <c r="J19" i="5"/>
  <c r="F19" i="5"/>
  <c r="E19" i="5"/>
  <c r="H18" i="5"/>
  <c r="J18" i="5"/>
  <c r="G18" i="5"/>
  <c r="F18" i="5"/>
  <c r="K18" i="5"/>
  <c r="E18" i="5"/>
  <c r="H17" i="5"/>
  <c r="J17" i="5"/>
  <c r="G17" i="5"/>
  <c r="F17" i="5"/>
  <c r="K17" i="5"/>
  <c r="E17" i="5"/>
  <c r="H16" i="5"/>
  <c r="J16" i="5"/>
  <c r="F16" i="5"/>
  <c r="K16" i="5"/>
  <c r="E16" i="5"/>
  <c r="G16" i="5"/>
  <c r="H15" i="5"/>
  <c r="J15" i="5"/>
  <c r="F15" i="5"/>
  <c r="E15" i="5"/>
  <c r="G15" i="5"/>
  <c r="K14" i="5"/>
  <c r="J14" i="5"/>
  <c r="H14" i="5"/>
  <c r="G14" i="5"/>
  <c r="F14" i="5"/>
  <c r="E14" i="5"/>
  <c r="H13" i="5"/>
  <c r="J13" i="5"/>
  <c r="F13" i="5"/>
  <c r="K13" i="5"/>
  <c r="E13" i="5"/>
  <c r="G13" i="5"/>
  <c r="J12" i="5"/>
  <c r="H12" i="5"/>
  <c r="F12" i="5"/>
  <c r="E12" i="5"/>
  <c r="H11" i="5"/>
  <c r="J11" i="5"/>
  <c r="F11" i="5"/>
  <c r="E11" i="5"/>
  <c r="G11" i="5"/>
  <c r="K10" i="5"/>
  <c r="J10" i="5"/>
  <c r="H10" i="5"/>
  <c r="F10" i="5"/>
  <c r="E10" i="5"/>
  <c r="G10" i="5"/>
  <c r="K9" i="5"/>
  <c r="H9" i="5"/>
  <c r="J9" i="5"/>
  <c r="F9" i="5"/>
  <c r="E9" i="5"/>
  <c r="G9" i="5"/>
  <c r="H8" i="5"/>
  <c r="J8" i="5"/>
  <c r="G8" i="5"/>
  <c r="F8" i="5"/>
  <c r="K8" i="5"/>
  <c r="E8" i="5"/>
  <c r="S7" i="5"/>
  <c r="H7" i="5"/>
  <c r="J7" i="5"/>
  <c r="F7" i="5"/>
  <c r="K7" i="5"/>
  <c r="E7" i="5"/>
  <c r="K6" i="5"/>
  <c r="S5" i="5"/>
  <c r="P5" i="5"/>
  <c r="S4" i="5"/>
  <c r="S3" i="5"/>
  <c r="E3" i="5"/>
  <c r="S2" i="5"/>
  <c r="K90" i="4"/>
  <c r="J90" i="4"/>
  <c r="K89" i="4"/>
  <c r="K92" i="4"/>
  <c r="J89" i="4"/>
  <c r="D87" i="4"/>
  <c r="K79" i="4"/>
  <c r="J79" i="4"/>
  <c r="E79" i="4"/>
  <c r="G79" i="4"/>
  <c r="K78" i="4"/>
  <c r="J78" i="4"/>
  <c r="E78" i="4"/>
  <c r="G78" i="4"/>
  <c r="K77" i="4"/>
  <c r="J77" i="4"/>
  <c r="E77" i="4"/>
  <c r="G77" i="4"/>
  <c r="K76" i="4"/>
  <c r="J76" i="4"/>
  <c r="E76" i="4"/>
  <c r="G76" i="4"/>
  <c r="K75" i="4"/>
  <c r="J75" i="4"/>
  <c r="E75" i="4"/>
  <c r="G75" i="4"/>
  <c r="K74" i="4"/>
  <c r="J74" i="4"/>
  <c r="E74" i="4"/>
  <c r="G74" i="4"/>
  <c r="K73" i="4"/>
  <c r="J73" i="4"/>
  <c r="E73" i="4"/>
  <c r="G73" i="4"/>
  <c r="K72" i="4"/>
  <c r="J72" i="4"/>
  <c r="E72" i="4"/>
  <c r="G72" i="4"/>
  <c r="K71" i="4"/>
  <c r="J71" i="4"/>
  <c r="E71" i="4"/>
  <c r="G71" i="4"/>
  <c r="K70" i="4"/>
  <c r="J70" i="4"/>
  <c r="E70" i="4"/>
  <c r="G70" i="4"/>
  <c r="K69" i="4"/>
  <c r="J69" i="4"/>
  <c r="E69" i="4"/>
  <c r="G69" i="4"/>
  <c r="K68" i="4"/>
  <c r="J68" i="4"/>
  <c r="E68" i="4"/>
  <c r="G68" i="4"/>
  <c r="K67" i="4"/>
  <c r="J67" i="4"/>
  <c r="E67" i="4"/>
  <c r="G67" i="4"/>
  <c r="K66" i="4"/>
  <c r="J66" i="4"/>
  <c r="E66" i="4"/>
  <c r="G66" i="4"/>
  <c r="K65" i="4"/>
  <c r="J65" i="4"/>
  <c r="E65" i="4"/>
  <c r="G65" i="4"/>
  <c r="K64" i="4"/>
  <c r="K60" i="4"/>
  <c r="K61" i="4"/>
  <c r="K62" i="4"/>
  <c r="K63" i="4"/>
  <c r="K87" i="4"/>
  <c r="J64" i="4"/>
  <c r="E64" i="4"/>
  <c r="E60" i="4"/>
  <c r="E61" i="4"/>
  <c r="E62" i="4"/>
  <c r="E63" i="4"/>
  <c r="E87" i="4"/>
  <c r="J63" i="4"/>
  <c r="G63" i="4"/>
  <c r="J62" i="4"/>
  <c r="G62" i="4"/>
  <c r="J61" i="4"/>
  <c r="G61" i="4"/>
  <c r="J60" i="4"/>
  <c r="G60" i="4"/>
  <c r="D58" i="4"/>
  <c r="K55" i="4"/>
  <c r="J55" i="4"/>
  <c r="E55" i="4"/>
  <c r="G55" i="4"/>
  <c r="K54" i="4"/>
  <c r="J54" i="4"/>
  <c r="E54" i="4"/>
  <c r="G54" i="4"/>
  <c r="K53" i="4"/>
  <c r="J53" i="4"/>
  <c r="E53" i="4"/>
  <c r="G53" i="4"/>
  <c r="K52" i="4"/>
  <c r="J52" i="4"/>
  <c r="E52" i="4"/>
  <c r="G52" i="4"/>
  <c r="K51" i="4"/>
  <c r="J51" i="4"/>
  <c r="E51" i="4"/>
  <c r="G51" i="4"/>
  <c r="K50" i="4"/>
  <c r="J50" i="4"/>
  <c r="E50" i="4"/>
  <c r="G50" i="4"/>
  <c r="K49" i="4"/>
  <c r="J49" i="4"/>
  <c r="E49" i="4"/>
  <c r="G49" i="4"/>
  <c r="K48" i="4"/>
  <c r="K38" i="4"/>
  <c r="K39" i="4"/>
  <c r="K40" i="4"/>
  <c r="K41" i="4"/>
  <c r="K42" i="4"/>
  <c r="K43" i="4"/>
  <c r="K44" i="4"/>
  <c r="K45" i="4"/>
  <c r="K46" i="4"/>
  <c r="K47" i="4"/>
  <c r="K58" i="4"/>
  <c r="J48" i="4"/>
  <c r="E48" i="4"/>
  <c r="G48" i="4"/>
  <c r="J47" i="4"/>
  <c r="E47" i="4"/>
  <c r="G47" i="4"/>
  <c r="J46" i="4"/>
  <c r="E46" i="4"/>
  <c r="G46" i="4"/>
  <c r="J45" i="4"/>
  <c r="E45" i="4"/>
  <c r="G45" i="4"/>
  <c r="J44" i="4"/>
  <c r="E44" i="4"/>
  <c r="G44" i="4"/>
  <c r="J43" i="4"/>
  <c r="E43" i="4"/>
  <c r="G43" i="4"/>
  <c r="J42" i="4"/>
  <c r="E42" i="4"/>
  <c r="G42" i="4"/>
  <c r="J41" i="4"/>
  <c r="E41" i="4"/>
  <c r="G41" i="4"/>
  <c r="J40" i="4"/>
  <c r="E40" i="4"/>
  <c r="G40" i="4"/>
  <c r="J39" i="4"/>
  <c r="E39" i="4"/>
  <c r="G39" i="4"/>
  <c r="J38" i="4"/>
  <c r="E38" i="4"/>
  <c r="G38" i="4"/>
  <c r="K28" i="4"/>
  <c r="K29" i="4"/>
  <c r="K30" i="4"/>
  <c r="K31" i="4"/>
  <c r="K32" i="4"/>
  <c r="K33" i="4"/>
  <c r="K34" i="4"/>
  <c r="K36" i="4"/>
  <c r="E28" i="4"/>
  <c r="E29" i="4"/>
  <c r="E30" i="4"/>
  <c r="E31" i="4"/>
  <c r="E32" i="4"/>
  <c r="E33" i="4"/>
  <c r="E34" i="4"/>
  <c r="E36" i="4"/>
  <c r="D36" i="4"/>
  <c r="J34" i="4"/>
  <c r="G34" i="4"/>
  <c r="J33" i="4"/>
  <c r="G33" i="4"/>
  <c r="J32" i="4"/>
  <c r="G32" i="4"/>
  <c r="J31" i="4"/>
  <c r="G31" i="4"/>
  <c r="J30" i="4"/>
  <c r="G30" i="4"/>
  <c r="J29" i="4"/>
  <c r="G29" i="4"/>
  <c r="J28" i="4"/>
  <c r="G28" i="4"/>
  <c r="K26" i="4"/>
  <c r="J26" i="4"/>
  <c r="E26" i="4"/>
  <c r="G26" i="4"/>
  <c r="D24" i="4"/>
  <c r="K19" i="4"/>
  <c r="J19" i="4"/>
  <c r="E19" i="4"/>
  <c r="G19" i="4"/>
  <c r="K18" i="4"/>
  <c r="J18" i="4"/>
  <c r="E18" i="4"/>
  <c r="G18" i="4"/>
  <c r="K17" i="4"/>
  <c r="J17" i="4"/>
  <c r="E17" i="4"/>
  <c r="G17" i="4"/>
  <c r="K16" i="4"/>
  <c r="J16" i="4"/>
  <c r="E16" i="4"/>
  <c r="G16" i="4"/>
  <c r="K15" i="4"/>
  <c r="J15" i="4"/>
  <c r="E15" i="4"/>
  <c r="G15" i="4"/>
  <c r="K14" i="4"/>
  <c r="J14" i="4"/>
  <c r="E14" i="4"/>
  <c r="G14" i="4"/>
  <c r="K13" i="4"/>
  <c r="J13" i="4"/>
  <c r="E13" i="4"/>
  <c r="G13" i="4"/>
  <c r="K12" i="4"/>
  <c r="J12" i="4"/>
  <c r="E12" i="4"/>
  <c r="G12" i="4"/>
  <c r="K11" i="4"/>
  <c r="J11" i="4"/>
  <c r="E11" i="4"/>
  <c r="G11" i="4"/>
  <c r="K10" i="4"/>
  <c r="J10" i="4"/>
  <c r="E10" i="4"/>
  <c r="G10" i="4"/>
  <c r="K9" i="4"/>
  <c r="J9" i="4"/>
  <c r="E9" i="4"/>
  <c r="G9" i="4"/>
  <c r="S8" i="4"/>
  <c r="S2" i="4"/>
  <c r="S3" i="4"/>
  <c r="S5" i="4"/>
  <c r="S6" i="4"/>
  <c r="S9" i="4"/>
  <c r="K8" i="4"/>
  <c r="K7" i="4"/>
  <c r="K24" i="4"/>
  <c r="J8" i="4"/>
  <c r="E8" i="4"/>
  <c r="G8" i="4"/>
  <c r="E7" i="4"/>
  <c r="E24" i="4"/>
  <c r="J7" i="4"/>
  <c r="G7" i="4"/>
  <c r="P6" i="4"/>
  <c r="O96" i="3"/>
  <c r="K96" i="3"/>
  <c r="L96" i="3"/>
  <c r="O95" i="3"/>
  <c r="L95" i="3"/>
  <c r="L98" i="3"/>
  <c r="L94" i="3"/>
  <c r="E93" i="3"/>
  <c r="D93" i="3"/>
  <c r="O91" i="3"/>
  <c r="L91" i="3"/>
  <c r="G91" i="3"/>
  <c r="O90" i="3"/>
  <c r="L90" i="3"/>
  <c r="G90" i="3"/>
  <c r="O89" i="3"/>
  <c r="L89" i="3"/>
  <c r="G89" i="3"/>
  <c r="O88" i="3"/>
  <c r="L88" i="3"/>
  <c r="G88" i="3"/>
  <c r="O87" i="3"/>
  <c r="L87" i="3"/>
  <c r="G87" i="3"/>
  <c r="O86" i="3"/>
  <c r="L86" i="3"/>
  <c r="G86" i="3"/>
  <c r="O85" i="3"/>
  <c r="L85" i="3"/>
  <c r="G85" i="3"/>
  <c r="O84" i="3"/>
  <c r="L84" i="3"/>
  <c r="G84" i="3"/>
  <c r="O83" i="3"/>
  <c r="L83" i="3"/>
  <c r="G83" i="3"/>
  <c r="O82" i="3"/>
  <c r="L82" i="3"/>
  <c r="G82" i="3"/>
  <c r="O81" i="3"/>
  <c r="L81" i="3"/>
  <c r="G81" i="3"/>
  <c r="O80" i="3"/>
  <c r="L80" i="3"/>
  <c r="G80" i="3"/>
  <c r="O79" i="3"/>
  <c r="L79" i="3"/>
  <c r="G79" i="3"/>
  <c r="O78" i="3"/>
  <c r="L78" i="3"/>
  <c r="G78" i="3"/>
  <c r="O77" i="3"/>
  <c r="L77" i="3"/>
  <c r="G77" i="3"/>
  <c r="O76" i="3"/>
  <c r="L76" i="3"/>
  <c r="G76" i="3"/>
  <c r="O75" i="3"/>
  <c r="L75" i="3"/>
  <c r="G75" i="3"/>
  <c r="O74" i="3"/>
  <c r="L74" i="3"/>
  <c r="G74" i="3"/>
  <c r="O73" i="3"/>
  <c r="L73" i="3"/>
  <c r="G73" i="3"/>
  <c r="O72" i="3"/>
  <c r="L72" i="3"/>
  <c r="G72" i="3"/>
  <c r="O71" i="3"/>
  <c r="L71" i="3"/>
  <c r="G71" i="3"/>
  <c r="O70" i="3"/>
  <c r="L70" i="3"/>
  <c r="G70" i="3"/>
  <c r="O69" i="3"/>
  <c r="K69" i="3"/>
  <c r="L69" i="3"/>
  <c r="G69" i="3"/>
  <c r="O68" i="3"/>
  <c r="L68" i="3"/>
  <c r="G68" i="3"/>
  <c r="O67" i="3"/>
  <c r="L67" i="3"/>
  <c r="G67" i="3"/>
  <c r="O66" i="3"/>
  <c r="L66" i="3"/>
  <c r="G66" i="3"/>
  <c r="O65" i="3"/>
  <c r="L65" i="3"/>
  <c r="G65" i="3"/>
  <c r="O64" i="3"/>
  <c r="L64" i="3"/>
  <c r="G64" i="3"/>
  <c r="O63" i="3"/>
  <c r="K63" i="3"/>
  <c r="L63" i="3"/>
  <c r="G63" i="3"/>
  <c r="O62" i="3"/>
  <c r="L62" i="3"/>
  <c r="G62" i="3"/>
  <c r="O61" i="3"/>
  <c r="L61" i="3"/>
  <c r="G61" i="3"/>
  <c r="O60" i="3"/>
  <c r="L60" i="3"/>
  <c r="G60" i="3"/>
  <c r="O59" i="3"/>
  <c r="L59" i="3"/>
  <c r="G59" i="3"/>
  <c r="O58" i="3"/>
  <c r="L58" i="3"/>
  <c r="G58" i="3"/>
  <c r="O57" i="3"/>
  <c r="L57" i="3"/>
  <c r="G57" i="3"/>
  <c r="O56" i="3"/>
  <c r="L56" i="3"/>
  <c r="G56" i="3"/>
  <c r="O55" i="3"/>
  <c r="L55" i="3"/>
  <c r="G55" i="3"/>
  <c r="E53" i="3"/>
  <c r="D53" i="3"/>
  <c r="O51" i="3"/>
  <c r="L51" i="3"/>
  <c r="G51" i="3"/>
  <c r="O50" i="3"/>
  <c r="L50" i="3"/>
  <c r="G50" i="3"/>
  <c r="O49" i="3"/>
  <c r="L49" i="3"/>
  <c r="G49" i="3"/>
  <c r="O48" i="3"/>
  <c r="L48" i="3"/>
  <c r="G48" i="3"/>
  <c r="O47" i="3"/>
  <c r="L47" i="3"/>
  <c r="G47" i="3"/>
  <c r="O46" i="3"/>
  <c r="L46" i="3"/>
  <c r="G46" i="3"/>
  <c r="O45" i="3"/>
  <c r="L45" i="3"/>
  <c r="G45" i="3"/>
  <c r="O44" i="3"/>
  <c r="L44" i="3"/>
  <c r="G44" i="3"/>
  <c r="O43" i="3"/>
  <c r="L43" i="3"/>
  <c r="G43" i="3"/>
  <c r="O42" i="3"/>
  <c r="L42" i="3"/>
  <c r="G42" i="3"/>
  <c r="O41" i="3"/>
  <c r="L41" i="3"/>
  <c r="L33" i="3"/>
  <c r="L34" i="3"/>
  <c r="L35" i="3"/>
  <c r="L36" i="3"/>
  <c r="L37" i="3"/>
  <c r="L38" i="3"/>
  <c r="L39" i="3"/>
  <c r="L40" i="3"/>
  <c r="L53" i="3"/>
  <c r="G41" i="3"/>
  <c r="O40" i="3"/>
  <c r="G40" i="3"/>
  <c r="O39" i="3"/>
  <c r="G39" i="3"/>
  <c r="O38" i="3"/>
  <c r="G38" i="3"/>
  <c r="O37" i="3"/>
  <c r="K37" i="3"/>
  <c r="G37" i="3"/>
  <c r="O36" i="3"/>
  <c r="G36" i="3"/>
  <c r="O35" i="3"/>
  <c r="G35" i="3"/>
  <c r="O34" i="3"/>
  <c r="G34" i="3"/>
  <c r="O33" i="3"/>
  <c r="G33" i="3"/>
  <c r="E31" i="3"/>
  <c r="D31" i="3"/>
  <c r="O29" i="3"/>
  <c r="K29" i="3"/>
  <c r="L29" i="3"/>
  <c r="G29" i="3"/>
  <c r="O28" i="3"/>
  <c r="L28" i="3"/>
  <c r="K28" i="3"/>
  <c r="G28" i="3"/>
  <c r="O27" i="3"/>
  <c r="K27" i="3"/>
  <c r="L27" i="3"/>
  <c r="G27" i="3"/>
  <c r="O26" i="3"/>
  <c r="K26" i="3"/>
  <c r="L26" i="3"/>
  <c r="G26" i="3"/>
  <c r="O25" i="3"/>
  <c r="K25" i="3"/>
  <c r="L25" i="3"/>
  <c r="G25" i="3"/>
  <c r="O24" i="3"/>
  <c r="L24" i="3"/>
  <c r="K24" i="3"/>
  <c r="G24" i="3"/>
  <c r="O23" i="3"/>
  <c r="K23" i="3"/>
  <c r="L23" i="3"/>
  <c r="G23" i="3"/>
  <c r="O21" i="3"/>
  <c r="L21" i="3"/>
  <c r="J21" i="3"/>
  <c r="E21" i="3"/>
  <c r="G21" i="3"/>
  <c r="D21" i="3"/>
  <c r="A21" i="3"/>
  <c r="O17" i="3"/>
  <c r="L17" i="3"/>
  <c r="J17" i="3"/>
  <c r="D17" i="3"/>
  <c r="E17" i="3"/>
  <c r="G17" i="3"/>
  <c r="O16" i="3"/>
  <c r="L16" i="3"/>
  <c r="J16" i="3"/>
  <c r="E16" i="3"/>
  <c r="G16" i="3"/>
  <c r="D16" i="3"/>
  <c r="O15" i="3"/>
  <c r="L15" i="3"/>
  <c r="J15" i="3"/>
  <c r="D15" i="3"/>
  <c r="E15" i="3"/>
  <c r="G15" i="3"/>
  <c r="O14" i="3"/>
  <c r="L14" i="3"/>
  <c r="J14" i="3"/>
  <c r="D14" i="3"/>
  <c r="E14" i="3"/>
  <c r="G14" i="3"/>
  <c r="O13" i="3"/>
  <c r="L13" i="3"/>
  <c r="J13" i="3"/>
  <c r="E13" i="3"/>
  <c r="G13" i="3"/>
  <c r="D13" i="3"/>
  <c r="O12" i="3"/>
  <c r="L12" i="3"/>
  <c r="J12" i="3"/>
  <c r="D12" i="3"/>
  <c r="E12" i="3"/>
  <c r="G12" i="3"/>
  <c r="O11" i="3"/>
  <c r="L11" i="3"/>
  <c r="J11" i="3"/>
  <c r="D11" i="3"/>
  <c r="E11" i="3"/>
  <c r="G11" i="3"/>
  <c r="O10" i="3"/>
  <c r="L10" i="3"/>
  <c r="J10" i="3"/>
  <c r="D10" i="3"/>
  <c r="E10" i="3"/>
  <c r="G10" i="3"/>
  <c r="O9" i="3"/>
  <c r="L9" i="3"/>
  <c r="J9" i="3"/>
  <c r="E9" i="3"/>
  <c r="G9" i="3"/>
  <c r="D9" i="3"/>
  <c r="D19" i="3"/>
  <c r="O8" i="3"/>
  <c r="L8" i="3"/>
  <c r="L7" i="3"/>
  <c r="L19" i="3"/>
  <c r="J8" i="3"/>
  <c r="E8" i="3"/>
  <c r="O7" i="3"/>
  <c r="J7" i="3"/>
  <c r="E7" i="3"/>
  <c r="G7" i="3"/>
  <c r="D7" i="3"/>
  <c r="Q6" i="3"/>
  <c r="M37" i="2"/>
  <c r="F33" i="9"/>
  <c r="K33" i="9"/>
  <c r="M36" i="2"/>
  <c r="F61" i="9"/>
  <c r="K61" i="9"/>
  <c r="M35" i="2"/>
  <c r="M34" i="2"/>
  <c r="F31" i="9"/>
  <c r="K31" i="9"/>
  <c r="M33" i="2"/>
  <c r="F30" i="9"/>
  <c r="K30" i="9"/>
  <c r="M32" i="2"/>
  <c r="M31" i="2"/>
  <c r="F28" i="9"/>
  <c r="K28" i="9"/>
  <c r="M30" i="2"/>
  <c r="F27" i="9"/>
  <c r="K27" i="9"/>
  <c r="M29" i="2"/>
  <c r="F60" i="9"/>
  <c r="K60" i="9"/>
  <c r="M28" i="2"/>
  <c r="F62" i="9"/>
  <c r="K62" i="9"/>
  <c r="M27" i="2"/>
  <c r="F59" i="9"/>
  <c r="K59" i="9"/>
  <c r="M26" i="2"/>
  <c r="F58" i="9"/>
  <c r="K58" i="9"/>
  <c r="M25" i="2"/>
  <c r="F57" i="9"/>
  <c r="K57" i="9"/>
  <c r="M24" i="2"/>
  <c r="F56" i="9"/>
  <c r="K56" i="9"/>
  <c r="M23" i="2"/>
  <c r="F55" i="9"/>
  <c r="K55" i="9"/>
  <c r="M22" i="2"/>
  <c r="F44" i="9"/>
  <c r="K44" i="9"/>
  <c r="M21" i="2"/>
  <c r="F43" i="9"/>
  <c r="K43" i="9"/>
  <c r="M20" i="2"/>
  <c r="F42" i="9"/>
  <c r="K42" i="9"/>
  <c r="M19" i="2"/>
  <c r="F41" i="9"/>
  <c r="K41" i="9"/>
  <c r="M18" i="2"/>
  <c r="F40" i="9"/>
  <c r="K40" i="9"/>
  <c r="M17" i="2"/>
  <c r="M16" i="2"/>
  <c r="F38" i="9"/>
  <c r="K38" i="9"/>
  <c r="M15" i="2"/>
  <c r="M14" i="2"/>
  <c r="M13" i="2"/>
  <c r="M12" i="2"/>
  <c r="F15" i="9"/>
  <c r="K15" i="9"/>
  <c r="M11" i="2"/>
  <c r="M10" i="2"/>
  <c r="F11" i="9"/>
  <c r="M9" i="2"/>
  <c r="F10" i="9"/>
  <c r="K10" i="9"/>
  <c r="M8" i="2"/>
  <c r="F18" i="9"/>
  <c r="K18" i="9"/>
  <c r="M7" i="2"/>
  <c r="F9" i="9"/>
  <c r="K9" i="9"/>
  <c r="M6" i="2"/>
  <c r="M5" i="2"/>
  <c r="F16" i="9"/>
  <c r="K16" i="9"/>
  <c r="M4" i="2"/>
  <c r="F25" i="9"/>
  <c r="K25" i="9"/>
  <c r="M3" i="2"/>
  <c r="M2" i="2"/>
  <c r="F13" i="9"/>
  <c r="K13" i="9"/>
  <c r="K78" i="8"/>
  <c r="G30" i="9"/>
  <c r="E36" i="6"/>
  <c r="G28" i="6"/>
  <c r="K2" i="4"/>
  <c r="K23" i="9"/>
  <c r="K50" i="9"/>
  <c r="E58" i="4"/>
  <c r="L93" i="3"/>
  <c r="G53" i="6"/>
  <c r="E19" i="3"/>
  <c r="G8" i="3"/>
  <c r="G38" i="5"/>
  <c r="L43" i="6"/>
  <c r="J85" i="5"/>
  <c r="K38" i="5"/>
  <c r="K46" i="5"/>
  <c r="J11" i="6"/>
  <c r="E47" i="5"/>
  <c r="L76" i="6"/>
  <c r="G54" i="7"/>
  <c r="E60" i="9"/>
  <c r="G60" i="9"/>
  <c r="E10" i="9"/>
  <c r="G10" i="9"/>
  <c r="E15" i="9"/>
  <c r="G15" i="9"/>
  <c r="E40" i="9"/>
  <c r="G40" i="9"/>
  <c r="E33" i="9"/>
  <c r="G33" i="9"/>
  <c r="E20" i="9"/>
  <c r="G20" i="9"/>
  <c r="E55" i="9"/>
  <c r="G55" i="9"/>
  <c r="E28" i="9"/>
  <c r="G28" i="9"/>
  <c r="E44" i="9"/>
  <c r="G44" i="9"/>
  <c r="E59" i="9"/>
  <c r="G59" i="9"/>
  <c r="E19" i="9"/>
  <c r="G19" i="9"/>
  <c r="E39" i="9"/>
  <c r="G39" i="9"/>
  <c r="E32" i="9"/>
  <c r="G32" i="9"/>
  <c r="E27" i="9"/>
  <c r="G27" i="9"/>
  <c r="E43" i="9"/>
  <c r="G43" i="9"/>
  <c r="E9" i="9"/>
  <c r="G9" i="9"/>
  <c r="E25" i="9"/>
  <c r="G25" i="9"/>
  <c r="E57" i="9"/>
  <c r="G57" i="9"/>
  <c r="E61" i="9"/>
  <c r="G61" i="9"/>
  <c r="E29" i="9"/>
  <c r="G29" i="9"/>
  <c r="E45" i="9"/>
  <c r="G45" i="9"/>
  <c r="E11" i="9"/>
  <c r="G11" i="9"/>
  <c r="L31" i="3"/>
  <c r="L2" i="3"/>
  <c r="L69" i="6"/>
  <c r="G78" i="6"/>
  <c r="G64" i="4"/>
  <c r="K15" i="5"/>
  <c r="K41" i="5"/>
  <c r="K33" i="5"/>
  <c r="M2" i="6"/>
  <c r="S9" i="6"/>
  <c r="E31" i="9"/>
  <c r="G31" i="9"/>
  <c r="L26" i="6"/>
  <c r="G34" i="6"/>
  <c r="L58" i="6"/>
  <c r="G79" i="6"/>
  <c r="E42" i="9"/>
  <c r="G42" i="9"/>
  <c r="G13" i="6"/>
  <c r="K70" i="7"/>
  <c r="E12" i="9"/>
  <c r="G12" i="9"/>
  <c r="E58" i="9"/>
  <c r="G58" i="9"/>
  <c r="E21" i="9"/>
  <c r="G21" i="9"/>
  <c r="S8" i="5"/>
  <c r="K34" i="5"/>
  <c r="D24" i="6"/>
  <c r="L92" i="6"/>
  <c r="L87" i="6"/>
  <c r="L36" i="6"/>
  <c r="L24" i="6"/>
  <c r="L2" i="6"/>
  <c r="E8" i="6"/>
  <c r="J14" i="6"/>
  <c r="L28" i="6"/>
  <c r="K11" i="5"/>
  <c r="L14" i="6"/>
  <c r="G38" i="6"/>
  <c r="E13" i="9"/>
  <c r="G13" i="9"/>
  <c r="S8" i="7"/>
  <c r="E35" i="9"/>
  <c r="K29" i="5"/>
  <c r="K45" i="5"/>
  <c r="K24" i="8"/>
  <c r="E23" i="9"/>
  <c r="E46" i="9"/>
  <c r="G46" i="9"/>
  <c r="G12" i="5"/>
  <c r="G30" i="6"/>
  <c r="E14" i="9"/>
  <c r="G14" i="9"/>
  <c r="E37" i="9"/>
  <c r="G37" i="9"/>
  <c r="L50" i="6"/>
  <c r="K30" i="5"/>
  <c r="G43" i="5"/>
  <c r="G7" i="5"/>
  <c r="E23" i="7"/>
  <c r="E50" i="9"/>
  <c r="E62" i="9"/>
  <c r="G62" i="9"/>
  <c r="K43" i="5"/>
  <c r="E35" i="7"/>
  <c r="L11" i="6"/>
  <c r="K12" i="5"/>
  <c r="G19" i="5"/>
  <c r="L12" i="6"/>
  <c r="K25" i="5"/>
  <c r="K2" i="5"/>
  <c r="E16" i="9"/>
  <c r="G16" i="9"/>
  <c r="E38" i="9"/>
  <c r="G38" i="9"/>
  <c r="E53" i="9"/>
  <c r="T5" i="3"/>
  <c r="T6" i="3"/>
  <c r="T2" i="3"/>
  <c r="T3" i="3"/>
  <c r="K19" i="5"/>
  <c r="K23" i="7"/>
  <c r="E50" i="7"/>
  <c r="K70" i="9"/>
  <c r="E41" i="5"/>
  <c r="T8" i="3"/>
  <c r="K35" i="9"/>
  <c r="G72" i="6"/>
  <c r="L51" i="6"/>
  <c r="K44" i="5"/>
  <c r="G43" i="6"/>
  <c r="G61" i="6"/>
  <c r="E87" i="6"/>
  <c r="L74" i="6"/>
  <c r="G37" i="7"/>
  <c r="G44" i="5"/>
  <c r="E54" i="9"/>
  <c r="G54" i="9"/>
  <c r="L79" i="6"/>
  <c r="L62" i="6"/>
  <c r="L9" i="6"/>
  <c r="L42" i="6"/>
  <c r="L19" i="6"/>
  <c r="L13" i="6"/>
  <c r="L33" i="6"/>
  <c r="L78" i="6"/>
  <c r="L71" i="6"/>
  <c r="L61" i="6"/>
  <c r="L41" i="6"/>
  <c r="L8" i="6"/>
  <c r="L53" i="6"/>
  <c r="L48" i="6"/>
  <c r="L38" i="6"/>
  <c r="L34" i="6"/>
  <c r="L30" i="6"/>
  <c r="E46" i="5"/>
  <c r="L17" i="6"/>
  <c r="L31" i="6"/>
  <c r="D87" i="6"/>
  <c r="G42" i="5"/>
  <c r="E36" i="8"/>
  <c r="E53" i="8"/>
  <c r="J17" i="6"/>
  <c r="E41" i="8"/>
  <c r="G41" i="8"/>
  <c r="E60" i="8"/>
  <c r="G60" i="8"/>
  <c r="L72" i="6"/>
  <c r="E55" i="8"/>
  <c r="G55" i="8"/>
  <c r="G27" i="5"/>
  <c r="E15" i="8"/>
  <c r="G15" i="8"/>
  <c r="E34" i="8"/>
  <c r="G34" i="8"/>
  <c r="E9" i="8"/>
  <c r="G9" i="8"/>
  <c r="E28" i="8"/>
  <c r="G28" i="8"/>
  <c r="E43" i="8"/>
  <c r="G43" i="8"/>
  <c r="E62" i="8"/>
  <c r="G62" i="8"/>
  <c r="E2" i="5"/>
  <c r="M58" i="3"/>
  <c r="M48" i="3"/>
  <c r="M40" i="3"/>
  <c r="M31" i="3"/>
  <c r="M81" i="3"/>
  <c r="M73" i="3"/>
  <c r="M21" i="3"/>
  <c r="M89" i="3"/>
  <c r="M80" i="3"/>
  <c r="M64" i="3"/>
  <c r="N2" i="3"/>
  <c r="M38" i="3"/>
  <c r="M15" i="3"/>
  <c r="M65" i="3"/>
  <c r="M72" i="3"/>
  <c r="M46" i="3"/>
  <c r="M23" i="3"/>
  <c r="M57" i="3"/>
  <c r="M47" i="3"/>
  <c r="M39" i="3"/>
  <c r="M29" i="3"/>
  <c r="M10" i="3"/>
  <c r="M88" i="3"/>
  <c r="M56" i="3"/>
  <c r="M55" i="3"/>
  <c r="M45" i="3"/>
  <c r="M37" i="3"/>
  <c r="M53" i="3"/>
  <c r="M27" i="3"/>
  <c r="M19" i="3"/>
  <c r="M90" i="3"/>
  <c r="M82" i="3"/>
  <c r="M74" i="3"/>
  <c r="M24" i="3"/>
  <c r="M11" i="3"/>
  <c r="M66" i="3"/>
  <c r="M49" i="3"/>
  <c r="M86" i="3"/>
  <c r="M60" i="3"/>
  <c r="M28" i="3"/>
  <c r="M7" i="3"/>
  <c r="M67" i="3"/>
  <c r="M87" i="3"/>
  <c r="M77" i="3"/>
  <c r="M12" i="3"/>
  <c r="M26" i="3"/>
  <c r="M34" i="3"/>
  <c r="M76" i="3"/>
  <c r="M83" i="3"/>
  <c r="M68" i="3"/>
  <c r="M17" i="3"/>
  <c r="M44" i="3"/>
  <c r="M43" i="3"/>
  <c r="M96" i="3"/>
  <c r="M85" i="3"/>
  <c r="M59" i="3"/>
  <c r="M25" i="3"/>
  <c r="M35" i="3"/>
  <c r="M50" i="3"/>
  <c r="M84" i="3"/>
  <c r="M75" i="3"/>
  <c r="M41" i="3"/>
  <c r="M95" i="3"/>
  <c r="M93" i="3"/>
  <c r="M16" i="3"/>
  <c r="M62" i="3"/>
  <c r="M36" i="3"/>
  <c r="M91" i="3"/>
  <c r="M61" i="3"/>
  <c r="M9" i="3"/>
  <c r="M63" i="3"/>
  <c r="M14" i="3"/>
  <c r="M71" i="3"/>
  <c r="M69" i="3"/>
  <c r="M51" i="3"/>
  <c r="M42" i="3"/>
  <c r="M33" i="3"/>
  <c r="M79" i="3"/>
  <c r="M70" i="3"/>
  <c r="M13" i="3"/>
  <c r="M8" i="3"/>
  <c r="M78" i="3"/>
  <c r="L47" i="5"/>
  <c r="L27" i="5"/>
  <c r="L22" i="5"/>
  <c r="L35" i="5"/>
  <c r="L2" i="5"/>
  <c r="L41" i="5"/>
  <c r="L36" i="5"/>
  <c r="L12" i="5"/>
  <c r="L13" i="5"/>
  <c r="L17" i="5"/>
  <c r="L8" i="5"/>
  <c r="L46" i="5"/>
  <c r="L31" i="5"/>
  <c r="L40" i="5"/>
  <c r="L26" i="5"/>
  <c r="L45" i="5"/>
  <c r="L44" i="5"/>
  <c r="L39" i="5"/>
  <c r="L16" i="5"/>
  <c r="L34" i="5"/>
  <c r="L9" i="5"/>
  <c r="L18" i="5"/>
  <c r="L25" i="5"/>
  <c r="L37" i="5"/>
  <c r="L6" i="5"/>
  <c r="L19" i="5"/>
  <c r="L32" i="5"/>
  <c r="L7" i="5"/>
  <c r="L43" i="5"/>
  <c r="L14" i="5"/>
  <c r="L30" i="5"/>
  <c r="L24" i="5"/>
  <c r="L29" i="5"/>
  <c r="L42" i="5"/>
  <c r="L11" i="5"/>
  <c r="L23" i="5"/>
  <c r="L28" i="5"/>
  <c r="M2" i="5"/>
  <c r="L10" i="5"/>
  <c r="L21" i="5"/>
  <c r="L33" i="5"/>
  <c r="L15" i="5"/>
  <c r="L38" i="5"/>
  <c r="L20" i="5"/>
  <c r="G49" i="6"/>
  <c r="K2" i="8"/>
  <c r="K81" i="8"/>
  <c r="E24" i="6"/>
  <c r="E2" i="6"/>
  <c r="G8" i="6"/>
  <c r="K47" i="5"/>
  <c r="L49" i="6"/>
  <c r="K73" i="9"/>
  <c r="K2" i="9"/>
  <c r="G51" i="6"/>
  <c r="G12" i="6"/>
  <c r="L40" i="4"/>
  <c r="L90" i="4"/>
  <c r="L89" i="4"/>
  <c r="L87" i="4"/>
  <c r="L51" i="4"/>
  <c r="L92" i="4"/>
  <c r="L75" i="4"/>
  <c r="L74" i="4"/>
  <c r="L67" i="4"/>
  <c r="L62" i="4"/>
  <c r="L46" i="4"/>
  <c r="L31" i="4"/>
  <c r="L12" i="4"/>
  <c r="L45" i="4"/>
  <c r="L11" i="4"/>
  <c r="M2" i="4"/>
  <c r="L68" i="4"/>
  <c r="L52" i="4"/>
  <c r="L18" i="4"/>
  <c r="L61" i="4"/>
  <c r="L30" i="4"/>
  <c r="L39" i="4"/>
  <c r="L60" i="4"/>
  <c r="L44" i="4"/>
  <c r="L29" i="4"/>
  <c r="L10" i="4"/>
  <c r="L79" i="4"/>
  <c r="L36" i="4"/>
  <c r="L69" i="4"/>
  <c r="L53" i="4"/>
  <c r="L19" i="4"/>
  <c r="L24" i="4"/>
  <c r="L34" i="4"/>
  <c r="L70" i="4"/>
  <c r="L43" i="4"/>
  <c r="L77" i="4"/>
  <c r="L33" i="4"/>
  <c r="L32" i="4"/>
  <c r="L50" i="4"/>
  <c r="L65" i="4"/>
  <c r="L42" i="4"/>
  <c r="L76" i="4"/>
  <c r="L64" i="4"/>
  <c r="L16" i="4"/>
  <c r="L49" i="4"/>
  <c r="L78" i="4"/>
  <c r="L17" i="4"/>
  <c r="L41" i="4"/>
  <c r="L13" i="4"/>
  <c r="L58" i="4"/>
  <c r="L9" i="4"/>
  <c r="L48" i="4"/>
  <c r="L55" i="4"/>
  <c r="L66" i="4"/>
  <c r="L73" i="4"/>
  <c r="L47" i="4"/>
  <c r="L8" i="4"/>
  <c r="L15" i="4"/>
  <c r="L54" i="4"/>
  <c r="L71" i="4"/>
  <c r="L38" i="4"/>
  <c r="L28" i="4"/>
  <c r="L72" i="4"/>
  <c r="L7" i="4"/>
  <c r="L14" i="4"/>
  <c r="L26" i="4"/>
  <c r="L63" i="4"/>
  <c r="L29" i="6"/>
  <c r="L70" i="6"/>
  <c r="G70" i="6"/>
  <c r="L16" i="6"/>
  <c r="G16" i="6"/>
  <c r="T9" i="3"/>
  <c r="G50" i="6"/>
  <c r="K78" i="7"/>
  <c r="K2" i="7"/>
  <c r="E70" i="9"/>
  <c r="G53" i="9"/>
  <c r="E70" i="8"/>
  <c r="G53" i="8"/>
  <c r="L34" i="8"/>
  <c r="L15" i="8"/>
  <c r="L61" i="8"/>
  <c r="L42" i="8"/>
  <c r="L55" i="8"/>
  <c r="L26" i="8"/>
  <c r="M2" i="8"/>
  <c r="L54" i="8"/>
  <c r="L33" i="8"/>
  <c r="L14" i="8"/>
  <c r="L60" i="8"/>
  <c r="L41" i="8"/>
  <c r="L24" i="8"/>
  <c r="L53" i="8"/>
  <c r="L20" i="8"/>
  <c r="L59" i="8"/>
  <c r="L40" i="8"/>
  <c r="L31" i="8"/>
  <c r="L12" i="8"/>
  <c r="L81" i="8"/>
  <c r="L44" i="8"/>
  <c r="L29" i="8"/>
  <c r="L10" i="8"/>
  <c r="L62" i="8"/>
  <c r="L43" i="8"/>
  <c r="L28" i="8"/>
  <c r="L9" i="8"/>
  <c r="L56" i="8"/>
  <c r="L30" i="8"/>
  <c r="L70" i="8"/>
  <c r="L38" i="8"/>
  <c r="L11" i="8"/>
  <c r="L50" i="8"/>
  <c r="L36" i="8"/>
  <c r="L45" i="8"/>
  <c r="L19" i="8"/>
  <c r="L32" i="8"/>
  <c r="L18" i="8"/>
  <c r="L58" i="8"/>
  <c r="L16" i="8"/>
  <c r="L57" i="8"/>
  <c r="L13" i="8"/>
  <c r="L39" i="8"/>
  <c r="L21" i="7"/>
  <c r="L31" i="7"/>
  <c r="L15" i="7"/>
  <c r="L50" i="7"/>
  <c r="L30" i="7"/>
  <c r="L58" i="7"/>
  <c r="L39" i="7"/>
  <c r="L45" i="7"/>
  <c r="L14" i="7"/>
  <c r="L38" i="7"/>
  <c r="L8" i="7"/>
  <c r="L57" i="7"/>
  <c r="L78" i="7"/>
  <c r="L20" i="7"/>
  <c r="L44" i="7"/>
  <c r="L29" i="7"/>
  <c r="L13" i="7"/>
  <c r="L7" i="7"/>
  <c r="L70" i="7"/>
  <c r="L19" i="7"/>
  <c r="L55" i="7"/>
  <c r="L35" i="7"/>
  <c r="L59" i="7"/>
  <c r="L40" i="7"/>
  <c r="L23" i="7"/>
  <c r="L9" i="7"/>
  <c r="L25" i="7"/>
  <c r="L33" i="7"/>
  <c r="L43" i="7"/>
  <c r="L42" i="7"/>
  <c r="L32" i="7"/>
  <c r="L53" i="7"/>
  <c r="M2" i="7"/>
  <c r="L56" i="7"/>
  <c r="L12" i="7"/>
  <c r="L41" i="7"/>
  <c r="L75" i="7"/>
  <c r="L11" i="7"/>
  <c r="L18" i="7"/>
  <c r="L62" i="7"/>
  <c r="L54" i="7"/>
  <c r="L10" i="7"/>
  <c r="L61" i="7"/>
  <c r="L17" i="7"/>
  <c r="L28" i="7"/>
  <c r="L60" i="7"/>
  <c r="L37" i="7"/>
  <c r="L27" i="7"/>
  <c r="L16" i="7"/>
  <c r="L44" i="9"/>
  <c r="L10" i="9"/>
  <c r="L59" i="9"/>
  <c r="L39" i="9"/>
  <c r="L32" i="9"/>
  <c r="L19" i="9"/>
  <c r="L54" i="9"/>
  <c r="L14" i="9"/>
  <c r="L27" i="9"/>
  <c r="L73" i="9"/>
  <c r="L43" i="9"/>
  <c r="L9" i="9"/>
  <c r="L70" i="9"/>
  <c r="L58" i="9"/>
  <c r="L18" i="9"/>
  <c r="L53" i="9"/>
  <c r="L13" i="9"/>
  <c r="L62" i="9"/>
  <c r="L25" i="9"/>
  <c r="L57" i="9"/>
  <c r="L17" i="9"/>
  <c r="M2" i="9"/>
  <c r="L61" i="9"/>
  <c r="L56" i="9"/>
  <c r="L11" i="9"/>
  <c r="L55" i="9"/>
  <c r="L20" i="9"/>
  <c r="L28" i="9"/>
  <c r="L38" i="9"/>
  <c r="L50" i="9"/>
  <c r="L37" i="9"/>
  <c r="L15" i="9"/>
  <c r="L40" i="9"/>
  <c r="L46" i="9"/>
  <c r="L23" i="9"/>
  <c r="L60" i="9"/>
  <c r="L35" i="9"/>
  <c r="L45" i="9"/>
  <c r="L21" i="9"/>
  <c r="L33" i="9"/>
  <c r="L12" i="9"/>
  <c r="L42" i="9"/>
  <c r="L31" i="9"/>
  <c r="L41" i="9"/>
  <c r="L30" i="9"/>
  <c r="L29" i="9"/>
  <c r="L16" i="9"/>
  <c r="L2" i="4"/>
  <c r="L2" i="9"/>
  <c r="L2" i="7"/>
  <c r="L2" i="8"/>
</calcChain>
</file>

<file path=xl/sharedStrings.xml><?xml version="1.0" encoding="utf-8"?>
<sst xmlns="http://schemas.openxmlformats.org/spreadsheetml/2006/main" count="1471" uniqueCount="283">
  <si>
    <t>AAPL</t>
  </si>
  <si>
    <t>AMD</t>
  </si>
  <si>
    <t>ASML</t>
  </si>
  <si>
    <t>DXCM</t>
  </si>
  <si>
    <t>FTNT</t>
  </si>
  <si>
    <t>IAU</t>
  </si>
  <si>
    <t>JD</t>
  </si>
  <si>
    <t>NVDA</t>
  </si>
  <si>
    <t>REGN</t>
  </si>
  <si>
    <t>SGEN</t>
  </si>
  <si>
    <t>TSLA</t>
  </si>
  <si>
    <t>Total</t>
  </si>
  <si>
    <t>Daily P&amp;L</t>
  </si>
  <si>
    <t>Financial Instrument</t>
  </si>
  <si>
    <t>Company Name</t>
  </si>
  <si>
    <t>Trading Currency</t>
  </si>
  <si>
    <t>Exchange</t>
  </si>
  <si>
    <t>Position</t>
  </si>
  <si>
    <t>Market Value</t>
  </si>
  <si>
    <t>Avg Price</t>
  </si>
  <si>
    <t>Last</t>
  </si>
  <si>
    <t>Unrealized P&amp;L</t>
  </si>
  <si>
    <t>Change %</t>
  </si>
  <si>
    <t>APPLE INC</t>
  </si>
  <si>
    <t>USD</t>
  </si>
  <si>
    <t>SMART</t>
  </si>
  <si>
    <t>DEXCOM INC</t>
  </si>
  <si>
    <t>ISHARES GOLD TRUST</t>
  </si>
  <si>
    <t>JD.COM INC-ADR</t>
  </si>
  <si>
    <t>NTES</t>
  </si>
  <si>
    <t>NETEASE INC-ADR</t>
  </si>
  <si>
    <t>NVIDIA CORP</t>
  </si>
  <si>
    <t>ODFL</t>
  </si>
  <si>
    <t>OLD DOMINION FREIGHT LINE</t>
  </si>
  <si>
    <t>REGENERON PHARMACEUTICALS</t>
  </si>
  <si>
    <t>SEATTLE GENETICS INC</t>
  </si>
  <si>
    <t>TESLA INC</t>
  </si>
  <si>
    <t>WST</t>
  </si>
  <si>
    <t>WEST PHARMACEUTICAL SERVICES</t>
  </si>
  <si>
    <t>3KTB Sep15'20 @KSE</t>
  </si>
  <si>
    <t>3-Year Korea Treasury Bond</t>
  </si>
  <si>
    <t>KRW</t>
  </si>
  <si>
    <t>KSE</t>
  </si>
  <si>
    <t>AH Aug19'20 @LMEOTC</t>
  </si>
  <si>
    <t>High-Grade Primary Aluminium</t>
  </si>
  <si>
    <t>LMEOTC</t>
  </si>
  <si>
    <t>C1676.50</t>
  </si>
  <si>
    <t>CA Aug19'20 @LMEOTC</t>
  </si>
  <si>
    <t>Grade A Copper - LME</t>
  </si>
  <si>
    <t>C6425.00</t>
  </si>
  <si>
    <t>CGB Sep21'20 @CDE</t>
  </si>
  <si>
    <t>10 Year Government of Canada Bonds</t>
  </si>
  <si>
    <t>CAD</t>
  </si>
  <si>
    <t>CDE</t>
  </si>
  <si>
    <t>EM Aug17'20 @GLOBEX</t>
  </si>
  <si>
    <t>1 Month LIBOR (Int. Rate)</t>
  </si>
  <si>
    <t>GLOBEX</t>
  </si>
  <si>
    <t>C99.8400</t>
  </si>
  <si>
    <t>FLKTB Sep15'20 @KSE</t>
  </si>
  <si>
    <t>10-Year Korea Treasury Bond</t>
  </si>
  <si>
    <t>GE Aug17'20 @GLOBEX</t>
  </si>
  <si>
    <t>GLOBEX Euro-Dollar</t>
  </si>
  <si>
    <t>IB Jul31'20 @SNFE</t>
  </si>
  <si>
    <t>30 Day Interbank Cash Rate</t>
  </si>
  <si>
    <t>AUD</t>
  </si>
  <si>
    <t>SNFE</t>
  </si>
  <si>
    <t>IR Sep10'20 @SNFE</t>
  </si>
  <si>
    <t>90 Day Bills</t>
  </si>
  <si>
    <t>L Aug19'20 @ICEEU</t>
  </si>
  <si>
    <t>3 Month Sterling Interest Rate FUT</t>
  </si>
  <si>
    <t>GBP</t>
  </si>
  <si>
    <t>ICEEU</t>
  </si>
  <si>
    <t>C99.910</t>
  </si>
  <si>
    <t>NI Aug19'20 @LMEOTC</t>
  </si>
  <si>
    <t>Nickel - LME</t>
  </si>
  <si>
    <t>C13625.00</t>
  </si>
  <si>
    <t>PA Sep28'20 @NYMEX</t>
  </si>
  <si>
    <t>NYMEX Palladium Index</t>
  </si>
  <si>
    <t>NYMEX</t>
  </si>
  <si>
    <t>PB Aug19'20 @LMEOTC</t>
  </si>
  <si>
    <t>Lead - LME</t>
  </si>
  <si>
    <t>C1808.00</t>
  </si>
  <si>
    <t>PL Oct28'20 @NYMEX</t>
  </si>
  <si>
    <t>NYMEX Platinum Index</t>
  </si>
  <si>
    <t>SCI Jul30'20 @SGX</t>
  </si>
  <si>
    <t>SGX TSI Iron Ore Futures</t>
  </si>
  <si>
    <t>SGX</t>
  </si>
  <si>
    <t>C107.78</t>
  </si>
  <si>
    <t>NoMD</t>
  </si>
  <si>
    <t>SI Sep28'20 @NYMEX</t>
  </si>
  <si>
    <t>NYMEX Silver Index</t>
  </si>
  <si>
    <t>SNLME Aug19'20 @LMEOTC</t>
  </si>
  <si>
    <t>Tin future</t>
  </si>
  <si>
    <t>C17705.00</t>
  </si>
  <si>
    <t>TN Sep21'20 @ECBOT</t>
  </si>
  <si>
    <t>Ultra 10-Year US Treasury Note</t>
  </si>
  <si>
    <t>ECBOT</t>
  </si>
  <si>
    <t>C158'140</t>
  </si>
  <si>
    <t>UB Sep21'20 @ECBOT</t>
  </si>
  <si>
    <t>Ultra Treasury Bond</t>
  </si>
  <si>
    <t>226'040</t>
  </si>
  <si>
    <t>ZB Sep21'20 @ECBOT</t>
  </si>
  <si>
    <t>30 Year US Treasury Bond</t>
  </si>
  <si>
    <t>181'060</t>
  </si>
  <si>
    <t>ZF Sep30'20 @ECBOT</t>
  </si>
  <si>
    <t>5 Year US Treasury Note</t>
  </si>
  <si>
    <t>125'262</t>
  </si>
  <si>
    <t>ZN Sep21'20 @ECBOT</t>
  </si>
  <si>
    <t>10 Year US Treasury Note</t>
  </si>
  <si>
    <t>139'195</t>
  </si>
  <si>
    <t>ZQ Jul31'20 @ECBOT</t>
  </si>
  <si>
    <t>30 Day Fed Funds</t>
  </si>
  <si>
    <t>C99.9075</t>
  </si>
  <si>
    <t>ZSLME Aug19'20 @LMEOTC</t>
  </si>
  <si>
    <t>Special High Grade Zinc</t>
  </si>
  <si>
    <t>C2217.50</t>
  </si>
  <si>
    <t>ZT Sep30'20 @ECBOT</t>
  </si>
  <si>
    <t>2 Year US Treasury Note</t>
  </si>
  <si>
    <t>110'135</t>
  </si>
  <si>
    <t>Date</t>
  </si>
  <si>
    <t>29/6/2020</t>
  </si>
  <si>
    <t>Total target value allocation</t>
  </si>
  <si>
    <t>Total Current value Allocation</t>
  </si>
  <si>
    <t>Current Leverage</t>
  </si>
  <si>
    <t>Allocation</t>
  </si>
  <si>
    <t>Count</t>
  </si>
  <si>
    <t>Leverage Multiplier</t>
  </si>
  <si>
    <t>Equity</t>
  </si>
  <si>
    <t>US Bond</t>
  </si>
  <si>
    <t>Total NAV</t>
  </si>
  <si>
    <t>Global Bond</t>
  </si>
  <si>
    <t>Commodity</t>
  </si>
  <si>
    <t>Category</t>
  </si>
  <si>
    <t>IB Ticker</t>
  </si>
  <si>
    <t>Target Allocation (%)</t>
  </si>
  <si>
    <t>Target Value Allocation (USD)</t>
  </si>
  <si>
    <t>Last price</t>
  </si>
  <si>
    <t>Target Quantity</t>
  </si>
  <si>
    <t>Previous Quantity</t>
  </si>
  <si>
    <t>Current Quantity</t>
  </si>
  <si>
    <t>Change</t>
  </si>
  <si>
    <t>Current Price</t>
  </si>
  <si>
    <t>Current Value Allocation</t>
  </si>
  <si>
    <t>Current Allocation Percentage</t>
  </si>
  <si>
    <t>Comments</t>
  </si>
  <si>
    <t>Bonds</t>
  </si>
  <si>
    <t>ADVANCED MICRO DEVICES</t>
  </si>
  <si>
    <t>Gold ETF</t>
  </si>
  <si>
    <t>Sold</t>
  </si>
  <si>
    <t>CTXS</t>
  </si>
  <si>
    <t>CITRIX SYSTEMS INC</t>
  </si>
  <si>
    <t>Others</t>
  </si>
  <si>
    <t>Equity Target</t>
  </si>
  <si>
    <t>Total Instruments</t>
  </si>
  <si>
    <t>Non US Bond Target</t>
  </si>
  <si>
    <t>US Bond Target</t>
  </si>
  <si>
    <t>FORTINET INC</t>
  </si>
  <si>
    <t>ASML HOLDING NV-NY REG SHS</t>
  </si>
  <si>
    <t>Equity Total</t>
  </si>
  <si>
    <t>US Bond Total</t>
  </si>
  <si>
    <t>BTP Sep08'20 @DTB</t>
  </si>
  <si>
    <t>Euro-BTP Italian Government Bond</t>
  </si>
  <si>
    <t>BTS Sep08'20 @DTB</t>
  </si>
  <si>
    <t>Short-Term Euro-BTP Italian Government Bond</t>
  </si>
  <si>
    <t>EM Jul13'20 @GLOBEX</t>
  </si>
  <si>
    <t>GBL Sep08'20 @DTB</t>
  </si>
  <si>
    <t>Euro Bund (10 Year Bond)</t>
  </si>
  <si>
    <t>GBM Sep08'20 @DTB</t>
  </si>
  <si>
    <t>Euro Bobl (5 Year Bond)</t>
  </si>
  <si>
    <t>GBS Sep08'20 @DTB</t>
  </si>
  <si>
    <t>Euro Schatz (2 Year Bond)</t>
  </si>
  <si>
    <t>GBX Sep08'20 @DTB</t>
  </si>
  <si>
    <t>Euro Buxl (15 - 30 Year Bond)</t>
  </si>
  <si>
    <t>GE Jul13'20 @GLOBEX</t>
  </si>
  <si>
    <t>I Jul13'20 @ICEEU</t>
  </si>
  <si>
    <t>3 Month EURIBOR Interest Rate</t>
  </si>
  <si>
    <t>JGB Sep14'20 @OSE.JPN</t>
  </si>
  <si>
    <t>Standardized 6% 10-Year Japanese Government Bond</t>
  </si>
  <si>
    <t>L Jul15'20 @ICEEU</t>
  </si>
  <si>
    <t>OAT Sep08'20 @DTB</t>
  </si>
  <si>
    <t>Euro-OAT French Government Bond</t>
  </si>
  <si>
    <t>R Sep28'20 @ICEEU</t>
  </si>
  <si>
    <t>Long Gilt</t>
  </si>
  <si>
    <t>S Sep14'20 @ICEEU</t>
  </si>
  <si>
    <t>Three Month Euro Swiss Franc Interest Rate</t>
  </si>
  <si>
    <t>Global Bond Total</t>
  </si>
  <si>
    <t>AC Aug05'20 @ECBOT</t>
  </si>
  <si>
    <t>Ethanol -CME</t>
  </si>
  <si>
    <t xml:space="preserve"> </t>
  </si>
  <si>
    <t>COIL Sep'20 @IPE</t>
  </si>
  <si>
    <t>ICE Brent Crude</t>
  </si>
  <si>
    <t>GOIL Aug12'20 @IPE</t>
  </si>
  <si>
    <t>ICE Gasoil</t>
  </si>
  <si>
    <t>HO Aug'20 @NYMEX</t>
  </si>
  <si>
    <t>Heating Oil</t>
  </si>
  <si>
    <t>HOIL Aug'20 @IPE</t>
  </si>
  <si>
    <t>ICE Heating Oil</t>
  </si>
  <si>
    <t>NG Aug'20 @NYMEX</t>
  </si>
  <si>
    <t>Henry Hub Natural Gas</t>
  </si>
  <si>
    <t>NGF Aug'20 @IPE</t>
  </si>
  <si>
    <t>ICE UK Natural Gas</t>
  </si>
  <si>
    <t>RB Aug'20 @NYMEX</t>
  </si>
  <si>
    <t>NYMEX RBOB Gasoline Index</t>
  </si>
  <si>
    <t>SNLME Jul15'20 @LMEOTC</t>
  </si>
  <si>
    <t>WTI Aug'20 @IPE</t>
  </si>
  <si>
    <t>West Texas Intermediate Light Sweet Crude Oil</t>
  </si>
  <si>
    <t>CC Sep15'20 @NYBOT</t>
  </si>
  <si>
    <t>Cocoa NYBOT</t>
  </si>
  <si>
    <t>CT Oct08'20 @NYBOT</t>
  </si>
  <si>
    <t>Cotton No. 2</t>
  </si>
  <si>
    <t>DA Jul'20 @GLOBEX</t>
  </si>
  <si>
    <t>MILK CLASS III INDEX</t>
  </si>
  <si>
    <t>GC Aug27'20 @NYMEX</t>
  </si>
  <si>
    <t>Gold</t>
  </si>
  <si>
    <t>GF Aug27'20 @GLOBEX</t>
  </si>
  <si>
    <t>Feeder Cattle</t>
  </si>
  <si>
    <t>HE Jul15'20 @GLOBEX</t>
  </si>
  <si>
    <t>Lean Hogs</t>
  </si>
  <si>
    <t>KC Sep18'20 @NYBOT</t>
  </si>
  <si>
    <t>Coffee "C"</t>
  </si>
  <si>
    <t>LB Jul15'20 @GLOBEX</t>
  </si>
  <si>
    <t>Random Length Lumber</t>
  </si>
  <si>
    <t>LE Aug31'20 @GLOBEX</t>
  </si>
  <si>
    <t>Live Cattle</t>
  </si>
  <si>
    <t>OJ Sep10'20 @NYBOT</t>
  </si>
  <si>
    <t>FC Orange Juice "A"</t>
  </si>
  <si>
    <t>SB Oct'20 @NYBOT</t>
  </si>
  <si>
    <t>Sugar No. 11</t>
  </si>
  <si>
    <t>TSR20 Aug'20 @SGX</t>
  </si>
  <si>
    <t>SICOM Rubber</t>
  </si>
  <si>
    <t>ZC Sep14'20 @ECBOT</t>
  </si>
  <si>
    <t>Corn Futures</t>
  </si>
  <si>
    <t>ZL Aug14'20 @ECBOT</t>
  </si>
  <si>
    <t>Soybean Oil Futures</t>
  </si>
  <si>
    <t>ZM Aug14'20 @ECBOT</t>
  </si>
  <si>
    <t>Soybean Meal Futures</t>
  </si>
  <si>
    <t>ZR Sep14'20 @ECBOT</t>
  </si>
  <si>
    <t>Rough Rice Futures</t>
  </si>
  <si>
    <t>ZS Aug14'20 @ECBOT</t>
  </si>
  <si>
    <t>Soybean Futures</t>
  </si>
  <si>
    <t>ZW Sep14'20 @ECBOT</t>
  </si>
  <si>
    <t>Wheat Futures</t>
  </si>
  <si>
    <t>Commodity Total</t>
  </si>
  <si>
    <t>BRR Jul31'20 @CMECRYPTO</t>
  </si>
  <si>
    <t>CME CF Bitcoin Reference Rate</t>
  </si>
  <si>
    <t>VIX Jul22'20 @CFE</t>
  </si>
  <si>
    <t>CBOE Volatility Index</t>
  </si>
  <si>
    <t>Others Total</t>
  </si>
  <si>
    <t>Total Percentage</t>
  </si>
  <si>
    <t>LRCX</t>
  </si>
  <si>
    <t>Lam Research Corp</t>
  </si>
  <si>
    <t>SI Jul29'20 @ NYMEX</t>
  </si>
  <si>
    <t>SI Aug27'20 @NYMEX</t>
  </si>
  <si>
    <t>I Aug17'20 @ICEEU</t>
  </si>
  <si>
    <t>VRTX</t>
  </si>
  <si>
    <t>VERTEX PHARMACEUTICALS INC</t>
  </si>
  <si>
    <t>300433</t>
  </si>
  <si>
    <t>LENS TECHNOLOGY CO LTD-A</t>
  </si>
  <si>
    <t>Not fulfilled</t>
  </si>
  <si>
    <t>002791</t>
  </si>
  <si>
    <t>GUANGDONG KINLONG HARDWARE-A</t>
  </si>
  <si>
    <t>300502</t>
  </si>
  <si>
    <t>EOPTOLINK TECHNOLOGY INC L-A</t>
  </si>
  <si>
    <t>SI Aug27'20 @ NYMEX</t>
  </si>
  <si>
    <t>Current NAV</t>
  </si>
  <si>
    <t>Subscription</t>
  </si>
  <si>
    <t>Redemption</t>
  </si>
  <si>
    <t>Final NAV</t>
  </si>
  <si>
    <t>Currency</t>
  </si>
  <si>
    <t>USD.KRW</t>
  </si>
  <si>
    <t>USD.CAD</t>
  </si>
  <si>
    <t>GBP.USD</t>
  </si>
  <si>
    <t>AUD.USD</t>
  </si>
  <si>
    <t>Currency Total</t>
  </si>
  <si>
    <t>NEM</t>
  </si>
  <si>
    <t>NEWMONT GOLDCORP CORP</t>
  </si>
  <si>
    <t>ADVANCED MICRO DEVICES INC</t>
  </si>
  <si>
    <t>SOFR1 Aug31'20 @GLOBEX</t>
  </si>
  <si>
    <t>Secured Overnight Financing Rate 1-month average of rates</t>
  </si>
  <si>
    <t>SOFR3 Jun'20 @GLOBEX</t>
  </si>
  <si>
    <t>Secured Overnight Financing Rate 3-month average of rates</t>
  </si>
  <si>
    <t>Total target value allocation exclude bonds</t>
  </si>
  <si>
    <t>Leverage exclude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</si>
</sst>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/dd/yyyy"/>
    <numFmt numFmtId="165" formatCode="\$#,##0.00"/>
    <numFmt numFmtId="166" formatCode="0.000%"/>
    <numFmt numFmtId="167" formatCode="_(\$* #,##0.00_);_(\$* \(#,##0.00\);_(\$* \-??_);_(@_)"/>
    <numFmt numFmtId="168" formatCode="0.0000%"/>
    <numFmt numFmtId="169" formatCode="\+0;\-0;0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FFC000"/>
        <bgColor rgb="FFFF9900"/>
      </patternFill>
    </fill>
    <fill>
      <patternFill patternType="solid">
        <fgColor rgb="FF1F4E79"/>
        <bgColor rgb="FF003366"/>
      </patternFill>
    </fill>
    <fill>
      <patternFill patternType="solid">
        <fgColor rgb="FFE7E6E6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7" fontId="5" fillId="0" borderId="0" applyBorder="0" applyProtection="0"/>
    <xf numFmtId="9" fontId="5" fillId="0" borderId="0" applyBorder="0" applyProtection="0"/>
  </cellStyleXfs>
  <cellXfs count="260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Border="1" applyAlignment="1"/>
    <xf numFmtId="9" fontId="2" fillId="0" borderId="1" xfId="2" applyFont="1" applyBorder="1" applyAlignment="1" applyProtection="1">
      <alignment wrapText="1"/>
    </xf>
    <xf numFmtId="9" fontId="1" fillId="0" borderId="0" xfId="2" applyFont="1" applyBorder="1" applyAlignment="1" applyProtection="1"/>
    <xf numFmtId="0" fontId="1" fillId="0" borderId="0" xfId="2" applyNumberFormat="1" applyFont="1" applyBorder="1" applyAlignment="1" applyProtection="1"/>
    <xf numFmtId="165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165" fontId="2" fillId="3" borderId="1" xfId="0" applyNumberFormat="1" applyFont="1" applyFill="1" applyBorder="1"/>
    <xf numFmtId="165" fontId="2" fillId="0" borderId="0" xfId="0" applyNumberFormat="1" applyFont="1"/>
    <xf numFmtId="0" fontId="2" fillId="0" borderId="0" xfId="0" applyFont="1"/>
    <xf numFmtId="0" fontId="2" fillId="3" borderId="1" xfId="0" applyFont="1" applyFill="1" applyBorder="1"/>
    <xf numFmtId="166" fontId="1" fillId="0" borderId="0" xfId="0" applyNumberFormat="1" applyFont="1"/>
    <xf numFmtId="165" fontId="2" fillId="0" borderId="1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9" fontId="1" fillId="0" borderId="0" xfId="0" applyNumberFormat="1" applyFont="1"/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/>
    <xf numFmtId="0" fontId="2" fillId="2" borderId="0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8" fontId="1" fillId="0" borderId="0" xfId="0" applyNumberFormat="1" applyFont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68" fontId="1" fillId="2" borderId="1" xfId="2" applyNumberFormat="1" applyFont="1" applyFill="1" applyBorder="1" applyAlignment="1" applyProtection="1">
      <alignment vertical="center" wrapText="1"/>
    </xf>
    <xf numFmtId="165" fontId="1" fillId="2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65" fontId="2" fillId="2" borderId="7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10" fontId="2" fillId="2" borderId="7" xfId="0" applyNumberFormat="1" applyFont="1" applyFill="1" applyBorder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68" fontId="1" fillId="2" borderId="9" xfId="2" applyNumberFormat="1" applyFont="1" applyFill="1" applyBorder="1" applyAlignment="1" applyProtection="1">
      <alignment vertical="center" wrapText="1"/>
    </xf>
    <xf numFmtId="165" fontId="1" fillId="2" borderId="9" xfId="0" applyNumberFormat="1" applyFont="1" applyFill="1" applyBorder="1" applyAlignment="1">
      <alignment vertical="center" wrapText="1"/>
    </xf>
    <xf numFmtId="2" fontId="1" fillId="2" borderId="9" xfId="0" applyNumberFormat="1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165" fontId="2" fillId="2" borderId="10" xfId="0" applyNumberFormat="1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10" fontId="2" fillId="2" borderId="1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9" fontId="1" fillId="2" borderId="0" xfId="2" applyFont="1" applyFill="1" applyBorder="1" applyAlignment="1" applyProtection="1">
      <alignment vertical="center" wrapText="1"/>
    </xf>
    <xf numFmtId="165" fontId="1" fillId="2" borderId="0" xfId="0" applyNumberFormat="1" applyFont="1" applyFill="1" applyBorder="1" applyAlignment="1">
      <alignment vertical="center" wrapText="1"/>
    </xf>
    <xf numFmtId="2" fontId="1" fillId="2" borderId="0" xfId="0" applyNumberFormat="1" applyFont="1" applyFill="1" applyBorder="1" applyAlignment="1">
      <alignment vertical="center" wrapText="1"/>
    </xf>
    <xf numFmtId="10" fontId="1" fillId="2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166" fontId="2" fillId="5" borderId="12" xfId="2" applyNumberFormat="1" applyFont="1" applyFill="1" applyBorder="1" applyAlignment="1" applyProtection="1">
      <alignment vertical="center" wrapText="1"/>
    </xf>
    <xf numFmtId="165" fontId="2" fillId="5" borderId="12" xfId="2" applyNumberFormat="1" applyFont="1" applyFill="1" applyBorder="1" applyAlignment="1" applyProtection="1">
      <alignment vertical="center" wrapText="1"/>
    </xf>
    <xf numFmtId="2" fontId="2" fillId="5" borderId="12" xfId="2" applyNumberFormat="1" applyFont="1" applyFill="1" applyBorder="1" applyAlignment="1" applyProtection="1">
      <alignment vertical="center" wrapText="1"/>
    </xf>
    <xf numFmtId="0" fontId="2" fillId="5" borderId="12" xfId="2" applyNumberFormat="1" applyFont="1" applyFill="1" applyBorder="1" applyAlignment="1" applyProtection="1">
      <alignment vertical="center" wrapText="1"/>
    </xf>
    <xf numFmtId="165" fontId="2" fillId="5" borderId="13" xfId="2" applyNumberFormat="1" applyFont="1" applyFill="1" applyBorder="1" applyAlignment="1" applyProtection="1">
      <alignment vertical="center" wrapText="1"/>
    </xf>
    <xf numFmtId="10" fontId="2" fillId="5" borderId="13" xfId="0" applyNumberFormat="1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0" fontId="2" fillId="2" borderId="0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168" fontId="1" fillId="2" borderId="4" xfId="2" applyNumberFormat="1" applyFont="1" applyFill="1" applyBorder="1" applyAlignment="1" applyProtection="1">
      <alignment vertical="center" wrapText="1"/>
    </xf>
    <xf numFmtId="165" fontId="1" fillId="2" borderId="4" xfId="0" applyNumberFormat="1" applyFont="1" applyFill="1" applyBorder="1" applyAlignment="1">
      <alignment vertical="center" wrapText="1"/>
    </xf>
    <xf numFmtId="2" fontId="1" fillId="2" borderId="4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65" fontId="2" fillId="2" borderId="5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10" fontId="2" fillId="2" borderId="5" xfId="0" applyNumberFormat="1" applyFont="1" applyFill="1" applyBorder="1" applyAlignment="1">
      <alignment vertical="center" wrapText="1"/>
    </xf>
    <xf numFmtId="9" fontId="1" fillId="2" borderId="1" xfId="2" applyFont="1" applyFill="1" applyBorder="1" applyAlignment="1" applyProtection="1">
      <alignment vertical="center" wrapText="1"/>
    </xf>
    <xf numFmtId="165" fontId="1" fillId="2" borderId="7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8" fontId="1" fillId="2" borderId="1" xfId="2" applyNumberFormat="1" applyFont="1" applyFill="1" applyBorder="1" applyAlignment="1" applyProtection="1">
      <alignment wrapText="1"/>
    </xf>
    <xf numFmtId="165" fontId="1" fillId="2" borderId="1" xfId="0" applyNumberFormat="1" applyFont="1" applyFill="1" applyBorder="1" applyAlignment="1">
      <alignment wrapText="1"/>
    </xf>
    <xf numFmtId="2" fontId="1" fillId="2" borderId="1" xfId="0" applyNumberFormat="1" applyFont="1" applyFill="1" applyBorder="1" applyAlignment="1">
      <alignment wrapText="1"/>
    </xf>
    <xf numFmtId="0" fontId="1" fillId="2" borderId="7" xfId="0" applyFont="1" applyFill="1" applyBorder="1"/>
    <xf numFmtId="10" fontId="1" fillId="2" borderId="1" xfId="2" applyNumberFormat="1" applyFont="1" applyFill="1" applyBorder="1" applyAlignment="1" applyProtection="1">
      <alignment wrapText="1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10" fontId="1" fillId="2" borderId="9" xfId="2" applyNumberFormat="1" applyFont="1" applyFill="1" applyBorder="1" applyAlignment="1" applyProtection="1">
      <alignment wrapText="1"/>
    </xf>
    <xf numFmtId="165" fontId="1" fillId="2" borderId="9" xfId="0" applyNumberFormat="1" applyFont="1" applyFill="1" applyBorder="1" applyAlignment="1">
      <alignment wrapText="1"/>
    </xf>
    <xf numFmtId="2" fontId="1" fillId="2" borderId="9" xfId="0" applyNumberFormat="1" applyFont="1" applyFill="1" applyBorder="1" applyAlignment="1">
      <alignment wrapText="1"/>
    </xf>
    <xf numFmtId="0" fontId="1" fillId="2" borderId="10" xfId="0" applyFont="1" applyFill="1" applyBorder="1"/>
    <xf numFmtId="0" fontId="1" fillId="2" borderId="0" xfId="0" applyFont="1" applyFill="1" applyBorder="1" applyAlignment="1">
      <alignment wrapText="1"/>
    </xf>
    <xf numFmtId="9" fontId="1" fillId="2" borderId="0" xfId="2" applyFont="1" applyFill="1" applyBorder="1" applyAlignment="1" applyProtection="1">
      <alignment wrapText="1"/>
    </xf>
    <xf numFmtId="165" fontId="1" fillId="2" borderId="0" xfId="0" applyNumberFormat="1" applyFont="1" applyFill="1" applyBorder="1" applyAlignment="1">
      <alignment wrapText="1"/>
    </xf>
    <xf numFmtId="2" fontId="1" fillId="2" borderId="0" xfId="0" applyNumberFormat="1" applyFont="1" applyFill="1" applyBorder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2" fillId="5" borderId="11" xfId="0" applyFont="1" applyFill="1" applyBorder="1" applyAlignment="1">
      <alignment wrapText="1"/>
    </xf>
    <xf numFmtId="0" fontId="2" fillId="5" borderId="12" xfId="0" applyFont="1" applyFill="1" applyBorder="1" applyAlignment="1">
      <alignment wrapText="1"/>
    </xf>
    <xf numFmtId="10" fontId="2" fillId="5" borderId="12" xfId="2" applyNumberFormat="1" applyFont="1" applyFill="1" applyBorder="1" applyAlignment="1" applyProtection="1">
      <alignment wrapText="1"/>
    </xf>
    <xf numFmtId="165" fontId="2" fillId="5" borderId="12" xfId="2" applyNumberFormat="1" applyFont="1" applyFill="1" applyBorder="1" applyAlignment="1" applyProtection="1">
      <alignment wrapText="1"/>
    </xf>
    <xf numFmtId="165" fontId="2" fillId="5" borderId="12" xfId="0" applyNumberFormat="1" applyFont="1" applyFill="1" applyBorder="1" applyAlignment="1">
      <alignment wrapText="1"/>
    </xf>
    <xf numFmtId="2" fontId="2" fillId="5" borderId="12" xfId="0" applyNumberFormat="1" applyFont="1" applyFill="1" applyBorder="1" applyAlignment="1">
      <alignment wrapText="1"/>
    </xf>
    <xf numFmtId="165" fontId="2" fillId="5" borderId="13" xfId="0" applyNumberFormat="1" applyFont="1" applyFill="1" applyBorder="1" applyAlignment="1">
      <alignment vertical="center" wrapText="1"/>
    </xf>
    <xf numFmtId="10" fontId="2" fillId="5" borderId="13" xfId="0" applyNumberFormat="1" applyFont="1" applyFill="1" applyBorder="1"/>
    <xf numFmtId="0" fontId="2" fillId="5" borderId="13" xfId="0" applyFont="1" applyFill="1" applyBorder="1"/>
    <xf numFmtId="10" fontId="2" fillId="5" borderId="12" xfId="2" applyNumberFormat="1" applyFont="1" applyFill="1" applyBorder="1" applyAlignment="1" applyProtection="1">
      <alignment vertical="center" wrapText="1"/>
    </xf>
    <xf numFmtId="165" fontId="2" fillId="5" borderId="12" xfId="0" applyNumberFormat="1" applyFont="1" applyFill="1" applyBorder="1" applyAlignment="1">
      <alignment vertical="center" wrapText="1"/>
    </xf>
    <xf numFmtId="2" fontId="2" fillId="5" borderId="12" xfId="0" applyNumberFormat="1" applyFont="1" applyFill="1" applyBorder="1" applyAlignment="1">
      <alignment vertical="center" wrapText="1"/>
    </xf>
    <xf numFmtId="165" fontId="2" fillId="2" borderId="4" xfId="0" applyNumberFormat="1" applyFont="1" applyFill="1" applyBorder="1" applyAlignment="1">
      <alignment vertical="center" wrapText="1"/>
    </xf>
    <xf numFmtId="2" fontId="2" fillId="2" borderId="4" xfId="0" applyNumberFormat="1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10" fontId="1" fillId="2" borderId="1" xfId="2" applyNumberFormat="1" applyFont="1" applyFill="1" applyBorder="1" applyAlignment="1" applyProtection="1">
      <alignment vertical="center" wrapText="1"/>
    </xf>
    <xf numFmtId="10" fontId="1" fillId="2" borderId="9" xfId="2" applyNumberFormat="1" applyFont="1" applyFill="1" applyBorder="1" applyAlignment="1" applyProtection="1">
      <alignment vertical="center" wrapText="1"/>
    </xf>
    <xf numFmtId="165" fontId="2" fillId="5" borderId="11" xfId="0" applyNumberFormat="1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9" fontId="1" fillId="2" borderId="4" xfId="2" applyFont="1" applyFill="1" applyBorder="1" applyAlignment="1" applyProtection="1">
      <alignment wrapText="1"/>
    </xf>
    <xf numFmtId="165" fontId="1" fillId="2" borderId="4" xfId="0" applyNumberFormat="1" applyFont="1" applyFill="1" applyBorder="1" applyAlignment="1">
      <alignment wrapText="1"/>
    </xf>
    <xf numFmtId="2" fontId="1" fillId="2" borderId="4" xfId="0" applyNumberFormat="1" applyFont="1" applyFill="1" applyBorder="1" applyAlignment="1">
      <alignment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1" fillId="2" borderId="1" xfId="0" applyFont="1" applyFill="1" applyBorder="1"/>
    <xf numFmtId="9" fontId="1" fillId="2" borderId="1" xfId="2" applyFont="1" applyFill="1" applyBorder="1" applyAlignment="1" applyProtection="1"/>
    <xf numFmtId="2" fontId="1" fillId="2" borderId="1" xfId="0" applyNumberFormat="1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9" fontId="1" fillId="2" borderId="9" xfId="2" applyFont="1" applyFill="1" applyBorder="1" applyAlignment="1" applyProtection="1"/>
    <xf numFmtId="2" fontId="1" fillId="2" borderId="9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Border="1"/>
    <xf numFmtId="0" fontId="4" fillId="0" borderId="2" xfId="0" applyFont="1" applyBorder="1"/>
    <xf numFmtId="0" fontId="1" fillId="0" borderId="2" xfId="0" applyFont="1" applyBorder="1"/>
    <xf numFmtId="10" fontId="2" fillId="3" borderId="1" xfId="0" applyNumberFormat="1" applyFont="1" applyFill="1" applyBorder="1"/>
    <xf numFmtId="168" fontId="2" fillId="2" borderId="7" xfId="0" applyNumberFormat="1" applyFont="1" applyFill="1" applyBorder="1" applyAlignment="1">
      <alignment vertical="center" wrapText="1"/>
    </xf>
    <xf numFmtId="168" fontId="2" fillId="2" borderId="10" xfId="0" applyNumberFormat="1" applyFont="1" applyFill="1" applyBorder="1" applyAlignment="1">
      <alignment vertical="center" wrapText="1"/>
    </xf>
    <xf numFmtId="168" fontId="1" fillId="2" borderId="7" xfId="0" applyNumberFormat="1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168" fontId="1" fillId="2" borderId="0" xfId="0" applyNumberFormat="1" applyFont="1" applyFill="1" applyBorder="1" applyAlignment="1">
      <alignment vertical="center" wrapText="1"/>
    </xf>
    <xf numFmtId="168" fontId="2" fillId="5" borderId="13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8" fontId="2" fillId="2" borderId="5" xfId="0" applyNumberFormat="1" applyFont="1" applyFill="1" applyBorder="1" applyAlignment="1">
      <alignment vertical="center" wrapText="1"/>
    </xf>
    <xf numFmtId="168" fontId="1" fillId="2" borderId="9" xfId="2" applyNumberFormat="1" applyFont="1" applyFill="1" applyBorder="1" applyAlignment="1" applyProtection="1">
      <alignment wrapText="1"/>
    </xf>
    <xf numFmtId="168" fontId="2" fillId="5" borderId="13" xfId="0" applyNumberFormat="1" applyFont="1" applyFill="1" applyBorder="1"/>
    <xf numFmtId="169" fontId="0" fillId="0" borderId="0" xfId="0" applyNumberFormat="1"/>
    <xf numFmtId="2" fontId="2" fillId="0" borderId="1" xfId="0" applyNumberFormat="1" applyFont="1" applyBorder="1"/>
    <xf numFmtId="4" fontId="2" fillId="2" borderId="0" xfId="0" applyNumberFormat="1" applyFont="1" applyFill="1" applyBorder="1" applyAlignment="1">
      <alignment horizontal="left"/>
    </xf>
    <xf numFmtId="0" fontId="2" fillId="5" borderId="6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169" fontId="2" fillId="5" borderId="1" xfId="0" applyNumberFormat="1" applyFont="1" applyFill="1" applyBorder="1" applyAlignment="1">
      <alignment wrapText="1"/>
    </xf>
    <xf numFmtId="165" fontId="2" fillId="5" borderId="7" xfId="0" applyNumberFormat="1" applyFont="1" applyFill="1" applyBorder="1" applyAlignment="1">
      <alignment wrapText="1"/>
    </xf>
    <xf numFmtId="168" fontId="2" fillId="5" borderId="7" xfId="0" applyNumberFormat="1" applyFont="1" applyFill="1" applyBorder="1" applyAlignment="1">
      <alignment vertical="center" wrapText="1"/>
    </xf>
    <xf numFmtId="0" fontId="2" fillId="5" borderId="7" xfId="0" applyFont="1" applyFill="1" applyBorder="1" applyAlignment="1">
      <alignment wrapText="1"/>
    </xf>
    <xf numFmtId="169" fontId="2" fillId="2" borderId="1" xfId="0" applyNumberFormat="1" applyFont="1" applyFill="1" applyBorder="1" applyAlignment="1">
      <alignment vertical="center" wrapText="1"/>
    </xf>
    <xf numFmtId="2" fontId="2" fillId="2" borderId="9" xfId="0" applyNumberFormat="1" applyFont="1" applyFill="1" applyBorder="1" applyAlignment="1">
      <alignment vertical="center" wrapText="1"/>
    </xf>
    <xf numFmtId="169" fontId="2" fillId="2" borderId="9" xfId="0" applyNumberFormat="1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168" fontId="1" fillId="2" borderId="0" xfId="2" applyNumberFormat="1" applyFont="1" applyFill="1" applyBorder="1" applyAlignment="1" applyProtection="1">
      <alignment vertical="center" wrapText="1"/>
    </xf>
    <xf numFmtId="169" fontId="2" fillId="2" borderId="0" xfId="0" applyNumberFormat="1" applyFont="1" applyFill="1" applyBorder="1" applyAlignment="1">
      <alignment vertical="center" wrapText="1"/>
    </xf>
    <xf numFmtId="165" fontId="2" fillId="2" borderId="0" xfId="0" applyNumberFormat="1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168" fontId="1" fillId="2" borderId="12" xfId="2" applyNumberFormat="1" applyFont="1" applyFill="1" applyBorder="1" applyAlignment="1" applyProtection="1">
      <alignment vertical="center" wrapText="1"/>
    </xf>
    <xf numFmtId="165" fontId="1" fillId="2" borderId="12" xfId="0" applyNumberFormat="1" applyFont="1" applyFill="1" applyBorder="1" applyAlignment="1">
      <alignment vertical="center" wrapText="1"/>
    </xf>
    <xf numFmtId="2" fontId="1" fillId="2" borderId="12" xfId="0" applyNumberFormat="1" applyFont="1" applyFill="1" applyBorder="1" applyAlignment="1">
      <alignment vertical="center" wrapText="1"/>
    </xf>
    <xf numFmtId="169" fontId="2" fillId="2" borderId="12" xfId="0" applyNumberFormat="1" applyFont="1" applyFill="1" applyBorder="1" applyAlignment="1">
      <alignment vertical="center" wrapText="1"/>
    </xf>
    <xf numFmtId="165" fontId="2" fillId="2" borderId="12" xfId="0" applyNumberFormat="1" applyFont="1" applyFill="1" applyBorder="1" applyAlignment="1">
      <alignment vertical="center" wrapText="1"/>
    </xf>
    <xf numFmtId="168" fontId="2" fillId="2" borderId="13" xfId="0" applyNumberFormat="1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168" fontId="1" fillId="2" borderId="11" xfId="2" applyNumberFormat="1" applyFont="1" applyFill="1" applyBorder="1" applyAlignment="1" applyProtection="1">
      <alignment vertical="center" wrapText="1"/>
    </xf>
    <xf numFmtId="165" fontId="1" fillId="2" borderId="11" xfId="0" applyNumberFormat="1" applyFont="1" applyFill="1" applyBorder="1" applyAlignment="1">
      <alignment vertical="center" wrapText="1"/>
    </xf>
    <xf numFmtId="2" fontId="1" fillId="2" borderId="11" xfId="0" applyNumberFormat="1" applyFont="1" applyFill="1" applyBorder="1" applyAlignment="1">
      <alignment vertical="center" wrapText="1"/>
    </xf>
    <xf numFmtId="169" fontId="2" fillId="2" borderId="11" xfId="0" applyNumberFormat="1" applyFont="1" applyFill="1" applyBorder="1" applyAlignment="1">
      <alignment vertical="center" wrapText="1"/>
    </xf>
    <xf numFmtId="165" fontId="2" fillId="2" borderId="11" xfId="0" applyNumberFormat="1" applyFont="1" applyFill="1" applyBorder="1" applyAlignment="1">
      <alignment vertical="center" wrapText="1"/>
    </xf>
    <xf numFmtId="168" fontId="2" fillId="2" borderId="11" xfId="0" applyNumberFormat="1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168" fontId="1" fillId="2" borderId="12" xfId="2" applyNumberFormat="1" applyFont="1" applyFill="1" applyBorder="1" applyAlignment="1" applyProtection="1">
      <alignment wrapText="1"/>
    </xf>
    <xf numFmtId="2" fontId="1" fillId="2" borderId="12" xfId="0" applyNumberFormat="1" applyFont="1" applyFill="1" applyBorder="1" applyAlignment="1">
      <alignment wrapText="1"/>
    </xf>
    <xf numFmtId="0" fontId="1" fillId="2" borderId="13" xfId="0" applyFont="1" applyFill="1" applyBorder="1"/>
    <xf numFmtId="168" fontId="1" fillId="2" borderId="0" xfId="2" applyNumberFormat="1" applyFont="1" applyFill="1" applyBorder="1" applyAlignment="1" applyProtection="1">
      <alignment wrapText="1"/>
    </xf>
    <xf numFmtId="168" fontId="1" fillId="2" borderId="4" xfId="2" applyNumberFormat="1" applyFont="1" applyFill="1" applyBorder="1" applyAlignment="1" applyProtection="1">
      <alignment wrapText="1"/>
    </xf>
    <xf numFmtId="0" fontId="2" fillId="5" borderId="6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vertical="center" wrapText="1"/>
    </xf>
    <xf numFmtId="2" fontId="2" fillId="5" borderId="1" xfId="0" applyNumberFormat="1" applyFont="1" applyFill="1" applyBorder="1" applyAlignment="1">
      <alignment vertical="center" wrapText="1"/>
    </xf>
    <xf numFmtId="169" fontId="2" fillId="5" borderId="1" xfId="0" applyNumberFormat="1" applyFont="1" applyFill="1" applyBorder="1" applyAlignment="1">
      <alignment vertical="center" wrapText="1"/>
    </xf>
    <xf numFmtId="165" fontId="2" fillId="5" borderId="7" xfId="0" applyNumberFormat="1" applyFont="1" applyFill="1" applyBorder="1" applyAlignment="1">
      <alignment vertical="center" wrapText="1"/>
    </xf>
    <xf numFmtId="10" fontId="2" fillId="5" borderId="7" xfId="0" applyNumberFormat="1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10" fontId="2" fillId="5" borderId="1" xfId="2" applyNumberFormat="1" applyFont="1" applyFill="1" applyBorder="1" applyAlignment="1" applyProtection="1">
      <alignment vertical="center" wrapText="1"/>
    </xf>
    <xf numFmtId="165" fontId="2" fillId="5" borderId="4" xfId="2" applyNumberFormat="1" applyFont="1" applyFill="1" applyBorder="1" applyAlignment="1" applyProtection="1">
      <alignment vertical="center" wrapText="1"/>
    </xf>
    <xf numFmtId="165" fontId="2" fillId="5" borderId="7" xfId="2" applyNumberFormat="1" applyFont="1" applyFill="1" applyBorder="1" applyAlignment="1" applyProtection="1">
      <alignment vertical="center" wrapText="1"/>
    </xf>
    <xf numFmtId="166" fontId="2" fillId="5" borderId="1" xfId="2" applyNumberFormat="1" applyFont="1" applyFill="1" applyBorder="1" applyAlignment="1" applyProtection="1">
      <alignment vertical="center" wrapText="1"/>
    </xf>
    <xf numFmtId="2" fontId="2" fillId="5" borderId="1" xfId="2" applyNumberFormat="1" applyFont="1" applyFill="1" applyBorder="1" applyAlignment="1" applyProtection="1">
      <alignment vertical="center" wrapText="1"/>
    </xf>
    <xf numFmtId="0" fontId="2" fillId="5" borderId="1" xfId="2" applyNumberFormat="1" applyFont="1" applyFill="1" applyBorder="1" applyAlignment="1" applyProtection="1">
      <alignment vertical="center" wrapText="1"/>
    </xf>
    <xf numFmtId="169" fontId="2" fillId="5" borderId="1" xfId="2" applyNumberFormat="1" applyFont="1" applyFill="1" applyBorder="1" applyAlignment="1" applyProtection="1">
      <alignment vertical="center" wrapText="1"/>
    </xf>
    <xf numFmtId="10" fontId="2" fillId="5" borderId="1" xfId="2" applyNumberFormat="1" applyFont="1" applyFill="1" applyBorder="1" applyAlignment="1" applyProtection="1">
      <alignment wrapText="1"/>
    </xf>
    <xf numFmtId="165" fontId="2" fillId="5" borderId="4" xfId="2" applyNumberFormat="1" applyFont="1" applyFill="1" applyBorder="1" applyAlignment="1" applyProtection="1">
      <alignment wrapText="1"/>
    </xf>
    <xf numFmtId="2" fontId="2" fillId="5" borderId="1" xfId="0" applyNumberFormat="1" applyFont="1" applyFill="1" applyBorder="1" applyAlignment="1">
      <alignment wrapText="1"/>
    </xf>
    <xf numFmtId="165" fontId="2" fillId="5" borderId="7" xfId="2" applyNumberFormat="1" applyFont="1" applyFill="1" applyBorder="1" applyAlignment="1" applyProtection="1">
      <alignment wrapText="1"/>
    </xf>
    <xf numFmtId="168" fontId="2" fillId="5" borderId="7" xfId="0" applyNumberFormat="1" applyFont="1" applyFill="1" applyBorder="1"/>
    <xf numFmtId="0" fontId="2" fillId="5" borderId="7" xfId="0" applyFont="1" applyFill="1" applyBorder="1"/>
    <xf numFmtId="169" fontId="1" fillId="2" borderId="1" xfId="0" applyNumberFormat="1" applyFont="1" applyFill="1" applyBorder="1" applyAlignment="1">
      <alignment vertical="center" wrapText="1"/>
    </xf>
    <xf numFmtId="9" fontId="1" fillId="2" borderId="9" xfId="2" applyFont="1" applyFill="1" applyBorder="1" applyAlignment="1" applyProtection="1">
      <alignment vertical="center" wrapText="1"/>
    </xf>
    <xf numFmtId="0" fontId="1" fillId="2" borderId="10" xfId="0" applyFont="1" applyFill="1" applyBorder="1" applyAlignment="1">
      <alignment vertical="center" wrapText="1"/>
    </xf>
    <xf numFmtId="169" fontId="1" fillId="2" borderId="0" xfId="0" applyNumberFormat="1" applyFont="1" applyFill="1" applyBorder="1" applyAlignment="1">
      <alignment vertical="center" wrapText="1"/>
    </xf>
    <xf numFmtId="9" fontId="1" fillId="2" borderId="12" xfId="2" applyFont="1" applyFill="1" applyBorder="1" applyAlignment="1" applyProtection="1">
      <alignment wrapText="1"/>
    </xf>
    <xf numFmtId="165" fontId="1" fillId="2" borderId="12" xfId="0" applyNumberFormat="1" applyFont="1" applyFill="1" applyBorder="1" applyAlignment="1">
      <alignment wrapText="1"/>
    </xf>
    <xf numFmtId="169" fontId="1" fillId="2" borderId="12" xfId="0" applyNumberFormat="1" applyFont="1" applyFill="1" applyBorder="1" applyAlignment="1">
      <alignment vertical="center" wrapText="1"/>
    </xf>
    <xf numFmtId="168" fontId="1" fillId="2" borderId="13" xfId="0" applyNumberFormat="1" applyFont="1" applyFill="1" applyBorder="1" applyAlignment="1">
      <alignment vertical="center" wrapText="1"/>
    </xf>
    <xf numFmtId="9" fontId="1" fillId="2" borderId="11" xfId="2" applyFont="1" applyFill="1" applyBorder="1" applyAlignment="1" applyProtection="1">
      <alignment vertical="center" wrapText="1"/>
    </xf>
    <xf numFmtId="2" fontId="1" fillId="2" borderId="11" xfId="0" applyNumberFormat="1" applyFont="1" applyFill="1" applyBorder="1" applyAlignment="1">
      <alignment wrapText="1"/>
    </xf>
    <xf numFmtId="169" fontId="1" fillId="2" borderId="11" xfId="0" applyNumberFormat="1" applyFont="1" applyFill="1" applyBorder="1" applyAlignment="1">
      <alignment vertical="center" wrapText="1"/>
    </xf>
    <xf numFmtId="0" fontId="1" fillId="2" borderId="12" xfId="0" applyFont="1" applyFill="1" applyBorder="1"/>
    <xf numFmtId="169" fontId="1" fillId="2" borderId="4" xfId="0" applyNumberFormat="1" applyFont="1" applyFill="1" applyBorder="1" applyAlignment="1">
      <alignment vertical="center" wrapText="1"/>
    </xf>
    <xf numFmtId="165" fontId="1" fillId="2" borderId="5" xfId="0" applyNumberFormat="1" applyFont="1" applyFill="1" applyBorder="1" applyAlignment="1">
      <alignment vertical="center" wrapText="1"/>
    </xf>
    <xf numFmtId="169" fontId="1" fillId="2" borderId="1" xfId="0" applyNumberFormat="1" applyFont="1" applyFill="1" applyBorder="1"/>
    <xf numFmtId="165" fontId="1" fillId="2" borderId="7" xfId="0" applyNumberFormat="1" applyFont="1" applyFill="1" applyBorder="1"/>
    <xf numFmtId="169" fontId="1" fillId="2" borderId="9" xfId="0" applyNumberFormat="1" applyFont="1" applyFill="1" applyBorder="1"/>
    <xf numFmtId="165" fontId="1" fillId="2" borderId="10" xfId="0" applyNumberFormat="1" applyFont="1" applyFill="1" applyBorder="1"/>
    <xf numFmtId="169" fontId="1" fillId="0" borderId="0" xfId="0" applyNumberFormat="1" applyFont="1"/>
    <xf numFmtId="168" fontId="2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168" fontId="1" fillId="2" borderId="1" xfId="0" applyNumberFormat="1" applyFont="1" applyFill="1" applyBorder="1" applyAlignment="1">
      <alignment vertical="center" wrapText="1"/>
    </xf>
    <xf numFmtId="10" fontId="2" fillId="5" borderId="1" xfId="0" applyNumberFormat="1" applyFont="1" applyFill="1" applyBorder="1" applyAlignment="1">
      <alignment vertical="center" wrapText="1"/>
    </xf>
    <xf numFmtId="165" fontId="2" fillId="5" borderId="1" xfId="2" applyNumberFormat="1" applyFont="1" applyFill="1" applyBorder="1" applyAlignment="1" applyProtection="1">
      <alignment vertical="center" wrapText="1"/>
    </xf>
    <xf numFmtId="168" fontId="2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68" fontId="1" fillId="5" borderId="1" xfId="2" applyNumberFormat="1" applyFont="1" applyFill="1" applyBorder="1" applyAlignment="1" applyProtection="1">
      <alignment vertical="center" wrapText="1"/>
    </xf>
    <xf numFmtId="165" fontId="1" fillId="5" borderId="1" xfId="0" applyNumberFormat="1" applyFont="1" applyFill="1" applyBorder="1" applyAlignment="1">
      <alignment vertical="center" wrapText="1"/>
    </xf>
    <xf numFmtId="2" fontId="1" fillId="5" borderId="1" xfId="0" applyNumberFormat="1" applyFont="1" applyFill="1" applyBorder="1" applyAlignment="1">
      <alignment vertical="center" wrapText="1"/>
    </xf>
    <xf numFmtId="165" fontId="2" fillId="5" borderId="1" xfId="2" applyNumberFormat="1" applyFont="1" applyFill="1" applyBorder="1" applyAlignment="1" applyProtection="1">
      <alignment wrapText="1"/>
    </xf>
    <xf numFmtId="168" fontId="2" fillId="5" borderId="1" xfId="0" applyNumberFormat="1" applyFont="1" applyFill="1" applyBorder="1"/>
    <xf numFmtId="0" fontId="2" fillId="5" borderId="1" xfId="0" applyFont="1" applyFill="1" applyBorder="1"/>
    <xf numFmtId="165" fontId="2" fillId="5" borderId="1" xfId="0" applyNumberFormat="1" applyFont="1" applyFill="1" applyBorder="1" applyAlignment="1">
      <alignment wrapText="1"/>
    </xf>
    <xf numFmtId="9" fontId="1" fillId="2" borderId="1" xfId="2" applyFont="1" applyFill="1" applyBorder="1" applyAlignment="1" applyProtection="1">
      <alignment wrapText="1"/>
    </xf>
    <xf numFmtId="0" fontId="0" fillId="0" borderId="1" xfId="0" applyFont="1" applyBorder="1"/>
    <xf numFmtId="165" fontId="1" fillId="2" borderId="1" xfId="0" applyNumberFormat="1" applyFont="1" applyFill="1" applyBorder="1"/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8" fontId="3" fillId="0" borderId="0" xfId="0" applyNumberFormat="1" applyFont="1" applyAlignment="1">
      <alignment vertical="center" wrapText="1"/>
    </xf>
    <xf numFmtId="0" fontId="3" fillId="0" borderId="0" xfId="0" applyFont="1"/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vertical="center" wrapText="1"/>
    </xf>
    <xf numFmtId="0" fontId="2" fillId="0" borderId="2" xfId="0" applyFont="1" applyBorder="1" applyAlignment="1"/>
    <xf numFmtId="165" fontId="2" fillId="0" borderId="2" xfId="1" applyNumberFormat="1" applyFont="1" applyBorder="1" applyAlignment="1" applyProtection="1"/>
    <xf numFmtId="0" fontId="6" fillId="7" borderId="6" xfId="0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828720</xdr:colOff>
      <xdr:row>0</xdr:row>
      <xdr:rowOff>9360</xdr:rowOff>
    </xdr:from>
    <xdr:to>
      <xdr:col>9</xdr:col>
      <xdr:colOff>726840</xdr:colOff>
      <xdr:row>3</xdr:row>
      <xdr:rowOff>41400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287200" y="9360"/>
          <a:ext cx="3132720" cy="7365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6:N110" totalsRowShown="0">
  <autoFilter ref="B6:N110"/>
  <tableColumns count="13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Price"/>
    <tableColumn id="11" name="Current Value Allocation"/>
    <tableColumn id="12" name="Current Allocation Percentage"/>
    <tableColumn id="13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6:M104" totalsRowShown="0">
  <autoFilter ref="B6:M104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5:M103" totalsRowShown="0">
  <autoFilter ref="B5:M103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138" displayName="Table138" ref="B6:M104" totalsRowShown="0">
  <autoFilter ref="B6:M104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1389" displayName="Table1389" ref="B6:M87" totalsRowShown="0">
  <autoFilter ref="B6:M87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13895" displayName="Table13895" ref="B8:M90" totalsRowShown="0">
  <autoFilter ref="B8:M90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138958" displayName="Table138958" ref="B8:M82" totalsRowShown="0">
  <autoFilter ref="B8:M82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selection activeCell="F24" sqref="F24"/>
    </sheetView>
  </sheetViews>
  <sheetFormatPr defaultColWidth="8.7109375" defaultRowHeight="15" x14ac:dyDescent="0.25"/>
  <cols>
    <col min="3" max="3" width="9.140625" customWidth="1"/>
    <col min="7" max="7" width="12.42578125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3" x14ac:dyDescent="0.25">
      <c r="A2" s="1">
        <v>-1715</v>
      </c>
      <c r="B2" t="s">
        <v>0</v>
      </c>
      <c r="C2" t="s">
        <v>23</v>
      </c>
      <c r="D2" t="s">
        <v>24</v>
      </c>
      <c r="E2" t="s">
        <v>25</v>
      </c>
      <c r="F2" s="1">
        <v>1021</v>
      </c>
      <c r="G2" s="1">
        <v>377464</v>
      </c>
      <c r="H2">
        <v>364.017</v>
      </c>
      <c r="I2">
        <v>369.7</v>
      </c>
      <c r="J2" s="1">
        <v>5803</v>
      </c>
      <c r="K2">
        <v>-4.5236684797242896E-3</v>
      </c>
      <c r="M2">
        <f t="shared" ref="M2:M37" si="0">G2/F2</f>
        <v>369.70029382957887</v>
      </c>
    </row>
    <row r="3" spans="1:13" x14ac:dyDescent="0.25">
      <c r="A3" s="1">
        <v>2763</v>
      </c>
      <c r="B3" t="s">
        <v>3</v>
      </c>
      <c r="C3" t="s">
        <v>26</v>
      </c>
      <c r="D3" t="s">
        <v>24</v>
      </c>
      <c r="E3" t="s">
        <v>25</v>
      </c>
      <c r="F3">
        <v>924</v>
      </c>
      <c r="G3" s="1">
        <v>390852</v>
      </c>
      <c r="H3">
        <v>398.60399999999998</v>
      </c>
      <c r="I3">
        <v>423</v>
      </c>
      <c r="J3" s="1">
        <v>22543</v>
      </c>
      <c r="K3">
        <v>7.1188781219494899E-3</v>
      </c>
      <c r="M3">
        <f t="shared" si="0"/>
        <v>423</v>
      </c>
    </row>
    <row r="4" spans="1:13" x14ac:dyDescent="0.25">
      <c r="A4" s="1">
        <v>10663</v>
      </c>
      <c r="B4" t="s">
        <v>5</v>
      </c>
      <c r="C4" t="s">
        <v>27</v>
      </c>
      <c r="D4" t="s">
        <v>24</v>
      </c>
      <c r="E4" t="s">
        <v>25</v>
      </c>
      <c r="F4" s="1">
        <v>71085</v>
      </c>
      <c r="G4" s="1">
        <v>1291614</v>
      </c>
      <c r="H4">
        <v>17.029</v>
      </c>
      <c r="I4">
        <v>18.170000000000002</v>
      </c>
      <c r="J4" s="1">
        <v>81154</v>
      </c>
      <c r="K4">
        <v>8.3240843507215393E-3</v>
      </c>
      <c r="M4">
        <f t="shared" si="0"/>
        <v>18.169993669550539</v>
      </c>
    </row>
    <row r="5" spans="1:13" x14ac:dyDescent="0.25">
      <c r="A5" s="1">
        <v>2026</v>
      </c>
      <c r="B5" t="s">
        <v>6</v>
      </c>
      <c r="C5" t="s">
        <v>28</v>
      </c>
      <c r="D5" t="s">
        <v>24</v>
      </c>
      <c r="E5" t="s">
        <v>25</v>
      </c>
      <c r="F5" s="1">
        <v>6330</v>
      </c>
      <c r="G5" s="1">
        <v>385117</v>
      </c>
      <c r="H5">
        <v>60.12</v>
      </c>
      <c r="I5">
        <v>60.84</v>
      </c>
      <c r="J5" s="1">
        <v>4559</v>
      </c>
      <c r="K5">
        <v>5.2875082617316596E-3</v>
      </c>
      <c r="M5">
        <f t="shared" si="0"/>
        <v>60.839968404423381</v>
      </c>
    </row>
    <row r="6" spans="1:13" x14ac:dyDescent="0.25">
      <c r="A6" s="1">
        <v>-6097</v>
      </c>
      <c r="B6" t="s">
        <v>29</v>
      </c>
      <c r="C6" t="s">
        <v>30</v>
      </c>
      <c r="D6" t="s">
        <v>24</v>
      </c>
      <c r="E6" t="s">
        <v>25</v>
      </c>
      <c r="F6">
        <v>860</v>
      </c>
      <c r="G6" s="1">
        <v>385564</v>
      </c>
      <c r="H6">
        <v>474.14499999999998</v>
      </c>
      <c r="I6">
        <v>448.33</v>
      </c>
      <c r="J6" s="1">
        <v>-22200</v>
      </c>
      <c r="K6">
        <v>-1.5568047077423101E-2</v>
      </c>
      <c r="M6">
        <f t="shared" si="0"/>
        <v>448.33023255813953</v>
      </c>
    </row>
    <row r="7" spans="1:13" x14ac:dyDescent="0.25">
      <c r="A7">
        <v>810</v>
      </c>
      <c r="B7" t="s">
        <v>7</v>
      </c>
      <c r="C7" t="s">
        <v>31</v>
      </c>
      <c r="D7" t="s">
        <v>24</v>
      </c>
      <c r="E7" t="s">
        <v>25</v>
      </c>
      <c r="F7">
        <v>964</v>
      </c>
      <c r="G7" s="1">
        <v>391413</v>
      </c>
      <c r="H7">
        <v>289.94499999999999</v>
      </c>
      <c r="I7">
        <v>406.03</v>
      </c>
      <c r="J7" s="1">
        <v>111906</v>
      </c>
      <c r="K7">
        <v>2.0731015079346201E-3</v>
      </c>
      <c r="M7">
        <f t="shared" si="0"/>
        <v>406.03008298755185</v>
      </c>
    </row>
    <row r="8" spans="1:13" x14ac:dyDescent="0.25">
      <c r="A8" s="1">
        <v>-3967</v>
      </c>
      <c r="B8" t="s">
        <v>32</v>
      </c>
      <c r="C8" t="s">
        <v>33</v>
      </c>
      <c r="D8" t="s">
        <v>24</v>
      </c>
      <c r="E8" t="s">
        <v>25</v>
      </c>
      <c r="F8" s="1">
        <v>2110</v>
      </c>
      <c r="G8" s="1">
        <v>384526</v>
      </c>
      <c r="H8">
        <v>187.08699999999999</v>
      </c>
      <c r="I8">
        <v>182.24</v>
      </c>
      <c r="J8" s="1">
        <v>-10226</v>
      </c>
      <c r="K8">
        <v>-1.0210732131218699E-2</v>
      </c>
      <c r="M8">
        <f t="shared" si="0"/>
        <v>182.23981042654029</v>
      </c>
    </row>
    <row r="9" spans="1:13" x14ac:dyDescent="0.25">
      <c r="A9" s="1">
        <v>-9354</v>
      </c>
      <c r="B9" t="s">
        <v>8</v>
      </c>
      <c r="C9" t="s">
        <v>34</v>
      </c>
      <c r="D9" t="s">
        <v>24</v>
      </c>
      <c r="E9" t="s">
        <v>25</v>
      </c>
      <c r="F9">
        <v>611</v>
      </c>
      <c r="G9" s="1">
        <v>375765</v>
      </c>
      <c r="H9">
        <v>524.82600000000002</v>
      </c>
      <c r="I9">
        <v>615</v>
      </c>
      <c r="J9" s="1">
        <v>55097</v>
      </c>
      <c r="K9">
        <v>-2.42896352588409E-2</v>
      </c>
      <c r="M9">
        <f t="shared" si="0"/>
        <v>615</v>
      </c>
    </row>
    <row r="10" spans="1:13" x14ac:dyDescent="0.25">
      <c r="A10" s="1">
        <v>-8828</v>
      </c>
      <c r="B10" t="s">
        <v>9</v>
      </c>
      <c r="C10" t="s">
        <v>35</v>
      </c>
      <c r="D10" t="s">
        <v>24</v>
      </c>
      <c r="E10" t="s">
        <v>25</v>
      </c>
      <c r="F10" s="1">
        <v>2161</v>
      </c>
      <c r="G10" s="1">
        <v>364809</v>
      </c>
      <c r="H10">
        <v>122.968</v>
      </c>
      <c r="I10">
        <v>168.82</v>
      </c>
      <c r="J10" s="1">
        <v>99076</v>
      </c>
      <c r="K10">
        <v>-2.3597455176402601E-2</v>
      </c>
      <c r="M10">
        <f t="shared" si="0"/>
        <v>168.8149005090236</v>
      </c>
    </row>
    <row r="11" spans="1:13" x14ac:dyDescent="0.25">
      <c r="A11" s="1">
        <v>-28989</v>
      </c>
      <c r="B11" t="s">
        <v>10</v>
      </c>
      <c r="C11" t="s">
        <v>36</v>
      </c>
      <c r="D11" t="s">
        <v>24</v>
      </c>
      <c r="E11" t="s">
        <v>25</v>
      </c>
      <c r="F11">
        <v>261</v>
      </c>
      <c r="G11" s="1">
        <v>365922</v>
      </c>
      <c r="H11">
        <v>703.97699999999998</v>
      </c>
      <c r="I11">
        <v>1402</v>
      </c>
      <c r="J11" s="1">
        <v>182184</v>
      </c>
      <c r="K11">
        <v>-7.3407046600619794E-2</v>
      </c>
      <c r="M11">
        <f t="shared" si="0"/>
        <v>1402</v>
      </c>
    </row>
    <row r="12" spans="1:13" x14ac:dyDescent="0.25">
      <c r="A12">
        <v>956</v>
      </c>
      <c r="B12" t="s">
        <v>37</v>
      </c>
      <c r="C12" t="s">
        <v>38</v>
      </c>
      <c r="D12" t="s">
        <v>24</v>
      </c>
      <c r="E12" t="s">
        <v>25</v>
      </c>
      <c r="F12" s="1">
        <v>1593</v>
      </c>
      <c r="G12" s="1">
        <v>418417</v>
      </c>
      <c r="H12">
        <v>250.03299999999999</v>
      </c>
      <c r="I12">
        <v>262.66000000000003</v>
      </c>
      <c r="J12" s="1">
        <v>20115</v>
      </c>
      <c r="K12">
        <v>2.2895520109899301E-3</v>
      </c>
      <c r="M12">
        <f t="shared" si="0"/>
        <v>262.6597614563716</v>
      </c>
    </row>
    <row r="13" spans="1:13" x14ac:dyDescent="0.25">
      <c r="A13">
        <v>31</v>
      </c>
      <c r="B13" t="s">
        <v>39</v>
      </c>
      <c r="C13" t="s">
        <v>40</v>
      </c>
      <c r="D13" t="s">
        <v>41</v>
      </c>
      <c r="E13" t="s">
        <v>42</v>
      </c>
      <c r="F13">
        <v>6</v>
      </c>
      <c r="G13" s="1">
        <v>563263</v>
      </c>
      <c r="H13">
        <v>112.072</v>
      </c>
      <c r="I13">
        <v>112.23</v>
      </c>
      <c r="J13">
        <v>777</v>
      </c>
      <c r="K13">
        <v>8.9110000000000006E-5</v>
      </c>
      <c r="M13">
        <f t="shared" si="0"/>
        <v>93877.166666666672</v>
      </c>
    </row>
    <row r="14" spans="1:13" x14ac:dyDescent="0.25">
      <c r="A14">
        <v>-39</v>
      </c>
      <c r="B14" t="s">
        <v>43</v>
      </c>
      <c r="C14" t="s">
        <v>44</v>
      </c>
      <c r="D14" t="s">
        <v>24</v>
      </c>
      <c r="E14" t="s">
        <v>45</v>
      </c>
      <c r="F14">
        <v>1</v>
      </c>
      <c r="G14" s="1">
        <v>41876</v>
      </c>
      <c r="H14">
        <v>1620</v>
      </c>
      <c r="I14" t="s">
        <v>46</v>
      </c>
      <c r="J14" s="1">
        <v>1377</v>
      </c>
      <c r="M14">
        <f t="shared" si="0"/>
        <v>41876</v>
      </c>
    </row>
    <row r="15" spans="1:13" x14ac:dyDescent="0.25">
      <c r="A15">
        <v>874</v>
      </c>
      <c r="B15" t="s">
        <v>47</v>
      </c>
      <c r="C15" t="s">
        <v>48</v>
      </c>
      <c r="D15" t="s">
        <v>24</v>
      </c>
      <c r="E15" t="s">
        <v>45</v>
      </c>
      <c r="F15">
        <v>1</v>
      </c>
      <c r="G15" s="1">
        <v>161499</v>
      </c>
      <c r="H15">
        <v>5905.8</v>
      </c>
      <c r="I15" t="s">
        <v>49</v>
      </c>
      <c r="J15" s="1">
        <v>13854</v>
      </c>
      <c r="M15">
        <f t="shared" si="0"/>
        <v>161499</v>
      </c>
    </row>
    <row r="16" spans="1:13" x14ac:dyDescent="0.25">
      <c r="A16" s="1">
        <v>1446</v>
      </c>
      <c r="B16" t="s">
        <v>50</v>
      </c>
      <c r="C16" t="s">
        <v>51</v>
      </c>
      <c r="D16" t="s">
        <v>52</v>
      </c>
      <c r="E16" t="s">
        <v>53</v>
      </c>
      <c r="F16">
        <v>10</v>
      </c>
      <c r="G16" s="1">
        <v>1150447</v>
      </c>
      <c r="H16">
        <v>153.75899999999999</v>
      </c>
      <c r="I16">
        <v>154.35</v>
      </c>
      <c r="J16" s="1">
        <v>4366</v>
      </c>
      <c r="K16">
        <v>1.2974375608173099E-3</v>
      </c>
      <c r="M16">
        <f t="shared" si="0"/>
        <v>115044.7</v>
      </c>
    </row>
    <row r="17" spans="1:13" x14ac:dyDescent="0.25">
      <c r="A17">
        <v>-61</v>
      </c>
      <c r="B17" t="s">
        <v>54</v>
      </c>
      <c r="C17" t="s">
        <v>55</v>
      </c>
      <c r="D17" t="s">
        <v>24</v>
      </c>
      <c r="E17" t="s">
        <v>56</v>
      </c>
      <c r="F17">
        <v>7</v>
      </c>
      <c r="G17" s="1">
        <v>1747139</v>
      </c>
      <c r="H17">
        <v>99.873710000000003</v>
      </c>
      <c r="I17" t="s">
        <v>57</v>
      </c>
      <c r="J17">
        <v>-651</v>
      </c>
      <c r="M17">
        <f t="shared" si="0"/>
        <v>249591.28571428571</v>
      </c>
    </row>
    <row r="18" spans="1:13" x14ac:dyDescent="0.25">
      <c r="A18">
        <v>434</v>
      </c>
      <c r="B18" t="s">
        <v>58</v>
      </c>
      <c r="C18" t="s">
        <v>59</v>
      </c>
      <c r="D18" t="s">
        <v>41</v>
      </c>
      <c r="E18" t="s">
        <v>42</v>
      </c>
      <c r="F18">
        <v>5</v>
      </c>
      <c r="G18" s="1">
        <v>563607</v>
      </c>
      <c r="H18">
        <v>133.49100000000001</v>
      </c>
      <c r="I18">
        <v>134.76</v>
      </c>
      <c r="J18" s="1">
        <v>5285</v>
      </c>
      <c r="K18">
        <v>8.1693E-4</v>
      </c>
      <c r="M18">
        <f t="shared" si="0"/>
        <v>112721.4</v>
      </c>
    </row>
    <row r="19" spans="1:13" x14ac:dyDescent="0.25">
      <c r="A19">
        <v>44</v>
      </c>
      <c r="B19" t="s">
        <v>60</v>
      </c>
      <c r="C19" t="s">
        <v>61</v>
      </c>
      <c r="D19" t="s">
        <v>24</v>
      </c>
      <c r="E19" t="s">
        <v>56</v>
      </c>
      <c r="F19">
        <v>7</v>
      </c>
      <c r="G19" s="1">
        <v>1745800</v>
      </c>
      <c r="H19">
        <v>99.741209999999995</v>
      </c>
      <c r="I19">
        <v>99.76</v>
      </c>
      <c r="J19">
        <v>329</v>
      </c>
      <c r="K19">
        <v>2.5060000000000001E-5</v>
      </c>
      <c r="M19">
        <f t="shared" si="0"/>
        <v>249400</v>
      </c>
    </row>
    <row r="20" spans="1:13" x14ac:dyDescent="0.25">
      <c r="A20">
        <v>-22</v>
      </c>
      <c r="B20" t="s">
        <v>62</v>
      </c>
      <c r="C20" t="s">
        <v>63</v>
      </c>
      <c r="D20" t="s">
        <v>64</v>
      </c>
      <c r="E20" t="s">
        <v>65</v>
      </c>
      <c r="F20">
        <v>9</v>
      </c>
      <c r="G20" s="1">
        <v>1575134</v>
      </c>
      <c r="H20">
        <v>99.871399999999994</v>
      </c>
      <c r="I20">
        <v>99.87</v>
      </c>
      <c r="J20">
        <v>35</v>
      </c>
      <c r="K20">
        <v>-5.0059999999999998E-5</v>
      </c>
      <c r="M20">
        <f t="shared" si="0"/>
        <v>175014.88888888888</v>
      </c>
    </row>
    <row r="21" spans="1:13" x14ac:dyDescent="0.25">
      <c r="A21">
        <v>-287</v>
      </c>
      <c r="B21" t="s">
        <v>66</v>
      </c>
      <c r="C21" t="s">
        <v>67</v>
      </c>
      <c r="D21" t="s">
        <v>64</v>
      </c>
      <c r="E21" t="s">
        <v>65</v>
      </c>
      <c r="F21">
        <v>2</v>
      </c>
      <c r="G21" s="1">
        <v>1420831</v>
      </c>
      <c r="H21">
        <v>99.97</v>
      </c>
      <c r="I21">
        <v>99.89</v>
      </c>
      <c r="J21">
        <v>72</v>
      </c>
      <c r="K21">
        <v>0</v>
      </c>
      <c r="M21">
        <f t="shared" si="0"/>
        <v>710415.5</v>
      </c>
    </row>
    <row r="22" spans="1:13" x14ac:dyDescent="0.25">
      <c r="A22">
        <v>-18</v>
      </c>
      <c r="B22" t="s">
        <v>68</v>
      </c>
      <c r="C22" t="s">
        <v>69</v>
      </c>
      <c r="D22" t="s">
        <v>70</v>
      </c>
      <c r="E22" t="s">
        <v>71</v>
      </c>
      <c r="F22">
        <v>10</v>
      </c>
      <c r="G22" s="1">
        <v>1597793</v>
      </c>
      <c r="H22">
        <v>99.908299999999997</v>
      </c>
      <c r="I22" t="s">
        <v>72</v>
      </c>
      <c r="J22">
        <v>10</v>
      </c>
      <c r="M22">
        <f t="shared" si="0"/>
        <v>159779.29999999999</v>
      </c>
    </row>
    <row r="23" spans="1:13" x14ac:dyDescent="0.25">
      <c r="A23">
        <v>913</v>
      </c>
      <c r="B23" t="s">
        <v>73</v>
      </c>
      <c r="C23" t="s">
        <v>74</v>
      </c>
      <c r="D23" t="s">
        <v>24</v>
      </c>
      <c r="E23" t="s">
        <v>45</v>
      </c>
      <c r="F23">
        <v>1</v>
      </c>
      <c r="G23" s="1">
        <v>82665</v>
      </c>
      <c r="H23">
        <v>12541.2</v>
      </c>
      <c r="I23" t="s">
        <v>75</v>
      </c>
      <c r="J23" s="1">
        <v>7418</v>
      </c>
      <c r="M23">
        <f t="shared" si="0"/>
        <v>82665</v>
      </c>
    </row>
    <row r="24" spans="1:13" x14ac:dyDescent="0.25">
      <c r="A24" s="1">
        <v>3226</v>
      </c>
      <c r="B24" t="s">
        <v>76</v>
      </c>
      <c r="C24" t="s">
        <v>77</v>
      </c>
      <c r="D24" t="s">
        <v>24</v>
      </c>
      <c r="E24" t="s">
        <v>78</v>
      </c>
      <c r="F24">
        <v>1</v>
      </c>
      <c r="G24" s="1">
        <v>232636</v>
      </c>
      <c r="H24">
        <v>2051.9299999999998</v>
      </c>
      <c r="I24">
        <v>2328.9</v>
      </c>
      <c r="J24" s="1">
        <v>27444</v>
      </c>
      <c r="K24">
        <v>1.51693474565189E-2</v>
      </c>
      <c r="M24">
        <f t="shared" si="0"/>
        <v>232636</v>
      </c>
    </row>
    <row r="25" spans="1:13" x14ac:dyDescent="0.25">
      <c r="A25">
        <v>894</v>
      </c>
      <c r="B25" t="s">
        <v>79</v>
      </c>
      <c r="C25" t="s">
        <v>80</v>
      </c>
      <c r="D25" t="s">
        <v>24</v>
      </c>
      <c r="E25" t="s">
        <v>45</v>
      </c>
      <c r="F25">
        <v>1</v>
      </c>
      <c r="G25" s="1">
        <v>46088</v>
      </c>
      <c r="H25">
        <v>1793.5</v>
      </c>
      <c r="I25" t="s">
        <v>81</v>
      </c>
      <c r="J25" s="1">
        <v>1251</v>
      </c>
      <c r="M25">
        <f t="shared" si="0"/>
        <v>46088</v>
      </c>
    </row>
    <row r="26" spans="1:13" x14ac:dyDescent="0.25">
      <c r="A26">
        <v>909</v>
      </c>
      <c r="B26" t="s">
        <v>82</v>
      </c>
      <c r="C26" t="s">
        <v>83</v>
      </c>
      <c r="D26" t="s">
        <v>24</v>
      </c>
      <c r="E26" t="s">
        <v>78</v>
      </c>
      <c r="F26">
        <v>1</v>
      </c>
      <c r="G26" s="1">
        <v>48709</v>
      </c>
      <c r="H26">
        <v>849.97</v>
      </c>
      <c r="I26">
        <v>971.9</v>
      </c>
      <c r="J26" s="1">
        <v>6211</v>
      </c>
      <c r="K26">
        <v>1.663179916318E-2</v>
      </c>
      <c r="M26">
        <f t="shared" si="0"/>
        <v>48709</v>
      </c>
    </row>
    <row r="27" spans="1:13" x14ac:dyDescent="0.25">
      <c r="A27">
        <v>-176</v>
      </c>
      <c r="B27" t="s">
        <v>84</v>
      </c>
      <c r="C27" t="s">
        <v>85</v>
      </c>
      <c r="D27" t="s">
        <v>24</v>
      </c>
      <c r="E27" t="s">
        <v>86</v>
      </c>
      <c r="F27">
        <v>6</v>
      </c>
      <c r="G27" s="1">
        <v>64492</v>
      </c>
      <c r="H27">
        <v>104.018</v>
      </c>
      <c r="I27" t="s">
        <v>87</v>
      </c>
      <c r="J27" s="1">
        <v>2081</v>
      </c>
      <c r="K27" t="s">
        <v>88</v>
      </c>
      <c r="M27">
        <f t="shared" si="0"/>
        <v>10748.666666666666</v>
      </c>
    </row>
    <row r="28" spans="1:13" x14ac:dyDescent="0.25">
      <c r="A28" s="1">
        <v>6307</v>
      </c>
      <c r="B28" t="s">
        <v>89</v>
      </c>
      <c r="C28" t="s">
        <v>90</v>
      </c>
      <c r="D28" t="s">
        <v>24</v>
      </c>
      <c r="E28" t="s">
        <v>78</v>
      </c>
      <c r="F28">
        <v>1</v>
      </c>
      <c r="G28" s="1">
        <v>120557</v>
      </c>
      <c r="H28">
        <v>22.8005</v>
      </c>
      <c r="I28">
        <v>24.19</v>
      </c>
      <c r="J28" s="1">
        <v>6555</v>
      </c>
      <c r="K28">
        <v>5.8643326039387302E-2</v>
      </c>
      <c r="M28">
        <f t="shared" si="0"/>
        <v>120557</v>
      </c>
    </row>
    <row r="29" spans="1:13" x14ac:dyDescent="0.25">
      <c r="A29">
        <v>-310</v>
      </c>
      <c r="B29" t="s">
        <v>91</v>
      </c>
      <c r="C29" t="s">
        <v>92</v>
      </c>
      <c r="D29" t="s">
        <v>24</v>
      </c>
      <c r="E29" t="s">
        <v>45</v>
      </c>
      <c r="F29">
        <v>1</v>
      </c>
      <c r="G29" s="1">
        <v>88225</v>
      </c>
      <c r="H29">
        <v>16796.3</v>
      </c>
      <c r="I29" t="s">
        <v>93</v>
      </c>
      <c r="J29" s="1">
        <v>4244</v>
      </c>
      <c r="K29" t="s">
        <v>88</v>
      </c>
      <c r="M29">
        <f t="shared" si="0"/>
        <v>88225</v>
      </c>
    </row>
    <row r="30" spans="1:13" x14ac:dyDescent="0.25">
      <c r="A30">
        <v>480</v>
      </c>
      <c r="B30" t="s">
        <v>94</v>
      </c>
      <c r="C30" t="s">
        <v>95</v>
      </c>
      <c r="D30" t="s">
        <v>24</v>
      </c>
      <c r="E30" t="s">
        <v>96</v>
      </c>
      <c r="F30">
        <v>7</v>
      </c>
      <c r="G30" s="1">
        <v>1109542</v>
      </c>
      <c r="H30">
        <v>157.4375</v>
      </c>
      <c r="I30" t="s">
        <v>97</v>
      </c>
      <c r="J30" s="1">
        <v>7482</v>
      </c>
      <c r="K30" t="s">
        <v>88</v>
      </c>
      <c r="M30">
        <f t="shared" si="0"/>
        <v>158506</v>
      </c>
    </row>
    <row r="31" spans="1:13" x14ac:dyDescent="0.25">
      <c r="A31" s="1">
        <v>1973</v>
      </c>
      <c r="B31" t="s">
        <v>98</v>
      </c>
      <c r="C31" t="s">
        <v>99</v>
      </c>
      <c r="D31" t="s">
        <v>24</v>
      </c>
      <c r="E31" t="s">
        <v>96</v>
      </c>
      <c r="F31">
        <v>5</v>
      </c>
      <c r="G31" s="1">
        <v>1130723</v>
      </c>
      <c r="H31">
        <v>219.340262</v>
      </c>
      <c r="I31" t="s">
        <v>100</v>
      </c>
      <c r="J31" s="1">
        <v>34022</v>
      </c>
      <c r="K31">
        <v>1.6611295681063099E-3</v>
      </c>
      <c r="M31">
        <f t="shared" si="0"/>
        <v>226144.6</v>
      </c>
    </row>
    <row r="32" spans="1:13" x14ac:dyDescent="0.25">
      <c r="A32">
        <v>629</v>
      </c>
      <c r="B32" t="s">
        <v>101</v>
      </c>
      <c r="C32" t="s">
        <v>102</v>
      </c>
      <c r="D32" t="s">
        <v>24</v>
      </c>
      <c r="E32" t="s">
        <v>96</v>
      </c>
      <c r="F32">
        <v>6</v>
      </c>
      <c r="G32" s="1">
        <v>1087192</v>
      </c>
      <c r="H32">
        <v>178.83750000000001</v>
      </c>
      <c r="I32" t="s">
        <v>103</v>
      </c>
      <c r="J32" s="1">
        <v>14173</v>
      </c>
      <c r="K32">
        <v>5.1769000000000001E-4</v>
      </c>
      <c r="M32">
        <f t="shared" si="0"/>
        <v>181198.66666666666</v>
      </c>
    </row>
    <row r="33" spans="1:13" x14ac:dyDescent="0.25">
      <c r="A33">
        <v>165</v>
      </c>
      <c r="B33" t="s">
        <v>104</v>
      </c>
      <c r="C33" t="s">
        <v>105</v>
      </c>
      <c r="D33" t="s">
        <v>24</v>
      </c>
      <c r="E33" t="s">
        <v>96</v>
      </c>
      <c r="F33">
        <v>9</v>
      </c>
      <c r="G33" s="1">
        <v>1132408</v>
      </c>
      <c r="H33">
        <v>125.64917626</v>
      </c>
      <c r="I33" t="s">
        <v>106</v>
      </c>
      <c r="J33" s="1">
        <v>1565</v>
      </c>
      <c r="K33">
        <v>1.2420000000000001E-4</v>
      </c>
      <c r="M33">
        <f t="shared" si="0"/>
        <v>125823.11111111111</v>
      </c>
    </row>
    <row r="34" spans="1:13" x14ac:dyDescent="0.25">
      <c r="A34">
        <v>266</v>
      </c>
      <c r="B34" t="s">
        <v>107</v>
      </c>
      <c r="C34" t="s">
        <v>108</v>
      </c>
      <c r="D34" t="s">
        <v>24</v>
      </c>
      <c r="E34" t="s">
        <v>96</v>
      </c>
      <c r="F34">
        <v>8</v>
      </c>
      <c r="G34" s="1">
        <v>1116891</v>
      </c>
      <c r="H34">
        <v>139.15</v>
      </c>
      <c r="I34" t="s">
        <v>109</v>
      </c>
      <c r="J34" s="1">
        <v>3697</v>
      </c>
      <c r="K34">
        <v>2.2389E-4</v>
      </c>
      <c r="M34">
        <f t="shared" si="0"/>
        <v>139611.375</v>
      </c>
    </row>
    <row r="35" spans="1:13" x14ac:dyDescent="0.25">
      <c r="A35">
        <v>22</v>
      </c>
      <c r="B35" t="s">
        <v>110</v>
      </c>
      <c r="C35" t="s">
        <v>111</v>
      </c>
      <c r="D35" t="s">
        <v>24</v>
      </c>
      <c r="E35" t="s">
        <v>96</v>
      </c>
      <c r="F35">
        <v>4</v>
      </c>
      <c r="G35" s="1">
        <v>1665280</v>
      </c>
      <c r="H35">
        <v>99.918139999999994</v>
      </c>
      <c r="I35" t="s">
        <v>112</v>
      </c>
      <c r="J35">
        <v>-156</v>
      </c>
      <c r="K35" t="s">
        <v>88</v>
      </c>
      <c r="M35">
        <f t="shared" si="0"/>
        <v>416320</v>
      </c>
    </row>
    <row r="36" spans="1:13" x14ac:dyDescent="0.25">
      <c r="A36">
        <v>-198</v>
      </c>
      <c r="B36" t="s">
        <v>113</v>
      </c>
      <c r="C36" t="s">
        <v>114</v>
      </c>
      <c r="D36" t="s">
        <v>24</v>
      </c>
      <c r="E36" t="s">
        <v>45</v>
      </c>
      <c r="F36">
        <v>1</v>
      </c>
      <c r="G36" s="1">
        <v>55239</v>
      </c>
      <c r="H36">
        <v>2049.3000000000002</v>
      </c>
      <c r="I36" t="s">
        <v>115</v>
      </c>
      <c r="J36" s="1">
        <v>4007</v>
      </c>
      <c r="K36" t="s">
        <v>88</v>
      </c>
      <c r="M36">
        <f t="shared" si="0"/>
        <v>55239</v>
      </c>
    </row>
    <row r="37" spans="1:13" x14ac:dyDescent="0.25">
      <c r="A37">
        <v>10</v>
      </c>
      <c r="B37" t="s">
        <v>116</v>
      </c>
      <c r="C37" t="s">
        <v>117</v>
      </c>
      <c r="D37" t="s">
        <v>24</v>
      </c>
      <c r="E37" t="s">
        <v>96</v>
      </c>
      <c r="F37">
        <v>5</v>
      </c>
      <c r="G37" s="1">
        <v>1104190</v>
      </c>
      <c r="H37">
        <v>110.37247979</v>
      </c>
      <c r="I37" t="s">
        <v>118</v>
      </c>
      <c r="J37">
        <v>465</v>
      </c>
      <c r="K37">
        <v>3.5379999999999997E-5</v>
      </c>
      <c r="M37">
        <f t="shared" si="0"/>
        <v>220838</v>
      </c>
    </row>
    <row r="38" spans="1:13" x14ac:dyDescent="0.25">
      <c r="M38">
        <v>246.94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7"/>
  <sheetViews>
    <sheetView zoomScaleNormal="100" workbookViewId="0">
      <selection activeCell="G10" sqref="G10"/>
    </sheetView>
  </sheetViews>
  <sheetFormatPr defaultColWidth="9.140625" defaultRowHeight="15" x14ac:dyDescent="0.25"/>
  <cols>
    <col min="1" max="2" width="15.140625" style="2" customWidth="1"/>
    <col min="3" max="3" width="27.140625" style="2" customWidth="1"/>
    <col min="4" max="4" width="14.85546875" style="2" customWidth="1"/>
    <col min="5" max="5" width="19.7109375" style="2" customWidth="1"/>
    <col min="6" max="7" width="13.7109375" style="2" customWidth="1"/>
    <col min="8" max="8" width="16.5703125" style="2" customWidth="1"/>
    <col min="9" max="9" width="15.5703125" style="2" customWidth="1"/>
    <col min="10" max="11" width="13.42578125" customWidth="1"/>
    <col min="12" max="12" width="16.42578125" customWidth="1"/>
    <col min="13" max="13" width="13.42578125" customWidth="1"/>
    <col min="14" max="14" width="16.42578125" style="2" customWidth="1"/>
    <col min="15" max="15" width="10.5703125" style="2" customWidth="1"/>
    <col min="16" max="16" width="13" style="2" customWidth="1"/>
    <col min="17" max="19" width="10.85546875" style="2" customWidth="1"/>
    <col min="20" max="20" width="11.28515625" style="2" customWidth="1"/>
    <col min="21" max="1024" width="9.140625" style="2"/>
  </cols>
  <sheetData>
    <row r="1" spans="1:20" s="2" customFormat="1" ht="25.5" x14ac:dyDescent="0.2">
      <c r="A1" s="3" t="s">
        <v>119</v>
      </c>
      <c r="B1" s="3" t="s">
        <v>119</v>
      </c>
      <c r="C1" s="4" t="s">
        <v>120</v>
      </c>
      <c r="D1" s="5"/>
      <c r="E1" s="6" t="s">
        <v>121</v>
      </c>
      <c r="F1" s="7"/>
      <c r="G1" s="8"/>
      <c r="L1" s="9" t="s">
        <v>122</v>
      </c>
      <c r="N1" s="10" t="s">
        <v>123</v>
      </c>
      <c r="P1" s="2" t="s">
        <v>124</v>
      </c>
      <c r="S1" s="2" t="s">
        <v>125</v>
      </c>
    </row>
    <row r="2" spans="1:20" x14ac:dyDescent="0.25">
      <c r="A2" s="3" t="s">
        <v>126</v>
      </c>
      <c r="B2" s="3" t="s">
        <v>126</v>
      </c>
      <c r="C2" s="11">
        <v>1.35</v>
      </c>
      <c r="D2" s="12"/>
      <c r="E2" s="13">
        <f>SUM(E19,E31,E53,E93,E21)</f>
        <v>10872075.896788951</v>
      </c>
      <c r="F2" s="14"/>
      <c r="G2" s="15"/>
      <c r="H2" s="12"/>
      <c r="I2" s="12"/>
      <c r="J2" s="12"/>
      <c r="K2" s="12"/>
      <c r="L2" s="13">
        <f>SUM(L19,L31,L53,L93,L21,L98)</f>
        <v>15230002.15566667</v>
      </c>
      <c r="M2" s="12"/>
      <c r="N2" s="16">
        <f>L2/C3</f>
        <v>1.9050191336463118</v>
      </c>
      <c r="P2" s="2" t="s">
        <v>127</v>
      </c>
      <c r="Q2" s="17">
        <v>0.26729999999999998</v>
      </c>
      <c r="S2" s="2" t="s">
        <v>128</v>
      </c>
      <c r="T2" s="2">
        <f>COUNTIF(A:A,"US Bond")</f>
        <v>7</v>
      </c>
    </row>
    <row r="3" spans="1:20" ht="39" x14ac:dyDescent="0.25">
      <c r="A3" s="3" t="s">
        <v>129</v>
      </c>
      <c r="B3" s="3" t="s">
        <v>129</v>
      </c>
      <c r="C3" s="18">
        <v>7994671.4900000002</v>
      </c>
      <c r="D3" s="19"/>
      <c r="E3" s="6" t="s">
        <v>281</v>
      </c>
      <c r="F3" s="14"/>
      <c r="G3" s="15"/>
      <c r="H3" s="12"/>
      <c r="I3" s="12"/>
      <c r="J3" s="12"/>
      <c r="L3" s="9" t="s">
        <v>122</v>
      </c>
      <c r="N3" s="10" t="s">
        <v>282</v>
      </c>
      <c r="P3" s="2" t="s">
        <v>5</v>
      </c>
      <c r="Q3" s="20">
        <v>0.08</v>
      </c>
      <c r="S3" s="2" t="s">
        <v>130</v>
      </c>
      <c r="T3" s="2">
        <f>COUNTIF(A:A,"Global Bond")</f>
        <v>18</v>
      </c>
    </row>
    <row r="4" spans="1:20" x14ac:dyDescent="0.25">
      <c r="A4" s="257"/>
      <c r="B4" s="257"/>
      <c r="C4" s="258"/>
      <c r="D4" s="19"/>
      <c r="E4" s="13">
        <f>SUM(E19,E93,E21)</f>
        <v>4072125.8967889496</v>
      </c>
      <c r="F4" s="14"/>
      <c r="G4" s="15"/>
      <c r="H4" s="12"/>
      <c r="I4" s="12"/>
      <c r="J4" s="12"/>
      <c r="L4" s="13">
        <f>SUM(L19,L93,L21)</f>
        <v>5007119.3190000001</v>
      </c>
      <c r="N4" s="16">
        <f>L4/C3</f>
        <v>0.62630707531423535</v>
      </c>
      <c r="Q4" s="20"/>
    </row>
    <row r="5" spans="1:20" x14ac:dyDescent="0.25">
      <c r="A5" s="21"/>
      <c r="B5" s="22"/>
      <c r="C5" s="22"/>
      <c r="D5" s="23"/>
      <c r="E5" s="24"/>
      <c r="F5" s="24"/>
      <c r="G5" s="24"/>
      <c r="H5" s="25"/>
      <c r="I5" s="25"/>
      <c r="J5" s="25"/>
      <c r="K5" s="25"/>
      <c r="L5" s="12"/>
      <c r="M5" s="12"/>
      <c r="N5" s="12"/>
      <c r="P5" s="2" t="s">
        <v>131</v>
      </c>
      <c r="Q5" s="20">
        <v>0.03</v>
      </c>
      <c r="S5" s="2" t="s">
        <v>131</v>
      </c>
      <c r="T5" s="2">
        <f>COUNTIF(A:A,"Commodity")</f>
        <v>19</v>
      </c>
    </row>
    <row r="6" spans="1:20" s="31" customFormat="1" ht="38.25" x14ac:dyDescent="0.2">
      <c r="A6" s="26" t="s">
        <v>132</v>
      </c>
      <c r="B6" s="27" t="s">
        <v>133</v>
      </c>
      <c r="C6" s="28" t="s">
        <v>13</v>
      </c>
      <c r="D6" s="28" t="s">
        <v>134</v>
      </c>
      <c r="E6" s="28" t="s">
        <v>135</v>
      </c>
      <c r="F6" s="28" t="s">
        <v>136</v>
      </c>
      <c r="G6" s="28" t="s">
        <v>137</v>
      </c>
      <c r="H6" s="29" t="s">
        <v>138</v>
      </c>
      <c r="I6" s="29" t="s">
        <v>139</v>
      </c>
      <c r="J6" s="29" t="s">
        <v>140</v>
      </c>
      <c r="K6" s="30" t="s">
        <v>141</v>
      </c>
      <c r="L6" s="30" t="s">
        <v>142</v>
      </c>
      <c r="M6" s="30" t="s">
        <v>143</v>
      </c>
      <c r="N6" s="30" t="s">
        <v>144</v>
      </c>
      <c r="P6" s="31" t="s">
        <v>145</v>
      </c>
      <c r="Q6" s="32">
        <f>100%-SUM(Q2:Q5)</f>
        <v>0.62270000000000003</v>
      </c>
      <c r="S6" s="31" t="s">
        <v>127</v>
      </c>
      <c r="T6" s="2">
        <f>COUNTIF(A:A,"Equity")</f>
        <v>10</v>
      </c>
    </row>
    <row r="7" spans="1:20" s="31" customFormat="1" ht="12.75" customHeight="1" x14ac:dyDescent="0.25">
      <c r="A7" s="33" t="s">
        <v>127</v>
      </c>
      <c r="B7" s="33" t="s">
        <v>1</v>
      </c>
      <c r="C7" s="34" t="s">
        <v>146</v>
      </c>
      <c r="D7" s="35">
        <f>$Q$2/10</f>
        <v>2.6729999999999997E-2</v>
      </c>
      <c r="E7" s="36">
        <f>Table1[[#This Row],[Target Allocation (%)]]*$C$2*$C$3</f>
        <v>288491.71805239498</v>
      </c>
      <c r="F7" s="36">
        <v>49.8</v>
      </c>
      <c r="G7" s="37">
        <f>Table1[[#This Row],[Target Value Allocation (USD)]]/Table1[[#This Row],[Last price]]</f>
        <v>5793.0063865942766</v>
      </c>
      <c r="H7" s="34">
        <v>8823</v>
      </c>
      <c r="I7" s="34">
        <v>5793</v>
      </c>
      <c r="J7" s="38">
        <f t="shared" ref="J7:J17" si="0">I7-H7</f>
        <v>-3030</v>
      </c>
      <c r="K7" s="39">
        <v>52.59</v>
      </c>
      <c r="L7" s="40">
        <f>Table1[[#This Row],[Current Price]]*Table1[[#This Row],[Current Quantity]]</f>
        <v>304653.87</v>
      </c>
      <c r="M7" s="41">
        <f>Table1[[#This Row],[Current Value Allocation]]/$L$2</f>
        <v>2.0003534266516604E-2</v>
      </c>
      <c r="N7" s="40"/>
      <c r="O7" s="31" t="str">
        <f>B7:B17</f>
        <v>AMD</v>
      </c>
      <c r="S7" s="31" t="s">
        <v>147</v>
      </c>
      <c r="T7" s="31">
        <v>1</v>
      </c>
    </row>
    <row r="8" spans="1:20" s="31" customFormat="1" ht="12.75" customHeight="1" x14ac:dyDescent="0.2">
      <c r="A8" s="33" t="s">
        <v>148</v>
      </c>
      <c r="B8" s="33" t="s">
        <v>149</v>
      </c>
      <c r="C8" s="34" t="s">
        <v>150</v>
      </c>
      <c r="D8" s="35">
        <v>0</v>
      </c>
      <c r="E8" s="36">
        <f>Table1[[#This Row],[Target Allocation (%)]]*$C$2*$C$3</f>
        <v>0</v>
      </c>
      <c r="F8" s="36">
        <v>142.77000000000001</v>
      </c>
      <c r="G8" s="37">
        <f>Table1[[#This Row],[Target Value Allocation (USD)]]/Table1[[#This Row],[Last price]]</f>
        <v>0</v>
      </c>
      <c r="H8" s="34">
        <v>2835</v>
      </c>
      <c r="I8" s="34">
        <v>0</v>
      </c>
      <c r="J8" s="38">
        <f t="shared" si="0"/>
        <v>-2835</v>
      </c>
      <c r="K8" s="39"/>
      <c r="L8" s="40">
        <f>Table1[[#This Row],[Current Price]]*Table1[[#This Row],[Current Quantity]]</f>
        <v>0</v>
      </c>
      <c r="M8" s="41">
        <f>Table1[[#This Row],[Current Value Allocation]]/$L$2</f>
        <v>0</v>
      </c>
      <c r="N8" s="40"/>
      <c r="O8" s="31" t="str">
        <f>B8:B19</f>
        <v>CTXS</v>
      </c>
      <c r="S8" s="31" t="s">
        <v>151</v>
      </c>
      <c r="T8" s="2">
        <f>COUNTIF(A:A,"Others")</f>
        <v>2</v>
      </c>
    </row>
    <row r="9" spans="1:20" s="31" customFormat="1" ht="25.5" x14ac:dyDescent="0.2">
      <c r="A9" s="33" t="s">
        <v>127</v>
      </c>
      <c r="B9" s="33" t="s">
        <v>7</v>
      </c>
      <c r="C9" s="34" t="s">
        <v>31</v>
      </c>
      <c r="D9" s="35">
        <f t="shared" ref="D9:D17" si="1">$Q$2/10</f>
        <v>2.6729999999999997E-2</v>
      </c>
      <c r="E9" s="36">
        <f>Table1[[#This Row],[Target Allocation (%)]]*$C$2*$C$3</f>
        <v>288491.71805239498</v>
      </c>
      <c r="F9" s="36">
        <v>365.5</v>
      </c>
      <c r="G9" s="37">
        <f>Table1[[#This Row],[Target Value Allocation (USD)]]/Table1[[#This Row],[Last price]]</f>
        <v>789.30702613514359</v>
      </c>
      <c r="H9" s="34">
        <v>1522</v>
      </c>
      <c r="I9" s="34">
        <v>789</v>
      </c>
      <c r="J9" s="38">
        <f t="shared" si="0"/>
        <v>-733</v>
      </c>
      <c r="K9" s="39">
        <v>378.6</v>
      </c>
      <c r="L9" s="40">
        <f>Table1[[#This Row],[Current Price]]*Table1[[#This Row],[Current Quantity]]</f>
        <v>298715.40000000002</v>
      </c>
      <c r="M9" s="41">
        <f>Table1[[#This Row],[Current Value Allocation]]/$L$2</f>
        <v>1.9613615083360715E-2</v>
      </c>
      <c r="N9" s="40"/>
      <c r="O9" s="31" t="str">
        <f>B9:B20</f>
        <v>NVDA</v>
      </c>
      <c r="P9" s="2" t="s">
        <v>152</v>
      </c>
      <c r="Q9" s="42">
        <v>288492</v>
      </c>
      <c r="S9" s="31" t="s">
        <v>153</v>
      </c>
      <c r="T9" s="31">
        <f>SUM(T2:T8)</f>
        <v>57</v>
      </c>
    </row>
    <row r="10" spans="1:20" s="31" customFormat="1" ht="25.5" customHeight="1" x14ac:dyDescent="0.25">
      <c r="A10" s="33" t="s">
        <v>127</v>
      </c>
      <c r="B10" s="33" t="s">
        <v>8</v>
      </c>
      <c r="C10" s="34" t="s">
        <v>34</v>
      </c>
      <c r="D10" s="35">
        <f t="shared" si="1"/>
        <v>2.6729999999999997E-2</v>
      </c>
      <c r="E10" s="36">
        <f>Table1[[#This Row],[Target Allocation (%)]]*$C$2*$C$3</f>
        <v>288491.71805239498</v>
      </c>
      <c r="F10" s="36">
        <v>611.36</v>
      </c>
      <c r="G10" s="37">
        <f>Table1[[#This Row],[Target Value Allocation (USD)]]/Table1[[#This Row],[Last price]]</f>
        <v>471.88517085251732</v>
      </c>
      <c r="H10" s="34">
        <v>822</v>
      </c>
      <c r="I10" s="34">
        <v>472</v>
      </c>
      <c r="J10" s="38">
        <f t="shared" si="0"/>
        <v>-350</v>
      </c>
      <c r="K10" s="39">
        <v>623.51499999999999</v>
      </c>
      <c r="L10" s="40">
        <f>Table1[[#This Row],[Current Price]]*Table1[[#This Row],[Current Quantity]]</f>
        <v>294299.08</v>
      </c>
      <c r="M10" s="41">
        <f>Table1[[#This Row],[Current Value Allocation]]/$L$2</f>
        <v>1.9323640075159104E-2</v>
      </c>
      <c r="N10" s="40"/>
      <c r="O10" s="31" t="str">
        <f>B10:B21</f>
        <v>REGN</v>
      </c>
      <c r="P10" s="31" t="s">
        <v>154</v>
      </c>
      <c r="Q10" s="42">
        <v>79066</v>
      </c>
    </row>
    <row r="11" spans="1:20" s="31" customFormat="1" ht="12.75" customHeight="1" x14ac:dyDescent="0.25">
      <c r="A11" s="33" t="s">
        <v>127</v>
      </c>
      <c r="B11" s="33" t="s">
        <v>9</v>
      </c>
      <c r="C11" s="34" t="s">
        <v>35</v>
      </c>
      <c r="D11" s="35">
        <f t="shared" si="1"/>
        <v>2.6729999999999997E-2</v>
      </c>
      <c r="E11" s="36">
        <f>Table1[[#This Row],[Target Allocation (%)]]*$C$2*$C$3</f>
        <v>288491.71805239498</v>
      </c>
      <c r="F11" s="36">
        <v>165.59</v>
      </c>
      <c r="G11" s="37">
        <f>Table1[[#This Row],[Target Value Allocation (USD)]]/Table1[[#This Row],[Last price]]</f>
        <v>1742.2049523062683</v>
      </c>
      <c r="H11" s="34">
        <v>3478</v>
      </c>
      <c r="I11" s="34">
        <v>1742</v>
      </c>
      <c r="J11" s="38">
        <f t="shared" si="0"/>
        <v>-1736</v>
      </c>
      <c r="K11" s="39">
        <v>170.17</v>
      </c>
      <c r="L11" s="40">
        <f>Table1[[#This Row],[Current Price]]*Table1[[#This Row],[Current Quantity]]</f>
        <v>296436.13999999996</v>
      </c>
      <c r="M11" s="41">
        <f>Table1[[#This Row],[Current Value Allocation]]/$L$2</f>
        <v>1.9463959162323831E-2</v>
      </c>
      <c r="N11" s="40"/>
      <c r="O11" s="31" t="str">
        <f>B11:B22</f>
        <v>SGEN</v>
      </c>
      <c r="P11" s="31" t="s">
        <v>155</v>
      </c>
      <c r="Q11" s="42">
        <v>896127</v>
      </c>
    </row>
    <row r="12" spans="1:20" s="31" customFormat="1" ht="12.75" customHeight="1" x14ac:dyDescent="0.25">
      <c r="A12" s="33" t="s">
        <v>127</v>
      </c>
      <c r="B12" s="33" t="s">
        <v>10</v>
      </c>
      <c r="C12" s="34" t="s">
        <v>36</v>
      </c>
      <c r="D12" s="35">
        <f t="shared" si="1"/>
        <v>2.6729999999999997E-2</v>
      </c>
      <c r="E12" s="36">
        <f>Table1[[#This Row],[Target Allocation (%)]]*$C$2*$C$3</f>
        <v>288491.71805239498</v>
      </c>
      <c r="F12" s="36">
        <v>955.9</v>
      </c>
      <c r="G12" s="37">
        <f>Table1[[#This Row],[Target Value Allocation (USD)]]/Table1[[#This Row],[Last price]]</f>
        <v>301.80114871052933</v>
      </c>
      <c r="H12" s="34">
        <v>766</v>
      </c>
      <c r="I12" s="34">
        <v>302</v>
      </c>
      <c r="J12" s="38">
        <f t="shared" si="0"/>
        <v>-464</v>
      </c>
      <c r="K12" s="39">
        <v>1075.78</v>
      </c>
      <c r="L12" s="40">
        <f>Table1[[#This Row],[Current Price]]*Table1[[#This Row],[Current Quantity]]</f>
        <v>324885.56</v>
      </c>
      <c r="M12" s="41">
        <f>Table1[[#This Row],[Current Value Allocation]]/$L$2</f>
        <v>2.1331944452753666E-2</v>
      </c>
      <c r="N12" s="40"/>
      <c r="O12" s="31" t="str">
        <f t="shared" ref="O12:O17" si="2">B12:B22</f>
        <v>TSLA</v>
      </c>
      <c r="P12" s="31" t="s">
        <v>131</v>
      </c>
    </row>
    <row r="13" spans="1:20" s="31" customFormat="1" ht="12.75" customHeight="1" x14ac:dyDescent="0.25">
      <c r="A13" s="33" t="s">
        <v>127</v>
      </c>
      <c r="B13" s="33" t="s">
        <v>0</v>
      </c>
      <c r="C13" s="34" t="s">
        <v>23</v>
      </c>
      <c r="D13" s="35">
        <f t="shared" si="1"/>
        <v>2.6729999999999997E-2</v>
      </c>
      <c r="E13" s="36">
        <f>Table1[[#This Row],[Target Allocation (%)]]*$C$2*$C$3</f>
        <v>288491.71805239498</v>
      </c>
      <c r="F13" s="36">
        <v>353.63</v>
      </c>
      <c r="G13" s="37">
        <f>Table1[[#This Row],[Target Value Allocation (USD)]]/Table1[[#This Row],[Last price]]</f>
        <v>815.80102947259843</v>
      </c>
      <c r="H13" s="34">
        <v>0</v>
      </c>
      <c r="I13" s="34">
        <v>816</v>
      </c>
      <c r="J13" s="38">
        <f t="shared" si="0"/>
        <v>816</v>
      </c>
      <c r="K13" s="39">
        <v>364</v>
      </c>
      <c r="L13" s="40">
        <f>Table1[[#This Row],[Current Price]]*Table1[[#This Row],[Current Quantity]]</f>
        <v>297024</v>
      </c>
      <c r="M13" s="41">
        <f>Table1[[#This Row],[Current Value Allocation]]/$L$2</f>
        <v>1.9502557974982654E-2</v>
      </c>
      <c r="N13" s="40"/>
      <c r="O13" s="31" t="str">
        <f t="shared" si="2"/>
        <v>AAPL</v>
      </c>
    </row>
    <row r="14" spans="1:20" s="31" customFormat="1" ht="12.75" customHeight="1" x14ac:dyDescent="0.25">
      <c r="A14" s="33" t="s">
        <v>127</v>
      </c>
      <c r="B14" s="33" t="s">
        <v>3</v>
      </c>
      <c r="C14" s="34" t="s">
        <v>26</v>
      </c>
      <c r="D14" s="35">
        <f t="shared" si="1"/>
        <v>2.6729999999999997E-2</v>
      </c>
      <c r="E14" s="36">
        <f>Table1[[#This Row],[Target Allocation (%)]]*$C$2*$C$3</f>
        <v>288491.71805239498</v>
      </c>
      <c r="F14" s="36">
        <v>383.06</v>
      </c>
      <c r="G14" s="37">
        <f>Table1[[#This Row],[Target Value Allocation (USD)]]/Table1[[#This Row],[Last price]]</f>
        <v>753.12410079986159</v>
      </c>
      <c r="H14" s="34">
        <v>0</v>
      </c>
      <c r="I14" s="34">
        <v>753</v>
      </c>
      <c r="J14" s="38">
        <f t="shared" si="0"/>
        <v>753</v>
      </c>
      <c r="K14" s="39">
        <v>405.4</v>
      </c>
      <c r="L14" s="40">
        <f>Table1[[#This Row],[Current Price]]*Table1[[#This Row],[Current Quantity]]</f>
        <v>305266.2</v>
      </c>
      <c r="M14" s="41">
        <f>Table1[[#This Row],[Current Value Allocation]]/$L$2</f>
        <v>2.0043739776255957E-2</v>
      </c>
      <c r="N14" s="40"/>
      <c r="O14" s="31" t="str">
        <f t="shared" si="2"/>
        <v>DXCM</v>
      </c>
    </row>
    <row r="15" spans="1:20" s="31" customFormat="1" ht="12.75" customHeight="1" x14ac:dyDescent="0.25">
      <c r="A15" s="33" t="s">
        <v>127</v>
      </c>
      <c r="B15" s="33" t="s">
        <v>4</v>
      </c>
      <c r="C15" s="34" t="s">
        <v>156</v>
      </c>
      <c r="D15" s="35">
        <f t="shared" si="1"/>
        <v>2.6729999999999997E-2</v>
      </c>
      <c r="E15" s="36">
        <f>Table1[[#This Row],[Target Allocation (%)]]*$C$2*$C$3</f>
        <v>288491.71805239498</v>
      </c>
      <c r="F15" s="36">
        <v>134.55000000000001</v>
      </c>
      <c r="G15" s="37">
        <f>Table1[[#This Row],[Target Value Allocation (USD)]]/Table1[[#This Row],[Last price]]</f>
        <v>2144.1227651608692</v>
      </c>
      <c r="H15" s="34">
        <v>0</v>
      </c>
      <c r="I15" s="34">
        <v>2144</v>
      </c>
      <c r="J15" s="38">
        <f t="shared" si="0"/>
        <v>2144</v>
      </c>
      <c r="K15" s="39">
        <v>137.27000000000001</v>
      </c>
      <c r="L15" s="40">
        <f>Table1[[#This Row],[Current Price]]*Table1[[#This Row],[Current Quantity]]</f>
        <v>294306.88</v>
      </c>
      <c r="M15" s="41">
        <f>Table1[[#This Row],[Current Value Allocation]]/$L$2</f>
        <v>1.9324152222164749E-2</v>
      </c>
      <c r="N15" s="40"/>
      <c r="O15" s="31" t="str">
        <f t="shared" si="2"/>
        <v>FTNT</v>
      </c>
    </row>
    <row r="16" spans="1:20" s="31" customFormat="1" ht="12.75" customHeight="1" x14ac:dyDescent="0.25">
      <c r="A16" s="33" t="s">
        <v>127</v>
      </c>
      <c r="B16" s="33" t="s">
        <v>2</v>
      </c>
      <c r="C16" s="34" t="s">
        <v>157</v>
      </c>
      <c r="D16" s="35">
        <f t="shared" si="1"/>
        <v>2.6729999999999997E-2</v>
      </c>
      <c r="E16" s="36">
        <f>Table1[[#This Row],[Target Allocation (%)]]*$C$2*$C$3</f>
        <v>288491.71805239498</v>
      </c>
      <c r="F16" s="36">
        <v>361.76</v>
      </c>
      <c r="G16" s="37">
        <f>Table1[[#This Row],[Target Value Allocation (USD)]]/Table1[[#This Row],[Last price]]</f>
        <v>797.46715516473625</v>
      </c>
      <c r="H16" s="34">
        <v>0</v>
      </c>
      <c r="I16" s="34">
        <v>797</v>
      </c>
      <c r="J16" s="38">
        <f t="shared" si="0"/>
        <v>797</v>
      </c>
      <c r="K16" s="39">
        <v>367.78699999999998</v>
      </c>
      <c r="L16" s="40">
        <f>Table1[[#This Row],[Current Price]]*Table1[[#This Row],[Current Quantity]]</f>
        <v>293126.239</v>
      </c>
      <c r="M16" s="41">
        <f>Table1[[#This Row],[Current Value Allocation]]/$L$2</f>
        <v>1.9246631484614446E-2</v>
      </c>
      <c r="N16" s="40"/>
      <c r="O16" s="31" t="str">
        <f t="shared" si="2"/>
        <v>ASML</v>
      </c>
    </row>
    <row r="17" spans="1:18" s="31" customFormat="1" ht="12.75" customHeight="1" x14ac:dyDescent="0.25">
      <c r="A17" s="33" t="s">
        <v>127</v>
      </c>
      <c r="B17" s="43" t="s">
        <v>6</v>
      </c>
      <c r="C17" s="44" t="s">
        <v>28</v>
      </c>
      <c r="D17" s="45">
        <f t="shared" si="1"/>
        <v>2.6729999999999997E-2</v>
      </c>
      <c r="E17" s="46">
        <f>Table1[[#This Row],[Target Allocation (%)]]*$C$2*$C$3</f>
        <v>288491.71805239498</v>
      </c>
      <c r="F17" s="46">
        <v>59.65</v>
      </c>
      <c r="G17" s="47">
        <f>Table1[[#This Row],[Target Value Allocation (USD)]]/Table1[[#This Row],[Last price]]</f>
        <v>4836.4076790007539</v>
      </c>
      <c r="H17" s="44">
        <v>0</v>
      </c>
      <c r="I17" s="44">
        <v>4836</v>
      </c>
      <c r="J17" s="48">
        <f t="shared" si="0"/>
        <v>4836</v>
      </c>
      <c r="K17" s="49">
        <v>60.07</v>
      </c>
      <c r="L17" s="50">
        <f>Table1[[#This Row],[Current Price]]*Table1[[#This Row],[Current Quantity]]</f>
        <v>290498.52</v>
      </c>
      <c r="M17" s="51">
        <f>Table1[[#This Row],[Current Value Allocation]]/$L$2</f>
        <v>1.9074095790059583E-2</v>
      </c>
      <c r="N17" s="50"/>
      <c r="O17" s="31" t="str">
        <f t="shared" si="2"/>
        <v>JD</v>
      </c>
    </row>
    <row r="18" spans="1:18" s="57" customFormat="1" ht="12.75" customHeight="1" x14ac:dyDescent="0.25">
      <c r="A18" s="52"/>
      <c r="B18" s="52"/>
      <c r="C18" s="52"/>
      <c r="D18" s="53"/>
      <c r="E18" s="54"/>
      <c r="F18" s="54"/>
      <c r="G18" s="55"/>
      <c r="H18" s="55"/>
      <c r="I18" s="52"/>
      <c r="J18" s="52"/>
      <c r="K18" s="54"/>
      <c r="L18" s="52"/>
      <c r="M18" s="56"/>
      <c r="N18" s="52"/>
    </row>
    <row r="19" spans="1:18" s="68" customFormat="1" ht="12.75" customHeight="1" x14ac:dyDescent="0.25">
      <c r="A19" s="58" t="s">
        <v>158</v>
      </c>
      <c r="B19" s="59"/>
      <c r="C19" s="60"/>
      <c r="D19" s="61">
        <f>SUM(D7:D17)</f>
        <v>0.26729999999999998</v>
      </c>
      <c r="E19" s="62">
        <f>SUM(E7:E17)</f>
        <v>2884917.1805239501</v>
      </c>
      <c r="F19" s="62"/>
      <c r="G19" s="63"/>
      <c r="H19" s="64"/>
      <c r="I19" s="64"/>
      <c r="J19" s="64"/>
      <c r="K19" s="65"/>
      <c r="L19" s="62">
        <f>SUM(L7:L17)</f>
        <v>2999211.889</v>
      </c>
      <c r="M19" s="66">
        <f>Table1[[#This Row],[Current Value Allocation]]/$L$2</f>
        <v>0.19692787028819131</v>
      </c>
      <c r="N19" s="67"/>
    </row>
    <row r="20" spans="1:18" s="57" customFormat="1" ht="12.75" customHeight="1" x14ac:dyDescent="0.25">
      <c r="A20" s="52"/>
      <c r="B20" s="52"/>
      <c r="C20" s="52"/>
      <c r="D20" s="53"/>
      <c r="E20" s="54"/>
      <c r="F20" s="54"/>
      <c r="G20" s="55"/>
      <c r="H20" s="52"/>
      <c r="I20" s="52"/>
      <c r="J20" s="52"/>
      <c r="K20" s="54"/>
      <c r="L20" s="52"/>
      <c r="M20" s="69"/>
      <c r="N20" s="52"/>
    </row>
    <row r="21" spans="1:18" s="31" customFormat="1" ht="12.75" customHeight="1" x14ac:dyDescent="0.25">
      <c r="A21" s="34" t="str">
        <f>O21</f>
        <v>IAU</v>
      </c>
      <c r="B21" s="70" t="s">
        <v>5</v>
      </c>
      <c r="C21" s="71" t="s">
        <v>27</v>
      </c>
      <c r="D21" s="72">
        <f>Q3</f>
        <v>0.08</v>
      </c>
      <c r="E21" s="73">
        <f>Table1[[#This Row],[Target Allocation (%)]]*$C$2*$C$3</f>
        <v>863424.52092000016</v>
      </c>
      <c r="F21" s="73">
        <v>16.93</v>
      </c>
      <c r="G21" s="74">
        <f>Table1[[#This Row],[Target Value Allocation (USD)]]/Table1[[#This Row],[Last price]]</f>
        <v>50999.676368576504</v>
      </c>
      <c r="H21" s="71">
        <v>0</v>
      </c>
      <c r="I21" s="71">
        <v>51000</v>
      </c>
      <c r="J21" s="75">
        <f>I21-H21</f>
        <v>51000</v>
      </c>
      <c r="K21" s="76">
        <v>17.03</v>
      </c>
      <c r="L21" s="77">
        <f>Table1[[#This Row],[Current Price]]*Table1[[#This Row],[Current Quantity]]</f>
        <v>868530</v>
      </c>
      <c r="M21" s="78">
        <f>Table1[[#This Row],[Current Value Allocation]]/$L$2</f>
        <v>5.7027569078632309E-2</v>
      </c>
      <c r="N21" s="77"/>
      <c r="O21" s="31" t="str">
        <f>B21:B31</f>
        <v>IAU</v>
      </c>
      <c r="R21" s="42"/>
    </row>
    <row r="22" spans="1:18" s="31" customFormat="1" ht="12.75" customHeight="1" x14ac:dyDescent="0.25">
      <c r="A22" s="33"/>
      <c r="B22" s="33"/>
      <c r="C22" s="34"/>
      <c r="D22" s="79"/>
      <c r="E22" s="36"/>
      <c r="F22" s="36"/>
      <c r="G22" s="37"/>
      <c r="H22" s="34"/>
      <c r="I22" s="34"/>
      <c r="J22" s="34"/>
      <c r="K22" s="80"/>
      <c r="L22" s="81"/>
      <c r="M22" s="41"/>
      <c r="N22" s="81"/>
      <c r="R22" s="42"/>
    </row>
    <row r="23" spans="1:18" ht="26.25" x14ac:dyDescent="0.25">
      <c r="A23" s="33" t="s">
        <v>128</v>
      </c>
      <c r="B23" s="82" t="s">
        <v>94</v>
      </c>
      <c r="C23" s="83" t="s">
        <v>95</v>
      </c>
      <c r="D23" s="84">
        <v>4.1515012756188803E-2</v>
      </c>
      <c r="E23" s="85">
        <v>448063.5</v>
      </c>
      <c r="F23" s="85">
        <v>157657</v>
      </c>
      <c r="G23" s="86">
        <f>Table1[[#This Row],[Target Value Allocation (USD)]]/Table1[[#This Row],[Last price]]</f>
        <v>2.8420146266895858</v>
      </c>
      <c r="H23" s="83">
        <v>1</v>
      </c>
      <c r="I23" s="83">
        <v>3</v>
      </c>
      <c r="J23" s="38">
        <v>2</v>
      </c>
      <c r="K23" s="39">
        <f>471750/3</f>
        <v>157250</v>
      </c>
      <c r="L23" s="40">
        <f>Table1[[#This Row],[Current Price]]*Table1[[#This Row],[Current Quantity]]</f>
        <v>471750</v>
      </c>
      <c r="M23" s="41">
        <f>Table1[[#This Row],[Current Value Allocation]]/$L$2</f>
        <v>3.0975044860678147E-2</v>
      </c>
      <c r="N23" s="87"/>
      <c r="O23" s="2" t="str">
        <f>LEFT(Table1[[#This Row],[IB Ticker]], FIND(" ",Table1[[#This Row],[IB Ticker]])-1)</f>
        <v>TN</v>
      </c>
    </row>
    <row r="24" spans="1:18" ht="26.25" x14ac:dyDescent="0.25">
      <c r="A24" s="33" t="s">
        <v>128</v>
      </c>
      <c r="B24" s="82" t="s">
        <v>98</v>
      </c>
      <c r="C24" s="83" t="s">
        <v>99</v>
      </c>
      <c r="D24" s="84">
        <v>4.1515012756188803E-2</v>
      </c>
      <c r="E24" s="85">
        <v>448063.5</v>
      </c>
      <c r="F24" s="85">
        <v>220138</v>
      </c>
      <c r="G24" s="86">
        <f>Table1[[#This Row],[Target Value Allocation (USD)]]/Table1[[#This Row],[Last price]]</f>
        <v>2.0353755371630524</v>
      </c>
      <c r="H24" s="83">
        <v>1</v>
      </c>
      <c r="I24" s="83">
        <v>2</v>
      </c>
      <c r="J24" s="38">
        <v>1</v>
      </c>
      <c r="K24" s="39">
        <f>434975.43/2</f>
        <v>217487.715</v>
      </c>
      <c r="L24" s="40">
        <f>Table1[[#This Row],[Current Price]]*Table1[[#This Row],[Current Quantity]]</f>
        <v>434975.43</v>
      </c>
      <c r="M24" s="41">
        <f>Table1[[#This Row],[Current Value Allocation]]/$L$2</f>
        <v>2.8560431282549585E-2</v>
      </c>
      <c r="N24" s="87"/>
      <c r="O24" s="2" t="str">
        <f>LEFT(Table1[[#This Row],[IB Ticker]], FIND(" ",Table1[[#This Row],[IB Ticker]])-1)</f>
        <v>UB</v>
      </c>
    </row>
    <row r="25" spans="1:18" ht="26.25" x14ac:dyDescent="0.25">
      <c r="A25" s="33" t="s">
        <v>128</v>
      </c>
      <c r="B25" s="82" t="s">
        <v>101</v>
      </c>
      <c r="C25" s="83" t="s">
        <v>102</v>
      </c>
      <c r="D25" s="88">
        <v>8.3030025512377606E-2</v>
      </c>
      <c r="E25" s="85">
        <v>896127</v>
      </c>
      <c r="F25" s="85">
        <v>179137</v>
      </c>
      <c r="G25" s="86">
        <f>Table1[[#This Row],[Target Value Allocation (USD)]]/Table1[[#This Row],[Last price]]</f>
        <v>5.0024673852972867</v>
      </c>
      <c r="H25" s="83">
        <v>1</v>
      </c>
      <c r="I25" s="83">
        <v>5</v>
      </c>
      <c r="J25" s="38">
        <v>4</v>
      </c>
      <c r="K25" s="39">
        <f>890408.48/5</f>
        <v>178081.696</v>
      </c>
      <c r="L25" s="40">
        <f>Table1[[#This Row],[Current Price]]*Table1[[#This Row],[Current Quantity]]</f>
        <v>890408.48</v>
      </c>
      <c r="M25" s="41">
        <f>Table1[[#This Row],[Current Value Allocation]]/$L$2</f>
        <v>5.8464107286334374E-2</v>
      </c>
      <c r="N25" s="87"/>
      <c r="O25" s="2" t="str">
        <f>LEFT(Table1[[#This Row],[IB Ticker]], FIND(" ",Table1[[#This Row],[IB Ticker]])-1)</f>
        <v>ZB</v>
      </c>
    </row>
    <row r="26" spans="1:18" ht="26.25" x14ac:dyDescent="0.25">
      <c r="A26" s="33" t="s">
        <v>128</v>
      </c>
      <c r="B26" s="82" t="s">
        <v>104</v>
      </c>
      <c r="C26" s="83" t="s">
        <v>105</v>
      </c>
      <c r="D26" s="88">
        <v>8.3030025512377606E-2</v>
      </c>
      <c r="E26" s="85">
        <v>896127</v>
      </c>
      <c r="F26" s="85">
        <v>125692.33333333299</v>
      </c>
      <c r="G26" s="86">
        <f>Table1[[#This Row],[Target Value Allocation (USD)]]/Table1[[#This Row],[Last price]]</f>
        <v>7.1295279213529525</v>
      </c>
      <c r="H26" s="83">
        <v>3</v>
      </c>
      <c r="I26" s="83">
        <v>7</v>
      </c>
      <c r="J26" s="38">
        <v>4</v>
      </c>
      <c r="K26" s="39">
        <f>880193.71/7</f>
        <v>125741.95857142856</v>
      </c>
      <c r="L26" s="40">
        <f>Table1[[#This Row],[Current Price]]*Table1[[#This Row],[Current Quantity]]</f>
        <v>880193.71</v>
      </c>
      <c r="M26" s="41">
        <f>Table1[[#This Row],[Current Value Allocation]]/$L$2</f>
        <v>5.7793406790326934E-2</v>
      </c>
      <c r="N26" s="87"/>
      <c r="O26" s="2" t="str">
        <f>LEFT(Table1[[#This Row],[IB Ticker]], FIND(" ",Table1[[#This Row],[IB Ticker]])-1)</f>
        <v>ZF</v>
      </c>
    </row>
    <row r="27" spans="1:18" ht="26.25" x14ac:dyDescent="0.25">
      <c r="A27" s="33" t="s">
        <v>128</v>
      </c>
      <c r="B27" s="82" t="s">
        <v>107</v>
      </c>
      <c r="C27" s="83" t="s">
        <v>108</v>
      </c>
      <c r="D27" s="88">
        <v>8.3030025512377606E-2</v>
      </c>
      <c r="E27" s="85">
        <v>896127</v>
      </c>
      <c r="F27" s="85">
        <v>139209.5</v>
      </c>
      <c r="G27" s="86">
        <f>Table1[[#This Row],[Target Value Allocation (USD)]]/Table1[[#This Row],[Last price]]</f>
        <v>6.4372546413858247</v>
      </c>
      <c r="H27" s="83">
        <v>2</v>
      </c>
      <c r="I27" s="83">
        <v>6</v>
      </c>
      <c r="J27" s="38">
        <v>4</v>
      </c>
      <c r="K27" s="39">
        <f>834562.5/6</f>
        <v>139093.75</v>
      </c>
      <c r="L27" s="40">
        <f>Table1[[#This Row],[Current Price]]*Table1[[#This Row],[Current Quantity]]</f>
        <v>834562.5</v>
      </c>
      <c r="M27" s="41">
        <f>Table1[[#This Row],[Current Value Allocation]]/$L$2</f>
        <v>5.4797267358854707E-2</v>
      </c>
      <c r="N27" s="87"/>
      <c r="O27" s="2" t="str">
        <f>LEFT(Table1[[#This Row],[IB Ticker]], FIND(" ",Table1[[#This Row],[IB Ticker]])-1)</f>
        <v>ZN</v>
      </c>
    </row>
    <row r="28" spans="1:18" ht="26.25" x14ac:dyDescent="0.25">
      <c r="A28" s="43" t="s">
        <v>128</v>
      </c>
      <c r="B28" s="82" t="s">
        <v>110</v>
      </c>
      <c r="C28" s="83" t="s">
        <v>111</v>
      </c>
      <c r="D28" s="88">
        <v>8.3030025512377606E-2</v>
      </c>
      <c r="E28" s="85">
        <v>896127</v>
      </c>
      <c r="F28" s="85">
        <v>416400.4</v>
      </c>
      <c r="G28" s="86">
        <f>Table1[[#This Row],[Target Value Allocation (USD)]]/Table1[[#This Row],[Last price]]</f>
        <v>2.1520800652448941</v>
      </c>
      <c r="H28" s="83">
        <v>5</v>
      </c>
      <c r="I28" s="83">
        <v>2</v>
      </c>
      <c r="J28" s="38">
        <v>-3</v>
      </c>
      <c r="K28" s="39">
        <f>832806.64/2</f>
        <v>416403.32</v>
      </c>
      <c r="L28" s="40">
        <f>Table1[[#This Row],[Current Price]]*Table1[[#This Row],[Current Quantity]]</f>
        <v>832806.64</v>
      </c>
      <c r="M28" s="41">
        <f>Table1[[#This Row],[Current Value Allocation]]/$L$2</f>
        <v>5.4681977815094089E-2</v>
      </c>
      <c r="N28" s="87"/>
      <c r="O28" s="2" t="str">
        <f>LEFT(Table1[[#This Row],[IB Ticker]], FIND(" ",Table1[[#This Row],[IB Ticker]])-1)</f>
        <v>ZQ</v>
      </c>
    </row>
    <row r="29" spans="1:18" ht="26.25" x14ac:dyDescent="0.25">
      <c r="A29" s="34" t="s">
        <v>128</v>
      </c>
      <c r="B29" s="89" t="s">
        <v>116</v>
      </c>
      <c r="C29" s="90" t="s">
        <v>117</v>
      </c>
      <c r="D29" s="91">
        <v>8.3030025512377606E-2</v>
      </c>
      <c r="E29" s="92">
        <v>896127</v>
      </c>
      <c r="F29" s="92">
        <v>220792.25</v>
      </c>
      <c r="G29" s="93">
        <f>Table1[[#This Row],[Target Value Allocation (USD)]]/Table1[[#This Row],[Last price]]</f>
        <v>4.0586886541533955</v>
      </c>
      <c r="H29" s="90">
        <v>4</v>
      </c>
      <c r="I29" s="90">
        <v>4</v>
      </c>
      <c r="J29" s="48">
        <v>0</v>
      </c>
      <c r="K29" s="49">
        <f>883312.5/4</f>
        <v>220828.125</v>
      </c>
      <c r="L29" s="50">
        <f>Table1[[#This Row],[Current Price]]*Table1[[#This Row],[Current Quantity]]</f>
        <v>883312.5</v>
      </c>
      <c r="M29" s="51">
        <f>Table1[[#This Row],[Current Value Allocation]]/$L$2</f>
        <v>5.7998186144139409E-2</v>
      </c>
      <c r="N29" s="94"/>
      <c r="O29" s="2" t="str">
        <f>LEFT(Table1[[#This Row],[IB Ticker]], FIND(" ",Table1[[#This Row],[IB Ticker]])-1)</f>
        <v>ZT</v>
      </c>
    </row>
    <row r="30" spans="1:18" s="100" customFormat="1" ht="12.75" x14ac:dyDescent="0.2">
      <c r="A30" s="52"/>
      <c r="B30" s="95"/>
      <c r="C30" s="95"/>
      <c r="D30" s="96"/>
      <c r="E30" s="97"/>
      <c r="F30" s="97"/>
      <c r="G30" s="98"/>
      <c r="H30" s="98"/>
      <c r="I30" s="95"/>
      <c r="J30" s="52"/>
      <c r="K30" s="54"/>
      <c r="L30" s="52"/>
      <c r="M30" s="56"/>
      <c r="N30" s="99"/>
    </row>
    <row r="31" spans="1:18" s="15" customFormat="1" ht="12.75" x14ac:dyDescent="0.2">
      <c r="A31" s="58" t="s">
        <v>159</v>
      </c>
      <c r="B31" s="101"/>
      <c r="C31" s="102"/>
      <c r="D31" s="103">
        <f>SUM(D23:D29)</f>
        <v>0.49818015307426561</v>
      </c>
      <c r="E31" s="104">
        <f>SUM(E23:E29)</f>
        <v>5376762</v>
      </c>
      <c r="F31" s="105"/>
      <c r="G31" s="106"/>
      <c r="H31" s="102"/>
      <c r="I31" s="102"/>
      <c r="J31" s="60"/>
      <c r="K31" s="107"/>
      <c r="L31" s="104">
        <f>SUM(L23:L29)</f>
        <v>5228009.26</v>
      </c>
      <c r="M31" s="108">
        <f>Table1[[#This Row],[Current Value Allocation]]/$L$2</f>
        <v>0.34327042153797721</v>
      </c>
      <c r="N31" s="109"/>
    </row>
    <row r="32" spans="1:18" s="100" customFormat="1" ht="12.75" x14ac:dyDescent="0.2">
      <c r="A32" s="52"/>
      <c r="B32" s="95"/>
      <c r="C32" s="95"/>
      <c r="D32" s="96"/>
      <c r="E32" s="97"/>
      <c r="F32" s="97"/>
      <c r="G32" s="98"/>
      <c r="H32" s="95"/>
      <c r="I32" s="95"/>
      <c r="J32" s="52"/>
      <c r="K32" s="54"/>
      <c r="L32" s="52"/>
      <c r="M32" s="69"/>
      <c r="N32" s="99"/>
    </row>
    <row r="33" spans="1:18" s="31" customFormat="1" ht="25.5" customHeight="1" x14ac:dyDescent="0.2">
      <c r="A33" s="34" t="s">
        <v>130</v>
      </c>
      <c r="B33" s="70" t="s">
        <v>39</v>
      </c>
      <c r="C33" s="71" t="s">
        <v>40</v>
      </c>
      <c r="D33" s="72">
        <v>7.3258053793286504E-3</v>
      </c>
      <c r="E33" s="73">
        <v>79066</v>
      </c>
      <c r="F33" s="73">
        <v>93227.785714285696</v>
      </c>
      <c r="G33" s="74">
        <f>Table1[[#This Row],[Target Value Allocation (USD)]]/Table1[[#This Row],[Last price]]</f>
        <v>0.84809479699874901</v>
      </c>
      <c r="H33" s="71">
        <v>14</v>
      </c>
      <c r="I33" s="71">
        <v>1</v>
      </c>
      <c r="J33" s="75">
        <v>-13</v>
      </c>
      <c r="K33" s="76">
        <v>92909.01</v>
      </c>
      <c r="L33" s="77">
        <f>Table1[[#This Row],[Current Price]]*Table1[[#This Row],[Current Quantity]]</f>
        <v>92909.01</v>
      </c>
      <c r="M33" s="78">
        <f>Table1[[#This Row],[Current Value Allocation]]/$L$2</f>
        <v>6.1003937524349641E-3</v>
      </c>
      <c r="N33" s="77"/>
      <c r="O33" s="2" t="str">
        <f>LEFT(Table1[[#This Row],[IB Ticker]], FIND(" ",Table1[[#This Row],[IB Ticker]])-1)</f>
        <v>3KTB</v>
      </c>
      <c r="R33" s="42"/>
    </row>
    <row r="34" spans="1:18" s="31" customFormat="1" ht="25.5" customHeight="1" x14ac:dyDescent="0.2">
      <c r="A34" s="70" t="s">
        <v>130</v>
      </c>
      <c r="B34" s="33" t="s">
        <v>160</v>
      </c>
      <c r="C34" s="34" t="s">
        <v>161</v>
      </c>
      <c r="D34" s="35">
        <v>7.3258053793286504E-3</v>
      </c>
      <c r="E34" s="36">
        <v>79066</v>
      </c>
      <c r="F34" s="36">
        <v>161069</v>
      </c>
      <c r="G34" s="37">
        <f>Table1[[#This Row],[Target Value Allocation (USD)]]/Table1[[#This Row],[Last price]]</f>
        <v>0.49088278936356466</v>
      </c>
      <c r="H34" s="34">
        <v>1</v>
      </c>
      <c r="I34" s="34">
        <v>1</v>
      </c>
      <c r="J34" s="38">
        <v>0</v>
      </c>
      <c r="K34" s="39">
        <v>161297.60000000001</v>
      </c>
      <c r="L34" s="40">
        <f>Table1[[#This Row],[Current Price]]*Table1[[#This Row],[Current Quantity]]</f>
        <v>161297.60000000001</v>
      </c>
      <c r="M34" s="41">
        <f>Table1[[#This Row],[Current Value Allocation]]/$L$2</f>
        <v>1.0590779853565914E-2</v>
      </c>
      <c r="N34" s="40"/>
      <c r="O34" s="2" t="str">
        <f>LEFT(Table1[[#This Row],[IB Ticker]], FIND(" ",Table1[[#This Row],[IB Ticker]])-1)</f>
        <v>BTP</v>
      </c>
    </row>
    <row r="35" spans="1:18" s="31" customFormat="1" ht="25.5" customHeight="1" x14ac:dyDescent="0.2">
      <c r="A35" s="33" t="s">
        <v>130</v>
      </c>
      <c r="B35" s="33" t="s">
        <v>162</v>
      </c>
      <c r="C35" s="34" t="s">
        <v>163</v>
      </c>
      <c r="D35" s="35">
        <v>7.3258053793286504E-3</v>
      </c>
      <c r="E35" s="36">
        <v>79066</v>
      </c>
      <c r="F35" s="36">
        <v>125628.5</v>
      </c>
      <c r="G35" s="37">
        <f>Table1[[#This Row],[Target Value Allocation (USD)]]/Table1[[#This Row],[Last price]]</f>
        <v>0.62936356002021832</v>
      </c>
      <c r="H35" s="34">
        <v>6</v>
      </c>
      <c r="I35" s="34">
        <v>1</v>
      </c>
      <c r="J35" s="38">
        <v>-5</v>
      </c>
      <c r="K35" s="39">
        <v>125563.95</v>
      </c>
      <c r="L35" s="40">
        <f>Table1[[#This Row],[Current Price]]*Table1[[#This Row],[Current Quantity]]</f>
        <v>125563.95</v>
      </c>
      <c r="M35" s="41">
        <f>Table1[[#This Row],[Current Value Allocation]]/$L$2</f>
        <v>8.2445129499394768E-3</v>
      </c>
      <c r="N35" s="40"/>
      <c r="O35" s="2" t="str">
        <f>LEFT(Table1[[#This Row],[IB Ticker]], FIND(" ",Table1[[#This Row],[IB Ticker]])-1)</f>
        <v>BTS</v>
      </c>
    </row>
    <row r="36" spans="1:18" s="31" customFormat="1" ht="25.5" customHeight="1" x14ac:dyDescent="0.2">
      <c r="A36" s="33" t="s">
        <v>130</v>
      </c>
      <c r="B36" s="33" t="s">
        <v>50</v>
      </c>
      <c r="C36" s="34" t="s">
        <v>51</v>
      </c>
      <c r="D36" s="35">
        <v>7.3258053793286504E-3</v>
      </c>
      <c r="E36" s="36">
        <v>79066</v>
      </c>
      <c r="F36" s="36">
        <v>112810</v>
      </c>
      <c r="G36" s="37">
        <f>Table1[[#This Row],[Target Value Allocation (USD)]]/Table1[[#This Row],[Last price]]</f>
        <v>0.70087758177466541</v>
      </c>
      <c r="H36" s="34">
        <v>2</v>
      </c>
      <c r="I36" s="34">
        <v>1</v>
      </c>
      <c r="J36" s="38">
        <v>-1</v>
      </c>
      <c r="K36" s="39">
        <v>113296.94</v>
      </c>
      <c r="L36" s="40">
        <f>Table1[[#This Row],[Current Price]]*Table1[[#This Row],[Current Quantity]]</f>
        <v>113296.94</v>
      </c>
      <c r="M36" s="41">
        <f>Table1[[#This Row],[Current Value Allocation]]/$L$2</f>
        <v>7.4390626371543412E-3</v>
      </c>
      <c r="N36" s="40"/>
      <c r="O36" s="2" t="str">
        <f>LEFT(Table1[[#This Row],[IB Ticker]], FIND(" ",Table1[[#This Row],[IB Ticker]])-1)</f>
        <v>CGB</v>
      </c>
    </row>
    <row r="37" spans="1:18" s="31" customFormat="1" ht="25.5" customHeight="1" x14ac:dyDescent="0.2">
      <c r="A37" s="33" t="s">
        <v>130</v>
      </c>
      <c r="B37" s="33" t="s">
        <v>164</v>
      </c>
      <c r="C37" s="34" t="s">
        <v>55</v>
      </c>
      <c r="D37" s="35">
        <v>7.3258053793286504E-3</v>
      </c>
      <c r="E37" s="36">
        <v>79066</v>
      </c>
      <c r="F37" s="36">
        <v>249576</v>
      </c>
      <c r="G37" s="37">
        <f>Table1[[#This Row],[Target Value Allocation (USD)]]/Table1[[#This Row],[Last price]]</f>
        <v>0.31680129499631376</v>
      </c>
      <c r="H37" s="34">
        <v>6</v>
      </c>
      <c r="I37" s="34">
        <v>1</v>
      </c>
      <c r="J37" s="38">
        <v>-5</v>
      </c>
      <c r="K37" s="39">
        <f>1497519.04/6</f>
        <v>249586.50666666668</v>
      </c>
      <c r="L37" s="40">
        <f>Table1[[#This Row],[Current Price]]*Table1[[#This Row],[Current Quantity]]</f>
        <v>249586.50666666668</v>
      </c>
      <c r="M37" s="41">
        <f>Table1[[#This Row],[Current Value Allocation]]/$L$2</f>
        <v>1.6387818210111173E-2</v>
      </c>
      <c r="N37" s="40"/>
      <c r="O37" s="2" t="str">
        <f>LEFT(Table1[[#This Row],[IB Ticker]], FIND(" ",Table1[[#This Row],[IB Ticker]])-1)</f>
        <v>EM</v>
      </c>
    </row>
    <row r="38" spans="1:18" s="31" customFormat="1" ht="25.5" customHeight="1" x14ac:dyDescent="0.2">
      <c r="A38" s="33" t="s">
        <v>130</v>
      </c>
      <c r="B38" s="33" t="s">
        <v>58</v>
      </c>
      <c r="C38" s="34" t="s">
        <v>59</v>
      </c>
      <c r="D38" s="35">
        <v>7.3258053793286504E-3</v>
      </c>
      <c r="E38" s="36">
        <v>79066</v>
      </c>
      <c r="F38" s="36">
        <v>111283</v>
      </c>
      <c r="G38" s="37">
        <f>Table1[[#This Row],[Target Value Allocation (USD)]]/Table1[[#This Row],[Last price]]</f>
        <v>0.710494864444704</v>
      </c>
      <c r="H38" s="34">
        <v>3</v>
      </c>
      <c r="I38" s="34">
        <v>1</v>
      </c>
      <c r="J38" s="38">
        <v>-2</v>
      </c>
      <c r="K38" s="39">
        <v>110527.56</v>
      </c>
      <c r="L38" s="40">
        <f>Table1[[#This Row],[Current Price]]*Table1[[#This Row],[Current Quantity]]</f>
        <v>110527.56</v>
      </c>
      <c r="M38" s="41">
        <f>Table1[[#This Row],[Current Value Allocation]]/$L$2</f>
        <v>7.2572254993986127E-3</v>
      </c>
      <c r="N38" s="40"/>
      <c r="O38" s="2" t="str">
        <f>LEFT(Table1[[#This Row],[IB Ticker]], FIND(" ",Table1[[#This Row],[IB Ticker]])-1)</f>
        <v>FLKTB</v>
      </c>
    </row>
    <row r="39" spans="1:18" s="31" customFormat="1" ht="25.5" customHeight="1" x14ac:dyDescent="0.2">
      <c r="A39" s="33" t="s">
        <v>130</v>
      </c>
      <c r="B39" s="33" t="s">
        <v>165</v>
      </c>
      <c r="C39" s="34" t="s">
        <v>166</v>
      </c>
      <c r="D39" s="35">
        <v>7.3258053793286504E-3</v>
      </c>
      <c r="E39" s="36">
        <v>79066</v>
      </c>
      <c r="F39" s="36">
        <v>198629.5</v>
      </c>
      <c r="G39" s="37">
        <f>Table1[[#This Row],[Target Value Allocation (USD)]]/Table1[[#This Row],[Last price]]</f>
        <v>0.39805769032293792</v>
      </c>
      <c r="H39" s="34">
        <v>2</v>
      </c>
      <c r="I39" s="34">
        <v>1</v>
      </c>
      <c r="J39" s="38">
        <v>-1</v>
      </c>
      <c r="K39" s="39">
        <v>197736.33</v>
      </c>
      <c r="L39" s="40">
        <f>Table1[[#This Row],[Current Price]]*Table1[[#This Row],[Current Quantity]]</f>
        <v>197736.33</v>
      </c>
      <c r="M39" s="41">
        <f>Table1[[#This Row],[Current Value Allocation]]/$L$2</f>
        <v>1.2983342220107807E-2</v>
      </c>
      <c r="N39" s="40"/>
      <c r="O39" s="2" t="str">
        <f>LEFT(Table1[[#This Row],[IB Ticker]], FIND(" ",Table1[[#This Row],[IB Ticker]])-1)</f>
        <v>GBL</v>
      </c>
    </row>
    <row r="40" spans="1:18" s="31" customFormat="1" ht="25.5" x14ac:dyDescent="0.2">
      <c r="A40" s="33" t="s">
        <v>130</v>
      </c>
      <c r="B40" s="33" t="s">
        <v>167</v>
      </c>
      <c r="C40" s="34" t="s">
        <v>168</v>
      </c>
      <c r="D40" s="35">
        <v>7.3258053793286504E-3</v>
      </c>
      <c r="E40" s="36">
        <v>79066</v>
      </c>
      <c r="F40" s="36">
        <v>151781.25</v>
      </c>
      <c r="G40" s="37">
        <f>Table1[[#This Row],[Target Value Allocation (USD)]]/Table1[[#This Row],[Last price]]</f>
        <v>0.52092073296273422</v>
      </c>
      <c r="H40" s="34">
        <v>4</v>
      </c>
      <c r="I40" s="34">
        <v>1</v>
      </c>
      <c r="J40" s="38">
        <v>-3</v>
      </c>
      <c r="K40" s="39">
        <v>151422.56</v>
      </c>
      <c r="L40" s="40">
        <f>Table1[[#This Row],[Current Price]]*Table1[[#This Row],[Current Quantity]]</f>
        <v>151422.56</v>
      </c>
      <c r="M40" s="41">
        <f>Table1[[#This Row],[Current Value Allocation]]/$L$2</f>
        <v>9.9423859860492386E-3</v>
      </c>
      <c r="N40" s="40"/>
      <c r="O40" s="2" t="str">
        <f>LEFT(Table1[[#This Row],[IB Ticker]], FIND(" ",Table1[[#This Row],[IB Ticker]])-1)</f>
        <v>GBM</v>
      </c>
    </row>
    <row r="41" spans="1:18" s="31" customFormat="1" ht="25.5" customHeight="1" x14ac:dyDescent="0.2">
      <c r="A41" s="33" t="s">
        <v>130</v>
      </c>
      <c r="B41" s="33" t="s">
        <v>169</v>
      </c>
      <c r="C41" s="34" t="s">
        <v>170</v>
      </c>
      <c r="D41" s="35">
        <v>7.3258053793286504E-3</v>
      </c>
      <c r="E41" s="36">
        <v>79066</v>
      </c>
      <c r="F41" s="36">
        <v>126057.777777778</v>
      </c>
      <c r="G41" s="37">
        <f>Table1[[#This Row],[Target Value Allocation (USD)]]/Table1[[#This Row],[Last price]]</f>
        <v>0.62722032225081858</v>
      </c>
      <c r="H41" s="34">
        <v>18</v>
      </c>
      <c r="I41" s="34">
        <v>1</v>
      </c>
      <c r="J41" s="38">
        <v>-17</v>
      </c>
      <c r="K41" s="39">
        <v>125859.19</v>
      </c>
      <c r="L41" s="40">
        <f>Table1[[#This Row],[Current Price]]*Table1[[#This Row],[Current Quantity]]</f>
        <v>125859.19</v>
      </c>
      <c r="M41" s="41">
        <f>Table1[[#This Row],[Current Value Allocation]]/$L$2</f>
        <v>8.2638983707018863E-3</v>
      </c>
      <c r="N41" s="40"/>
      <c r="O41" s="2" t="str">
        <f>LEFT(Table1[[#This Row],[IB Ticker]], FIND(" ",Table1[[#This Row],[IB Ticker]])-1)</f>
        <v>GBS</v>
      </c>
    </row>
    <row r="42" spans="1:18" s="31" customFormat="1" ht="25.5" customHeight="1" x14ac:dyDescent="0.2">
      <c r="A42" s="33" t="s">
        <v>130</v>
      </c>
      <c r="B42" s="33" t="s">
        <v>171</v>
      </c>
      <c r="C42" s="34" t="s">
        <v>172</v>
      </c>
      <c r="D42" s="35">
        <v>7.3258053793286504E-3</v>
      </c>
      <c r="E42" s="36">
        <v>79066</v>
      </c>
      <c r="F42" s="36">
        <v>248283</v>
      </c>
      <c r="G42" s="37">
        <f>Table1[[#This Row],[Target Value Allocation (USD)]]/Table1[[#This Row],[Last price]]</f>
        <v>0.31845112230801143</v>
      </c>
      <c r="H42" s="34">
        <v>1</v>
      </c>
      <c r="I42" s="34">
        <v>1</v>
      </c>
      <c r="J42" s="38">
        <v>0</v>
      </c>
      <c r="K42" s="39">
        <v>245132.51</v>
      </c>
      <c r="L42" s="40">
        <f>Table1[[#This Row],[Current Price]]*Table1[[#This Row],[Current Quantity]]</f>
        <v>245132.51</v>
      </c>
      <c r="M42" s="41">
        <f>Table1[[#This Row],[Current Value Allocation]]/$L$2</f>
        <v>1.6095369356779302E-2</v>
      </c>
      <c r="N42" s="40"/>
      <c r="O42" s="2" t="str">
        <f>LEFT(Table1[[#This Row],[IB Ticker]], FIND(" ",Table1[[#This Row],[IB Ticker]])-1)</f>
        <v>GBX</v>
      </c>
    </row>
    <row r="43" spans="1:18" s="31" customFormat="1" ht="25.5" x14ac:dyDescent="0.2">
      <c r="A43" s="33" t="s">
        <v>130</v>
      </c>
      <c r="B43" s="33" t="s">
        <v>173</v>
      </c>
      <c r="C43" s="34" t="s">
        <v>61</v>
      </c>
      <c r="D43" s="35">
        <v>7.3258053793286504E-3</v>
      </c>
      <c r="E43" s="36">
        <v>79066</v>
      </c>
      <c r="F43" s="36">
        <v>249275</v>
      </c>
      <c r="G43" s="37">
        <f>Table1[[#This Row],[Target Value Allocation (USD)]]/Table1[[#This Row],[Last price]]</f>
        <v>0.31718383311603648</v>
      </c>
      <c r="H43" s="34">
        <v>11</v>
      </c>
      <c r="I43" s="34">
        <v>1</v>
      </c>
      <c r="J43" s="38">
        <v>-10</v>
      </c>
      <c r="K43" s="39">
        <v>249316.25</v>
      </c>
      <c r="L43" s="40">
        <f>Table1[[#This Row],[Current Price]]*Table1[[#This Row],[Current Quantity]]</f>
        <v>249316.25</v>
      </c>
      <c r="M43" s="41">
        <f>Table1[[#This Row],[Current Value Allocation]]/$L$2</f>
        <v>1.6370073191830523E-2</v>
      </c>
      <c r="N43" s="40"/>
      <c r="O43" s="2" t="str">
        <f>LEFT(Table1[[#This Row],[IB Ticker]], FIND(" ",Table1[[#This Row],[IB Ticker]])-1)</f>
        <v>GE</v>
      </c>
    </row>
    <row r="44" spans="1:18" s="31" customFormat="1" ht="25.5" x14ac:dyDescent="0.2">
      <c r="A44" s="33" t="s">
        <v>130</v>
      </c>
      <c r="B44" s="33" t="s">
        <v>174</v>
      </c>
      <c r="C44" s="34" t="s">
        <v>175</v>
      </c>
      <c r="D44" s="35">
        <v>7.3258053793286504E-3</v>
      </c>
      <c r="E44" s="36">
        <v>79066</v>
      </c>
      <c r="F44" s="36">
        <v>282200.34375</v>
      </c>
      <c r="G44" s="37">
        <f>Table1[[#This Row],[Target Value Allocation (USD)]]/Table1[[#This Row],[Last price]]</f>
        <v>0.28017683801988635</v>
      </c>
      <c r="H44" s="34">
        <v>32</v>
      </c>
      <c r="I44" s="34">
        <v>1</v>
      </c>
      <c r="J44" s="38">
        <v>-31</v>
      </c>
      <c r="K44" s="39">
        <v>281889.23</v>
      </c>
      <c r="L44" s="40">
        <f>Table1[[#This Row],[Current Price]]*Table1[[#This Row],[Current Quantity]]</f>
        <v>281889.23</v>
      </c>
      <c r="M44" s="41">
        <f>Table1[[#This Row],[Current Value Allocation]]/$L$2</f>
        <v>1.8508810906183403E-2</v>
      </c>
      <c r="N44" s="40"/>
      <c r="O44" s="2" t="str">
        <f>LEFT(Table1[[#This Row],[IB Ticker]], FIND(" ",Table1[[#This Row],[IB Ticker]])-1)</f>
        <v>I</v>
      </c>
    </row>
    <row r="45" spans="1:18" s="31" customFormat="1" ht="25.5" x14ac:dyDescent="0.2">
      <c r="A45" s="33" t="s">
        <v>130</v>
      </c>
      <c r="B45" s="33" t="s">
        <v>62</v>
      </c>
      <c r="C45" s="34" t="s">
        <v>63</v>
      </c>
      <c r="D45" s="35">
        <v>7.3258053793286504E-3</v>
      </c>
      <c r="E45" s="36">
        <v>79066</v>
      </c>
      <c r="F45" s="36">
        <v>169249.32142857101</v>
      </c>
      <c r="G45" s="37">
        <f>Table1[[#This Row],[Target Value Allocation (USD)]]/Table1[[#This Row],[Last price]]</f>
        <v>0.46715696897708714</v>
      </c>
      <c r="H45" s="34">
        <v>28</v>
      </c>
      <c r="I45" s="34">
        <v>1</v>
      </c>
      <c r="J45" s="38">
        <v>-27</v>
      </c>
      <c r="K45" s="39">
        <v>169879.79</v>
      </c>
      <c r="L45" s="40">
        <f>Table1[[#This Row],[Current Price]]*Table1[[#This Row],[Current Quantity]]</f>
        <v>169879.79</v>
      </c>
      <c r="M45" s="41">
        <f>Table1[[#This Row],[Current Value Allocation]]/$L$2</f>
        <v>1.1154285354896838E-2</v>
      </c>
      <c r="N45" s="40"/>
      <c r="O45" s="2" t="str">
        <f>LEFT(Table1[[#This Row],[IB Ticker]], FIND(" ",Table1[[#This Row],[IB Ticker]])-1)</f>
        <v>IB</v>
      </c>
    </row>
    <row r="46" spans="1:18" s="31" customFormat="1" ht="25.5" x14ac:dyDescent="0.2">
      <c r="A46" s="33" t="s">
        <v>130</v>
      </c>
      <c r="B46" s="33" t="s">
        <v>66</v>
      </c>
      <c r="C46" s="34" t="s">
        <v>67</v>
      </c>
      <c r="D46" s="35">
        <v>7.3258053793286504E-3</v>
      </c>
      <c r="E46" s="36">
        <v>79066</v>
      </c>
      <c r="F46" s="36">
        <v>687051</v>
      </c>
      <c r="G46" s="37">
        <f>Table1[[#This Row],[Target Value Allocation (USD)]]/Table1[[#This Row],[Last price]]</f>
        <v>0.11508024877338073</v>
      </c>
      <c r="H46" s="34">
        <v>5</v>
      </c>
      <c r="I46" s="34">
        <v>1</v>
      </c>
      <c r="J46" s="38">
        <v>-4</v>
      </c>
      <c r="K46" s="39">
        <v>689586.16</v>
      </c>
      <c r="L46" s="40">
        <f>Table1[[#This Row],[Current Price]]*Table1[[#This Row],[Current Quantity]]</f>
        <v>689586.16</v>
      </c>
      <c r="M46" s="41">
        <f>Table1[[#This Row],[Current Value Allocation]]/$L$2</f>
        <v>4.5278139356232712E-2</v>
      </c>
      <c r="N46" s="40"/>
      <c r="O46" s="2" t="str">
        <f>LEFT(Table1[[#This Row],[IB Ticker]], FIND(" ",Table1[[#This Row],[IB Ticker]])-1)</f>
        <v>IR</v>
      </c>
    </row>
    <row r="47" spans="1:18" s="31" customFormat="1" ht="25.5" x14ac:dyDescent="0.2">
      <c r="A47" s="33" t="s">
        <v>130</v>
      </c>
      <c r="B47" s="33" t="s">
        <v>176</v>
      </c>
      <c r="C47" s="34" t="s">
        <v>177</v>
      </c>
      <c r="D47" s="35">
        <v>7.3258053793286504E-3</v>
      </c>
      <c r="E47" s="36">
        <v>79066</v>
      </c>
      <c r="F47" s="36">
        <v>1419983</v>
      </c>
      <c r="G47" s="37">
        <f>Table1[[#This Row],[Target Value Allocation (USD)]]/Table1[[#This Row],[Last price]]</f>
        <v>5.5680948293042945E-2</v>
      </c>
      <c r="H47" s="34">
        <v>1</v>
      </c>
      <c r="I47" s="34">
        <v>1</v>
      </c>
      <c r="J47" s="38">
        <v>0</v>
      </c>
      <c r="K47" s="39">
        <v>1409524.78</v>
      </c>
      <c r="L47" s="40">
        <f>Table1[[#This Row],[Current Price]]*Table1[[#This Row],[Current Quantity]]</f>
        <v>1409524.78</v>
      </c>
      <c r="M47" s="41">
        <f>Table1[[#This Row],[Current Value Allocation]]/$L$2</f>
        <v>9.2549217366693165E-2</v>
      </c>
      <c r="N47" s="40"/>
      <c r="O47" s="2" t="str">
        <f>LEFT(Table1[[#This Row],[IB Ticker]], FIND(" ",Table1[[#This Row],[IB Ticker]])-1)</f>
        <v>JGB</v>
      </c>
    </row>
    <row r="48" spans="1:18" s="31" customFormat="1" ht="25.5" x14ac:dyDescent="0.2">
      <c r="A48" s="33" t="s">
        <v>130</v>
      </c>
      <c r="B48" s="33" t="s">
        <v>178</v>
      </c>
      <c r="C48" s="34" t="s">
        <v>69</v>
      </c>
      <c r="D48" s="35">
        <v>7.3258053793286504E-3</v>
      </c>
      <c r="E48" s="36">
        <v>79066</v>
      </c>
      <c r="F48" s="36">
        <v>154195.90196078399</v>
      </c>
      <c r="G48" s="37">
        <f>Table1[[#This Row],[Target Value Allocation (USD)]]/Table1[[#This Row],[Last price]]</f>
        <v>0.51276330300988504</v>
      </c>
      <c r="H48" s="34">
        <v>51</v>
      </c>
      <c r="I48" s="34">
        <v>1</v>
      </c>
      <c r="J48" s="38">
        <v>-50</v>
      </c>
      <c r="K48" s="39">
        <v>154503.53</v>
      </c>
      <c r="L48" s="40">
        <f>Table1[[#This Row],[Current Price]]*Table1[[#This Row],[Current Quantity]]</f>
        <v>154503.53</v>
      </c>
      <c r="M48" s="41">
        <f>Table1[[#This Row],[Current Value Allocation]]/$L$2</f>
        <v>1.0144682083483058E-2</v>
      </c>
      <c r="N48" s="40"/>
      <c r="O48" s="2" t="str">
        <f>LEFT(Table1[[#This Row],[IB Ticker]], FIND(" ",Table1[[#This Row],[IB Ticker]])-1)</f>
        <v>L</v>
      </c>
    </row>
    <row r="49" spans="1:19" s="31" customFormat="1" ht="25.5" x14ac:dyDescent="0.2">
      <c r="A49" s="33" t="s">
        <v>130</v>
      </c>
      <c r="B49" s="33" t="s">
        <v>179</v>
      </c>
      <c r="C49" s="34" t="s">
        <v>180</v>
      </c>
      <c r="D49" s="35">
        <v>7.3258053793286504E-3</v>
      </c>
      <c r="E49" s="36">
        <v>79066</v>
      </c>
      <c r="F49" s="36">
        <v>188397.5</v>
      </c>
      <c r="G49" s="37">
        <f>Table1[[#This Row],[Target Value Allocation (USD)]]/Table1[[#This Row],[Last price]]</f>
        <v>0.41967648190660706</v>
      </c>
      <c r="H49" s="34">
        <v>2</v>
      </c>
      <c r="I49" s="34">
        <v>1</v>
      </c>
      <c r="J49" s="38">
        <v>-1</v>
      </c>
      <c r="K49" s="39">
        <v>187823.94</v>
      </c>
      <c r="L49" s="40">
        <f>Table1[[#This Row],[Current Price]]*Table1[[#This Row],[Current Quantity]]</f>
        <v>187823.94</v>
      </c>
      <c r="M49" s="41">
        <f>Table1[[#This Row],[Current Value Allocation]]/$L$2</f>
        <v>1.2332495956352562E-2</v>
      </c>
      <c r="N49" s="40"/>
      <c r="O49" s="2" t="str">
        <f>LEFT(Table1[[#This Row],[IB Ticker]], FIND(" ",Table1[[#This Row],[IB Ticker]])-1)</f>
        <v>OAT</v>
      </c>
    </row>
    <row r="50" spans="1:19" s="31" customFormat="1" ht="25.5" x14ac:dyDescent="0.2">
      <c r="A50" s="43" t="s">
        <v>130</v>
      </c>
      <c r="B50" s="33" t="s">
        <v>181</v>
      </c>
      <c r="C50" s="34" t="s">
        <v>182</v>
      </c>
      <c r="D50" s="35">
        <v>7.3258053793286504E-3</v>
      </c>
      <c r="E50" s="36">
        <v>79066</v>
      </c>
      <c r="F50" s="36">
        <v>169911.5</v>
      </c>
      <c r="G50" s="37">
        <f>Table1[[#This Row],[Target Value Allocation (USD)]]/Table1[[#This Row],[Last price]]</f>
        <v>0.46533636628480118</v>
      </c>
      <c r="H50" s="34">
        <v>2</v>
      </c>
      <c r="I50" s="34">
        <v>1</v>
      </c>
      <c r="J50" s="38">
        <v>-1</v>
      </c>
      <c r="K50" s="39">
        <v>170147.86</v>
      </c>
      <c r="L50" s="40">
        <f>Table1[[#This Row],[Current Price]]*Table1[[#This Row],[Current Quantity]]</f>
        <v>170147.86</v>
      </c>
      <c r="M50" s="41">
        <f>Table1[[#This Row],[Current Value Allocation]]/$L$2</f>
        <v>1.1171886796922914E-2</v>
      </c>
      <c r="N50" s="40"/>
      <c r="O50" s="2" t="str">
        <f>LEFT(Table1[[#This Row],[IB Ticker]], FIND(" ",Table1[[#This Row],[IB Ticker]])-1)</f>
        <v>R</v>
      </c>
    </row>
    <row r="51" spans="1:19" s="31" customFormat="1" ht="25.5" x14ac:dyDescent="0.2">
      <c r="A51" s="34" t="s">
        <v>148</v>
      </c>
      <c r="B51" s="43" t="s">
        <v>183</v>
      </c>
      <c r="C51" s="44" t="s">
        <v>184</v>
      </c>
      <c r="D51" s="45">
        <v>0</v>
      </c>
      <c r="E51" s="46">
        <v>0</v>
      </c>
      <c r="F51" s="46">
        <v>265610.59999999998</v>
      </c>
      <c r="G51" s="47">
        <f>Table1[[#This Row],[Target Value Allocation (USD)]]/Table1[[#This Row],[Last price]]</f>
        <v>0</v>
      </c>
      <c r="H51" s="44">
        <v>15</v>
      </c>
      <c r="I51" s="44">
        <v>0</v>
      </c>
      <c r="J51" s="48">
        <v>-15</v>
      </c>
      <c r="K51" s="49"/>
      <c r="L51" s="50">
        <f>Table1[[#This Row],[Current Price]]*Table1[[#This Row],[Current Quantity]]</f>
        <v>0</v>
      </c>
      <c r="M51" s="51">
        <f>Table1[[#This Row],[Current Value Allocation]]/$L$2</f>
        <v>0</v>
      </c>
      <c r="N51" s="50"/>
      <c r="O51" s="2" t="str">
        <f>LEFT(Table1[[#This Row],[IB Ticker]], FIND(" ",Table1[[#This Row],[IB Ticker]])-1)</f>
        <v>S</v>
      </c>
    </row>
    <row r="52" spans="1:19" s="57" customFormat="1" ht="12.75" x14ac:dyDescent="0.2">
      <c r="A52" s="52"/>
      <c r="B52" s="52"/>
      <c r="C52" s="52"/>
      <c r="D52" s="53"/>
      <c r="E52" s="54"/>
      <c r="F52" s="54"/>
      <c r="G52" s="55"/>
      <c r="H52" s="52"/>
      <c r="I52" s="52"/>
      <c r="J52" s="52"/>
      <c r="K52" s="54"/>
      <c r="L52" s="52"/>
      <c r="M52" s="69"/>
      <c r="N52" s="52"/>
      <c r="O52" s="100"/>
    </row>
    <row r="53" spans="1:19" s="68" customFormat="1" ht="12.75" x14ac:dyDescent="0.2">
      <c r="A53" s="58" t="s">
        <v>185</v>
      </c>
      <c r="B53" s="59"/>
      <c r="C53" s="60"/>
      <c r="D53" s="110">
        <f>SUM(D33:D51)</f>
        <v>0.13186449682791576</v>
      </c>
      <c r="E53" s="62">
        <f>SUM(E33:E51)</f>
        <v>1423188</v>
      </c>
      <c r="F53" s="111"/>
      <c r="G53" s="112"/>
      <c r="H53" s="60"/>
      <c r="I53" s="60"/>
      <c r="J53" s="60"/>
      <c r="K53" s="107"/>
      <c r="L53" s="62">
        <f>SUM(L33:L51)</f>
        <v>4886003.6966666682</v>
      </c>
      <c r="M53" s="108">
        <f>Table1[[#This Row],[Current Value Allocation]]/$L$2</f>
        <v>0.32081437984883798</v>
      </c>
      <c r="N53" s="67"/>
      <c r="O53" s="15"/>
    </row>
    <row r="54" spans="1:19" s="57" customFormat="1" ht="12.75" x14ac:dyDescent="0.2">
      <c r="A54" s="52"/>
      <c r="B54" s="52"/>
      <c r="C54" s="52"/>
      <c r="D54" s="53"/>
      <c r="E54" s="54"/>
      <c r="F54" s="54"/>
      <c r="G54" s="55"/>
      <c r="H54" s="52"/>
      <c r="I54" s="52"/>
      <c r="J54" s="52"/>
      <c r="K54" s="54"/>
      <c r="L54" s="52"/>
      <c r="M54" s="69"/>
      <c r="N54" s="52"/>
      <c r="O54" s="100"/>
    </row>
    <row r="55" spans="1:19" s="31" customFormat="1" ht="25.5" x14ac:dyDescent="0.2">
      <c r="A55" s="34" t="s">
        <v>131</v>
      </c>
      <c r="B55" s="70" t="s">
        <v>186</v>
      </c>
      <c r="C55" s="71" t="s">
        <v>187</v>
      </c>
      <c r="D55" s="72">
        <v>1.57894736842105E-3</v>
      </c>
      <c r="E55" s="113">
        <v>17041.273439210501</v>
      </c>
      <c r="F55" s="113">
        <v>31907</v>
      </c>
      <c r="G55" s="114">
        <f>Table1[[#This Row],[Target Value Allocation (USD)]]/Table1[[#This Row],[Last price]]</f>
        <v>0.53409199984989186</v>
      </c>
      <c r="H55" s="71">
        <v>1</v>
      </c>
      <c r="I55" s="71">
        <v>1</v>
      </c>
      <c r="J55" s="75">
        <v>0</v>
      </c>
      <c r="K55" s="76">
        <v>35259.360000000001</v>
      </c>
      <c r="L55" s="77">
        <f>Table1[[#This Row],[Current Price]]*Table1[[#This Row],[Current Quantity]]</f>
        <v>35259.360000000001</v>
      </c>
      <c r="M55" s="78">
        <f>Table1[[#This Row],[Current Value Allocation]]/$L$2</f>
        <v>2.3151250826895617E-3</v>
      </c>
      <c r="N55" s="77"/>
      <c r="O55" s="2" t="str">
        <f>LEFT(Table1[[#This Row],[IB Ticker]], FIND(" ",Table1[[#This Row],[IB Ticker]])-1)</f>
        <v>AC</v>
      </c>
    </row>
    <row r="56" spans="1:19" s="31" customFormat="1" ht="25.5" x14ac:dyDescent="0.2">
      <c r="A56" s="70" t="s">
        <v>131</v>
      </c>
      <c r="B56" s="33" t="s">
        <v>43</v>
      </c>
      <c r="C56" s="34" t="s">
        <v>44</v>
      </c>
      <c r="D56" s="35">
        <v>1.57894736842105E-3</v>
      </c>
      <c r="E56" s="115">
        <v>17041.273439210501</v>
      </c>
      <c r="F56" s="115">
        <v>39916.333333333299</v>
      </c>
      <c r="G56" s="116">
        <f>Table1[[#This Row],[Target Value Allocation (USD)]]/Table1[[#This Row],[Last price]]</f>
        <v>0.4269248203962584</v>
      </c>
      <c r="H56" s="34">
        <v>3</v>
      </c>
      <c r="I56" s="34">
        <v>1</v>
      </c>
      <c r="J56" s="38">
        <v>-2</v>
      </c>
      <c r="K56" s="39">
        <v>40249.370000000003</v>
      </c>
      <c r="L56" s="40">
        <f>Table1[[#This Row],[Current Price]]*Table1[[#This Row],[Current Quantity]]</f>
        <v>40249.370000000003</v>
      </c>
      <c r="M56" s="41">
        <f>Table1[[#This Row],[Current Value Allocation]]/$L$2</f>
        <v>2.6427685031564035E-3</v>
      </c>
      <c r="N56" s="40"/>
      <c r="O56" s="2" t="str">
        <f>LEFT(Table1[[#This Row],[IB Ticker]], FIND(" ",Table1[[#This Row],[IB Ticker]])-1)</f>
        <v>AH</v>
      </c>
    </row>
    <row r="57" spans="1:19" s="31" customFormat="1" ht="25.5" x14ac:dyDescent="0.2">
      <c r="A57" s="33" t="s">
        <v>131</v>
      </c>
      <c r="B57" s="33" t="s">
        <v>47</v>
      </c>
      <c r="C57" s="34" t="s">
        <v>48</v>
      </c>
      <c r="D57" s="35">
        <v>1.57894736842105E-3</v>
      </c>
      <c r="E57" s="115">
        <v>17041.273439210501</v>
      </c>
      <c r="F57" s="115">
        <v>149379</v>
      </c>
      <c r="G57" s="116">
        <f>Table1[[#This Row],[Target Value Allocation (USD)]]/Table1[[#This Row],[Last price]]</f>
        <v>0.11408078404066503</v>
      </c>
      <c r="H57" s="34">
        <v>1</v>
      </c>
      <c r="I57" s="34">
        <v>1</v>
      </c>
      <c r="J57" s="38">
        <v>0</v>
      </c>
      <c r="K57" s="39">
        <v>152218.14000000001</v>
      </c>
      <c r="L57" s="40">
        <f>Table1[[#This Row],[Current Price]]*Table1[[#This Row],[Current Quantity]]</f>
        <v>152218.14000000001</v>
      </c>
      <c r="M57" s="41">
        <f>Table1[[#This Row],[Current Value Allocation]]/$L$2</f>
        <v>9.9946236674276368E-3</v>
      </c>
      <c r="N57" s="40"/>
      <c r="O57" s="2" t="str">
        <f>LEFT(Table1[[#This Row],[IB Ticker]], FIND(" ",Table1[[#This Row],[IB Ticker]])-1)</f>
        <v>CA</v>
      </c>
      <c r="S57" s="31" t="s">
        <v>188</v>
      </c>
    </row>
    <row r="58" spans="1:19" s="31" customFormat="1" ht="12.75" x14ac:dyDescent="0.2">
      <c r="A58" s="33" t="s">
        <v>131</v>
      </c>
      <c r="B58" s="33" t="s">
        <v>189</v>
      </c>
      <c r="C58" s="34" t="s">
        <v>190</v>
      </c>
      <c r="D58" s="35">
        <v>1.57894736842105E-3</v>
      </c>
      <c r="E58" s="115">
        <v>17041.273439210501</v>
      </c>
      <c r="F58" s="115">
        <v>40250</v>
      </c>
      <c r="G58" s="116">
        <f>Table1[[#This Row],[Target Value Allocation (USD)]]/Table1[[#This Row],[Last price]]</f>
        <v>0.42338567550833545</v>
      </c>
      <c r="H58" s="34">
        <v>1</v>
      </c>
      <c r="I58" s="34">
        <v>1</v>
      </c>
      <c r="J58" s="38">
        <v>0</v>
      </c>
      <c r="K58" s="39">
        <v>41640</v>
      </c>
      <c r="L58" s="40">
        <f>Table1[[#This Row],[Current Price]]*Table1[[#This Row],[Current Quantity]]</f>
        <v>41640</v>
      </c>
      <c r="M58" s="41">
        <f>Table1[[#This Row],[Current Value Allocation]]/$L$2</f>
        <v>2.7340770916770281E-3</v>
      </c>
      <c r="N58" s="40"/>
      <c r="O58" s="2" t="str">
        <f>LEFT(Table1[[#This Row],[IB Ticker]], FIND(" ",Table1[[#This Row],[IB Ticker]])-1)</f>
        <v>COIL</v>
      </c>
    </row>
    <row r="59" spans="1:19" s="31" customFormat="1" ht="25.5" x14ac:dyDescent="0.2">
      <c r="A59" s="33" t="s">
        <v>131</v>
      </c>
      <c r="B59" s="33" t="s">
        <v>191</v>
      </c>
      <c r="C59" s="34" t="s">
        <v>192</v>
      </c>
      <c r="D59" s="35">
        <v>1.57894736842105E-3</v>
      </c>
      <c r="E59" s="115">
        <v>17041.273439210501</v>
      </c>
      <c r="F59" s="115">
        <v>34175</v>
      </c>
      <c r="G59" s="116">
        <f>Table1[[#This Row],[Target Value Allocation (USD)]]/Table1[[#This Row],[Last price]]</f>
        <v>0.49864735740191662</v>
      </c>
      <c r="H59" s="34">
        <v>1</v>
      </c>
      <c r="I59" s="34">
        <v>1</v>
      </c>
      <c r="J59" s="38">
        <v>0</v>
      </c>
      <c r="K59" s="39">
        <v>36057.5</v>
      </c>
      <c r="L59" s="40">
        <f>Table1[[#This Row],[Current Price]]*Table1[[#This Row],[Current Quantity]]</f>
        <v>36057.5</v>
      </c>
      <c r="M59" s="41">
        <f>Table1[[#This Row],[Current Value Allocation]]/$L$2</f>
        <v>2.3675308533416053E-3</v>
      </c>
      <c r="N59" s="40"/>
      <c r="O59" s="2" t="str">
        <f>LEFT(Table1[[#This Row],[IB Ticker]], FIND(" ",Table1[[#This Row],[IB Ticker]])-1)</f>
        <v>GOIL</v>
      </c>
    </row>
    <row r="60" spans="1:19" s="31" customFormat="1" ht="25.5" x14ac:dyDescent="0.2">
      <c r="A60" s="33" t="s">
        <v>131</v>
      </c>
      <c r="B60" s="33" t="s">
        <v>193</v>
      </c>
      <c r="C60" s="34" t="s">
        <v>194</v>
      </c>
      <c r="D60" s="35">
        <v>1.57894736842105E-3</v>
      </c>
      <c r="E60" s="115">
        <v>17041.273439210501</v>
      </c>
      <c r="F60" s="115">
        <v>47762</v>
      </c>
      <c r="G60" s="116">
        <f>Table1[[#This Row],[Target Value Allocation (USD)]]/Table1[[#This Row],[Last price]]</f>
        <v>0.35679564170701605</v>
      </c>
      <c r="H60" s="34">
        <v>1</v>
      </c>
      <c r="I60" s="34">
        <v>1</v>
      </c>
      <c r="J60" s="38">
        <v>0</v>
      </c>
      <c r="K60" s="39">
        <v>50526</v>
      </c>
      <c r="L60" s="40">
        <f>Table1[[#This Row],[Current Price]]*Table1[[#This Row],[Current Quantity]]</f>
        <v>50526</v>
      </c>
      <c r="M60" s="41">
        <f>Table1[[#This Row],[Current Value Allocation]]/$L$2</f>
        <v>3.3175307188778465E-3</v>
      </c>
      <c r="N60" s="40"/>
      <c r="O60" s="2" t="str">
        <f>LEFT(Table1[[#This Row],[IB Ticker]], FIND(" ",Table1[[#This Row],[IB Ticker]])-1)</f>
        <v>HO</v>
      </c>
    </row>
    <row r="61" spans="1:19" s="31" customFormat="1" ht="12.75" x14ac:dyDescent="0.2">
      <c r="A61" s="33" t="s">
        <v>131</v>
      </c>
      <c r="B61" s="33" t="s">
        <v>195</v>
      </c>
      <c r="C61" s="34" t="s">
        <v>196</v>
      </c>
      <c r="D61" s="35">
        <v>1.57894736842105E-3</v>
      </c>
      <c r="E61" s="115">
        <v>17041.273439210501</v>
      </c>
      <c r="F61" s="115">
        <v>47763</v>
      </c>
      <c r="G61" s="116">
        <f>Table1[[#This Row],[Target Value Allocation (USD)]]/Table1[[#This Row],[Last price]]</f>
        <v>0.35678817158073195</v>
      </c>
      <c r="H61" s="34">
        <v>1</v>
      </c>
      <c r="I61" s="34">
        <v>1</v>
      </c>
      <c r="J61" s="38">
        <v>0</v>
      </c>
      <c r="K61" s="39">
        <v>50530.2</v>
      </c>
      <c r="L61" s="40">
        <f>Table1[[#This Row],[Current Price]]*Table1[[#This Row],[Current Quantity]]</f>
        <v>50530.2</v>
      </c>
      <c r="M61" s="41">
        <f>Table1[[#This Row],[Current Value Allocation]]/$L$2</f>
        <v>3.3178064903424246E-3</v>
      </c>
      <c r="N61" s="40"/>
      <c r="O61" s="2" t="str">
        <f>LEFT(Table1[[#This Row],[IB Ticker]], FIND(" ",Table1[[#This Row],[IB Ticker]])-1)</f>
        <v>HOIL</v>
      </c>
    </row>
    <row r="62" spans="1:19" s="31" customFormat="1" ht="25.5" x14ac:dyDescent="0.2">
      <c r="A62" s="33" t="s">
        <v>131</v>
      </c>
      <c r="B62" s="33" t="s">
        <v>197</v>
      </c>
      <c r="C62" s="34" t="s">
        <v>198</v>
      </c>
      <c r="D62" s="35">
        <v>1.57894736842105E-3</v>
      </c>
      <c r="E62" s="115">
        <v>17041.273439210501</v>
      </c>
      <c r="F62" s="115">
        <v>15930</v>
      </c>
      <c r="G62" s="116">
        <f>Table1[[#This Row],[Target Value Allocation (USD)]]/Table1[[#This Row],[Last price]]</f>
        <v>1.0697597890276522</v>
      </c>
      <c r="H62" s="34">
        <v>3</v>
      </c>
      <c r="I62" s="34">
        <v>1</v>
      </c>
      <c r="J62" s="38">
        <v>-2</v>
      </c>
      <c r="K62" s="39">
        <v>17160</v>
      </c>
      <c r="L62" s="40">
        <f>Table1[[#This Row],[Current Price]]*Table1[[#This Row],[Current Quantity]]</f>
        <v>17160</v>
      </c>
      <c r="M62" s="41">
        <f>Table1[[#This Row],[Current Value Allocation]]/$L$2</f>
        <v>1.1267234124202163E-3</v>
      </c>
      <c r="N62" s="40"/>
      <c r="O62" s="2" t="str">
        <f>LEFT(Table1[[#This Row],[IB Ticker]], FIND(" ",Table1[[#This Row],[IB Ticker]])-1)</f>
        <v>NG</v>
      </c>
    </row>
    <row r="63" spans="1:19" s="31" customFormat="1" ht="12.75" x14ac:dyDescent="0.2">
      <c r="A63" s="33" t="s">
        <v>131</v>
      </c>
      <c r="B63" s="33" t="s">
        <v>199</v>
      </c>
      <c r="C63" s="34" t="s">
        <v>200</v>
      </c>
      <c r="D63" s="35">
        <v>1.57894736842105E-3</v>
      </c>
      <c r="E63" s="115">
        <v>17041.273439210501</v>
      </c>
      <c r="F63" s="115">
        <v>5555.2</v>
      </c>
      <c r="G63" s="116">
        <f>Table1[[#This Row],[Target Value Allocation (USD)]]/Table1[[#This Row],[Last price]]</f>
        <v>3.0676255470929044</v>
      </c>
      <c r="H63" s="34">
        <v>5</v>
      </c>
      <c r="I63" s="34">
        <v>5</v>
      </c>
      <c r="J63" s="38">
        <v>0</v>
      </c>
      <c r="K63" s="39">
        <f>29890.02/5</f>
        <v>5978.0039999999999</v>
      </c>
      <c r="L63" s="40">
        <f>Table1[[#This Row],[Current Price]]*Table1[[#This Row],[Current Quantity]]</f>
        <v>29890.02</v>
      </c>
      <c r="M63" s="41">
        <f>Table1[[#This Row],[Current Value Allocation]]/$L$2</f>
        <v>1.9625749027802164E-3</v>
      </c>
      <c r="N63" s="40"/>
      <c r="O63" s="2" t="str">
        <f>LEFT(Table1[[#This Row],[IB Ticker]], FIND(" ",Table1[[#This Row],[IB Ticker]])-1)</f>
        <v>NGF</v>
      </c>
    </row>
    <row r="64" spans="1:19" s="31" customFormat="1" ht="25.5" x14ac:dyDescent="0.2">
      <c r="A64" s="33" t="s">
        <v>131</v>
      </c>
      <c r="B64" s="33" t="s">
        <v>73</v>
      </c>
      <c r="C64" s="34" t="s">
        <v>74</v>
      </c>
      <c r="D64" s="35">
        <v>1.57894736842105E-3</v>
      </c>
      <c r="E64" s="115">
        <v>17041.273439210501</v>
      </c>
      <c r="F64" s="115">
        <v>75644</v>
      </c>
      <c r="G64" s="116">
        <f>Table1[[#This Row],[Target Value Allocation (USD)]]/Table1[[#This Row],[Last price]]</f>
        <v>0.22528255300103778</v>
      </c>
      <c r="H64" s="34">
        <v>1</v>
      </c>
      <c r="I64" s="34">
        <v>1</v>
      </c>
      <c r="J64" s="38">
        <v>0</v>
      </c>
      <c r="K64" s="39">
        <v>76498.95</v>
      </c>
      <c r="L64" s="40">
        <f>Table1[[#This Row],[Current Price]]*Table1[[#This Row],[Current Quantity]]</f>
        <v>76498.95</v>
      </c>
      <c r="M64" s="41">
        <f>Table1[[#This Row],[Current Value Allocation]]/$L$2</f>
        <v>5.0229113048113928E-3</v>
      </c>
      <c r="N64" s="40"/>
      <c r="O64" s="2" t="str">
        <f>LEFT(Table1[[#This Row],[IB Ticker]], FIND(" ",Table1[[#This Row],[IB Ticker]])-1)</f>
        <v>NI</v>
      </c>
    </row>
    <row r="65" spans="1:15" s="31" customFormat="1" ht="25.5" x14ac:dyDescent="0.2">
      <c r="A65" s="33" t="s">
        <v>131</v>
      </c>
      <c r="B65" s="33" t="s">
        <v>76</v>
      </c>
      <c r="C65" s="34" t="s">
        <v>77</v>
      </c>
      <c r="D65" s="35">
        <v>1.57894736842105E-3</v>
      </c>
      <c r="E65" s="115">
        <v>17041.273439210501</v>
      </c>
      <c r="F65" s="115">
        <v>189451</v>
      </c>
      <c r="G65" s="116">
        <f>Table1[[#This Row],[Target Value Allocation (USD)]]/Table1[[#This Row],[Last price]]</f>
        <v>8.995082337496503E-2</v>
      </c>
      <c r="H65" s="34">
        <v>1</v>
      </c>
      <c r="I65" s="34">
        <v>1</v>
      </c>
      <c r="J65" s="38">
        <v>0</v>
      </c>
      <c r="K65" s="39">
        <v>193468.48</v>
      </c>
      <c r="L65" s="40">
        <f>Table1[[#This Row],[Current Price]]*Table1[[#This Row],[Current Quantity]]</f>
        <v>193468.48</v>
      </c>
      <c r="M65" s="41">
        <f>Table1[[#This Row],[Current Value Allocation]]/$L$2</f>
        <v>1.2703115733179043E-2</v>
      </c>
      <c r="N65" s="40"/>
      <c r="O65" s="2" t="str">
        <f>LEFT(Table1[[#This Row],[IB Ticker]], FIND(" ",Table1[[#This Row],[IB Ticker]])-1)</f>
        <v>PA</v>
      </c>
    </row>
    <row r="66" spans="1:15" s="31" customFormat="1" ht="25.5" x14ac:dyDescent="0.2">
      <c r="A66" s="33" t="s">
        <v>131</v>
      </c>
      <c r="B66" s="33" t="s">
        <v>79</v>
      </c>
      <c r="C66" s="34" t="s">
        <v>80</v>
      </c>
      <c r="D66" s="35">
        <v>1.57894736842105E-3</v>
      </c>
      <c r="E66" s="115">
        <v>17041.273439210501</v>
      </c>
      <c r="F66" s="115">
        <v>44587.5</v>
      </c>
      <c r="G66" s="116">
        <f>Table1[[#This Row],[Target Value Allocation (USD)]]/Table1[[#This Row],[Last price]]</f>
        <v>0.38219845111770118</v>
      </c>
      <c r="H66" s="34">
        <v>2</v>
      </c>
      <c r="I66" s="34">
        <v>1</v>
      </c>
      <c r="J66" s="38">
        <v>-1</v>
      </c>
      <c r="K66" s="39">
        <v>44382.03</v>
      </c>
      <c r="L66" s="40">
        <f>Table1[[#This Row],[Current Price]]*Table1[[#This Row],[Current Quantity]]</f>
        <v>44382.03</v>
      </c>
      <c r="M66" s="41">
        <f>Table1[[#This Row],[Current Value Allocation]]/$L$2</f>
        <v>2.9141184319193712E-3</v>
      </c>
      <c r="N66" s="40"/>
      <c r="O66" s="2" t="str">
        <f>LEFT(Table1[[#This Row],[IB Ticker]], FIND(" ",Table1[[#This Row],[IB Ticker]])-1)</f>
        <v>PB</v>
      </c>
    </row>
    <row r="67" spans="1:15" s="31" customFormat="1" ht="25.5" x14ac:dyDescent="0.2">
      <c r="A67" s="33" t="s">
        <v>131</v>
      </c>
      <c r="B67" s="33" t="s">
        <v>82</v>
      </c>
      <c r="C67" s="34" t="s">
        <v>83</v>
      </c>
      <c r="D67" s="35">
        <v>1.57894736842105E-3</v>
      </c>
      <c r="E67" s="115">
        <v>17041.273439210501</v>
      </c>
      <c r="F67" s="115">
        <v>41151.5</v>
      </c>
      <c r="G67" s="116">
        <f>Table1[[#This Row],[Target Value Allocation (USD)]]/Table1[[#This Row],[Last price]]</f>
        <v>0.41411062632493351</v>
      </c>
      <c r="H67" s="34">
        <v>2</v>
      </c>
      <c r="I67" s="34">
        <v>1</v>
      </c>
      <c r="J67" s="38">
        <v>-1</v>
      </c>
      <c r="K67" s="39">
        <v>42774.03</v>
      </c>
      <c r="L67" s="40">
        <f>Table1[[#This Row],[Current Price]]*Table1[[#This Row],[Current Quantity]]</f>
        <v>42774.03</v>
      </c>
      <c r="M67" s="41">
        <f>Table1[[#This Row],[Current Value Allocation]]/$L$2</f>
        <v>2.8085373569093647E-3</v>
      </c>
      <c r="N67" s="40"/>
      <c r="O67" s="2" t="str">
        <f>LEFT(Table1[[#This Row],[IB Ticker]], FIND(" ",Table1[[#This Row],[IB Ticker]])-1)</f>
        <v>PL</v>
      </c>
    </row>
    <row r="68" spans="1:15" s="31" customFormat="1" ht="25.5" x14ac:dyDescent="0.2">
      <c r="A68" s="33" t="s">
        <v>131</v>
      </c>
      <c r="B68" s="33" t="s">
        <v>201</v>
      </c>
      <c r="C68" s="34" t="s">
        <v>202</v>
      </c>
      <c r="D68" s="35">
        <v>1.57894736842105E-3</v>
      </c>
      <c r="E68" s="115">
        <v>17041.273439210501</v>
      </c>
      <c r="F68" s="115">
        <v>47233</v>
      </c>
      <c r="G68" s="116">
        <f>Table1[[#This Row],[Target Value Allocation (USD)]]/Table1[[#This Row],[Last price]]</f>
        <v>0.36079168037623061</v>
      </c>
      <c r="H68" s="34">
        <v>1</v>
      </c>
      <c r="I68" s="34">
        <v>1</v>
      </c>
      <c r="J68" s="38">
        <v>0</v>
      </c>
      <c r="K68" s="39">
        <v>51263.51</v>
      </c>
      <c r="L68" s="40">
        <f>Table1[[#This Row],[Current Price]]*Table1[[#This Row],[Current Quantity]]</f>
        <v>51263.51</v>
      </c>
      <c r="M68" s="41">
        <f>Table1[[#This Row],[Current Value Allocation]]/$L$2</f>
        <v>3.3659555314590841E-3</v>
      </c>
      <c r="N68" s="40"/>
      <c r="O68" s="2" t="str">
        <f>LEFT(Table1[[#This Row],[IB Ticker]], FIND(" ",Table1[[#This Row],[IB Ticker]])-1)</f>
        <v>RB</v>
      </c>
    </row>
    <row r="69" spans="1:15" s="31" customFormat="1" ht="25.5" x14ac:dyDescent="0.2">
      <c r="A69" s="33" t="s">
        <v>131</v>
      </c>
      <c r="B69" s="33" t="s">
        <v>84</v>
      </c>
      <c r="C69" s="34" t="s">
        <v>85</v>
      </c>
      <c r="D69" s="35">
        <v>1.57894736842105E-3</v>
      </c>
      <c r="E69" s="115">
        <v>17041.273439210501</v>
      </c>
      <c r="F69" s="115">
        <v>9842.1666666666697</v>
      </c>
      <c r="G69" s="116">
        <f>Table1[[#This Row],[Target Value Allocation (USD)]]/Table1[[#This Row],[Last price]]</f>
        <v>1.7314554829604418</v>
      </c>
      <c r="H69" s="34">
        <v>6</v>
      </c>
      <c r="I69" s="34">
        <v>2</v>
      </c>
      <c r="J69" s="38">
        <v>-4</v>
      </c>
      <c r="K69" s="39">
        <f>19499/2</f>
        <v>9749.5</v>
      </c>
      <c r="L69" s="40">
        <f>Table1[[#This Row],[Current Price]]*Table1[[#This Row],[Current Quantity]]</f>
        <v>19499</v>
      </c>
      <c r="M69" s="41">
        <f>Table1[[#This Row],[Current Value Allocation]]/$L$2</f>
        <v>1.2803018542413634E-3</v>
      </c>
      <c r="N69" s="40"/>
      <c r="O69" s="2" t="str">
        <f>LEFT(Table1[[#This Row],[IB Ticker]], FIND(" ",Table1[[#This Row],[IB Ticker]])-1)</f>
        <v>SCI</v>
      </c>
    </row>
    <row r="70" spans="1:15" s="31" customFormat="1" ht="25.5" x14ac:dyDescent="0.2">
      <c r="A70" s="33" t="s">
        <v>131</v>
      </c>
      <c r="B70" s="33" t="s">
        <v>203</v>
      </c>
      <c r="C70" s="34" t="s">
        <v>92</v>
      </c>
      <c r="D70" s="35">
        <v>1.57894736842105E-3</v>
      </c>
      <c r="E70" s="115">
        <v>17041.273439210501</v>
      </c>
      <c r="F70" s="115">
        <v>83797</v>
      </c>
      <c r="G70" s="116">
        <f>Table1[[#This Row],[Target Value Allocation (USD)]]/Table1[[#This Row],[Last price]]</f>
        <v>0.20336376528050529</v>
      </c>
      <c r="H70" s="34">
        <v>1</v>
      </c>
      <c r="I70" s="34">
        <v>1</v>
      </c>
      <c r="J70" s="38">
        <v>0</v>
      </c>
      <c r="K70" s="39">
        <v>83380.36</v>
      </c>
      <c r="L70" s="40">
        <f>Table1[[#This Row],[Current Price]]*Table1[[#This Row],[Current Quantity]]</f>
        <v>83380.36</v>
      </c>
      <c r="M70" s="41">
        <f>Table1[[#This Row],[Current Value Allocation]]/$L$2</f>
        <v>5.4747438081600291E-3</v>
      </c>
      <c r="N70" s="40"/>
      <c r="O70" s="2" t="str">
        <f>LEFT(Table1[[#This Row],[IB Ticker]], FIND(" ",Table1[[#This Row],[IB Ticker]])-1)</f>
        <v>SNLME</v>
      </c>
    </row>
    <row r="71" spans="1:15" s="31" customFormat="1" ht="25.5" x14ac:dyDescent="0.2">
      <c r="A71" s="33" t="s">
        <v>131</v>
      </c>
      <c r="B71" s="33" t="s">
        <v>91</v>
      </c>
      <c r="C71" s="34" t="s">
        <v>92</v>
      </c>
      <c r="D71" s="35">
        <v>1.57894736842105E-3</v>
      </c>
      <c r="E71" s="115">
        <v>17041.273439210501</v>
      </c>
      <c r="F71" s="115">
        <v>83202</v>
      </c>
      <c r="G71" s="116">
        <f>Table1[[#This Row],[Target Value Allocation (USD)]]/Table1[[#This Row],[Last price]]</f>
        <v>0.20481807455602632</v>
      </c>
      <c r="H71" s="34">
        <v>1</v>
      </c>
      <c r="I71" s="34">
        <v>1</v>
      </c>
      <c r="J71" s="38">
        <v>0</v>
      </c>
      <c r="K71" s="39">
        <v>83975</v>
      </c>
      <c r="L71" s="40">
        <f>Table1[[#This Row],[Current Price]]*Table1[[#This Row],[Current Quantity]]</f>
        <v>83975</v>
      </c>
      <c r="M71" s="41">
        <f>Table1[[#This Row],[Current Value Allocation]]/$L$2</f>
        <v>5.5137877947545261E-3</v>
      </c>
      <c r="N71" s="40"/>
      <c r="O71" s="2" t="str">
        <f>LEFT(Table1[[#This Row],[IB Ticker]], FIND(" ",Table1[[#This Row],[IB Ticker]])-1)</f>
        <v>SNLME</v>
      </c>
    </row>
    <row r="72" spans="1:15" ht="26.25" x14ac:dyDescent="0.25">
      <c r="A72" s="33" t="s">
        <v>131</v>
      </c>
      <c r="B72" s="82" t="s">
        <v>204</v>
      </c>
      <c r="C72" s="83" t="s">
        <v>205</v>
      </c>
      <c r="D72" s="35">
        <v>1.57894736842105E-3</v>
      </c>
      <c r="E72" s="115">
        <v>17041.273439210501</v>
      </c>
      <c r="F72" s="115">
        <v>37760</v>
      </c>
      <c r="G72" s="116">
        <f>Table1[[#This Row],[Target Value Allocation (USD)]]/Table1[[#This Row],[Last price]]</f>
        <v>0.45130491099604081</v>
      </c>
      <c r="H72" s="83">
        <v>1</v>
      </c>
      <c r="I72" s="83">
        <v>1</v>
      </c>
      <c r="J72" s="38">
        <v>0</v>
      </c>
      <c r="K72" s="39">
        <v>39690</v>
      </c>
      <c r="L72" s="40">
        <f>Table1[[#This Row],[Current Price]]*Table1[[#This Row],[Current Quantity]]</f>
        <v>39690</v>
      </c>
      <c r="M72" s="41">
        <f>Table1[[#This Row],[Current Value Allocation]]/$L$2</f>
        <v>2.6060403402656399E-3</v>
      </c>
      <c r="N72" s="87"/>
      <c r="O72" s="2" t="str">
        <f>LEFT(Table1[[#This Row],[IB Ticker]], FIND(" ",Table1[[#This Row],[IB Ticker]])-1)</f>
        <v>WTI</v>
      </c>
    </row>
    <row r="73" spans="1:15" ht="26.25" x14ac:dyDescent="0.25">
      <c r="A73" s="33" t="s">
        <v>131</v>
      </c>
      <c r="B73" s="82" t="s">
        <v>113</v>
      </c>
      <c r="C73" s="83" t="s">
        <v>114</v>
      </c>
      <c r="D73" s="117">
        <v>1.57894736842105E-3</v>
      </c>
      <c r="E73" s="115">
        <v>17041.273439210501</v>
      </c>
      <c r="F73" s="115">
        <v>50751</v>
      </c>
      <c r="G73" s="116">
        <f>Table1[[#This Row],[Target Value Allocation (USD)]]/Table1[[#This Row],[Last price]]</f>
        <v>0.33578202280172809</v>
      </c>
      <c r="H73" s="83">
        <v>1</v>
      </c>
      <c r="I73" s="83">
        <v>1</v>
      </c>
      <c r="J73" s="38">
        <v>0</v>
      </c>
      <c r="K73" s="39">
        <v>50915.48</v>
      </c>
      <c r="L73" s="40">
        <f>Table1[[#This Row],[Current Price]]*Table1[[#This Row],[Current Quantity]]</f>
        <v>50915.48</v>
      </c>
      <c r="M73" s="41">
        <f>Table1[[#This Row],[Current Value Allocation]]/$L$2</f>
        <v>3.3431039260264149E-3</v>
      </c>
      <c r="N73" s="87"/>
      <c r="O73" s="2" t="str">
        <f>LEFT(Table1[[#This Row],[IB Ticker]], FIND(" ",Table1[[#This Row],[IB Ticker]])-1)</f>
        <v>ZSLME</v>
      </c>
    </row>
    <row r="74" spans="1:15" s="31" customFormat="1" ht="25.5" x14ac:dyDescent="0.2">
      <c r="A74" s="33" t="s">
        <v>148</v>
      </c>
      <c r="B74" s="33" t="s">
        <v>206</v>
      </c>
      <c r="C74" s="34" t="s">
        <v>207</v>
      </c>
      <c r="D74" s="35">
        <v>0</v>
      </c>
      <c r="E74" s="36">
        <v>0</v>
      </c>
      <c r="F74" s="36">
        <v>22720</v>
      </c>
      <c r="G74" s="37">
        <f>Table1[[#This Row],[Target Value Allocation (USD)]]/Table1[[#This Row],[Last price]]</f>
        <v>0</v>
      </c>
      <c r="H74" s="34">
        <v>1</v>
      </c>
      <c r="I74" s="34">
        <v>0</v>
      </c>
      <c r="J74" s="38">
        <v>-1</v>
      </c>
      <c r="K74" s="39"/>
      <c r="L74" s="40">
        <f>Table1[[#This Row],[Current Price]]*Table1[[#This Row],[Current Quantity]]</f>
        <v>0</v>
      </c>
      <c r="M74" s="41">
        <f>Table1[[#This Row],[Current Value Allocation]]/$L$2</f>
        <v>0</v>
      </c>
      <c r="N74" s="40"/>
      <c r="O74" s="2" t="str">
        <f>LEFT(Table1[[#This Row],[IB Ticker]], FIND(" ",Table1[[#This Row],[IB Ticker]])-1)</f>
        <v>CC</v>
      </c>
    </row>
    <row r="75" spans="1:15" s="31" customFormat="1" ht="25.5" x14ac:dyDescent="0.2">
      <c r="A75" s="33" t="s">
        <v>148</v>
      </c>
      <c r="B75" s="33" t="s">
        <v>208</v>
      </c>
      <c r="C75" s="34" t="s">
        <v>209</v>
      </c>
      <c r="D75" s="35">
        <v>0</v>
      </c>
      <c r="E75" s="36">
        <v>0</v>
      </c>
      <c r="F75" s="36">
        <v>29931</v>
      </c>
      <c r="G75" s="37">
        <f>Table1[[#This Row],[Target Value Allocation (USD)]]/Table1[[#This Row],[Last price]]</f>
        <v>0</v>
      </c>
      <c r="H75" s="34">
        <v>1</v>
      </c>
      <c r="I75" s="34">
        <v>0</v>
      </c>
      <c r="J75" s="38">
        <v>-1</v>
      </c>
      <c r="K75" s="39"/>
      <c r="L75" s="40">
        <f>Table1[[#This Row],[Current Price]]*Table1[[#This Row],[Current Quantity]]</f>
        <v>0</v>
      </c>
      <c r="M75" s="41">
        <f>Table1[[#This Row],[Current Value Allocation]]/$L$2</f>
        <v>0</v>
      </c>
      <c r="N75" s="40"/>
      <c r="O75" s="2" t="str">
        <f>LEFT(Table1[[#This Row],[IB Ticker]], FIND(" ",Table1[[#This Row],[IB Ticker]])-1)</f>
        <v>CT</v>
      </c>
    </row>
    <row r="76" spans="1:15" s="31" customFormat="1" ht="25.5" x14ac:dyDescent="0.2">
      <c r="A76" s="33" t="s">
        <v>148</v>
      </c>
      <c r="B76" s="33" t="s">
        <v>210</v>
      </c>
      <c r="C76" s="34" t="s">
        <v>211</v>
      </c>
      <c r="D76" s="35">
        <v>0</v>
      </c>
      <c r="E76" s="36">
        <v>0</v>
      </c>
      <c r="F76" s="36">
        <v>43467.6</v>
      </c>
      <c r="G76" s="37">
        <f>Table1[[#This Row],[Target Value Allocation (USD)]]/Table1[[#This Row],[Last price]]</f>
        <v>0</v>
      </c>
      <c r="H76" s="34">
        <v>5</v>
      </c>
      <c r="I76" s="34">
        <v>0</v>
      </c>
      <c r="J76" s="38">
        <v>-5</v>
      </c>
      <c r="K76" s="39"/>
      <c r="L76" s="40">
        <f>Table1[[#This Row],[Current Price]]*Table1[[#This Row],[Current Quantity]]</f>
        <v>0</v>
      </c>
      <c r="M76" s="41">
        <f>Table1[[#This Row],[Current Value Allocation]]/$L$2</f>
        <v>0</v>
      </c>
      <c r="N76" s="40"/>
      <c r="O76" s="2" t="str">
        <f>LEFT(Table1[[#This Row],[IB Ticker]], FIND(" ",Table1[[#This Row],[IB Ticker]])-1)</f>
        <v>DA</v>
      </c>
    </row>
    <row r="77" spans="1:15" s="31" customFormat="1" ht="25.5" x14ac:dyDescent="0.2">
      <c r="A77" s="33" t="s">
        <v>148</v>
      </c>
      <c r="B77" s="33" t="s">
        <v>212</v>
      </c>
      <c r="C77" s="34" t="s">
        <v>213</v>
      </c>
      <c r="D77" s="35">
        <v>0</v>
      </c>
      <c r="E77" s="36">
        <v>0</v>
      </c>
      <c r="F77" s="36">
        <v>178594</v>
      </c>
      <c r="G77" s="37">
        <f>Table1[[#This Row],[Target Value Allocation (USD)]]/Table1[[#This Row],[Last price]]</f>
        <v>0</v>
      </c>
      <c r="H77" s="34">
        <v>1</v>
      </c>
      <c r="I77" s="34">
        <v>0</v>
      </c>
      <c r="J77" s="38">
        <v>-1</v>
      </c>
      <c r="K77" s="39"/>
      <c r="L77" s="40">
        <f>Table1[[#This Row],[Current Price]]*Table1[[#This Row],[Current Quantity]]</f>
        <v>0</v>
      </c>
      <c r="M77" s="41">
        <f>Table1[[#This Row],[Current Value Allocation]]/$L$2</f>
        <v>0</v>
      </c>
      <c r="N77" s="40"/>
      <c r="O77" s="2" t="str">
        <f>LEFT(Table1[[#This Row],[IB Ticker]], FIND(" ",Table1[[#This Row],[IB Ticker]])-1)</f>
        <v>GC</v>
      </c>
    </row>
    <row r="78" spans="1:15" s="31" customFormat="1" ht="25.5" x14ac:dyDescent="0.2">
      <c r="A78" s="33" t="s">
        <v>148</v>
      </c>
      <c r="B78" s="33" t="s">
        <v>214</v>
      </c>
      <c r="C78" s="34" t="s">
        <v>215</v>
      </c>
      <c r="D78" s="35">
        <v>0</v>
      </c>
      <c r="E78" s="36">
        <v>0</v>
      </c>
      <c r="F78" s="36">
        <v>66400</v>
      </c>
      <c r="G78" s="37">
        <f>Table1[[#This Row],[Target Value Allocation (USD)]]/Table1[[#This Row],[Last price]]</f>
        <v>0</v>
      </c>
      <c r="H78" s="34">
        <v>3</v>
      </c>
      <c r="I78" s="34">
        <v>0</v>
      </c>
      <c r="J78" s="38">
        <v>-3</v>
      </c>
      <c r="K78" s="39"/>
      <c r="L78" s="40">
        <f>Table1[[#This Row],[Current Price]]*Table1[[#This Row],[Current Quantity]]</f>
        <v>0</v>
      </c>
      <c r="M78" s="41">
        <f>Table1[[#This Row],[Current Value Allocation]]/$L$2</f>
        <v>0</v>
      </c>
      <c r="N78" s="40"/>
      <c r="O78" s="2" t="str">
        <f>LEFT(Table1[[#This Row],[IB Ticker]], FIND(" ",Table1[[#This Row],[IB Ticker]])-1)</f>
        <v>GF</v>
      </c>
    </row>
    <row r="79" spans="1:15" s="31" customFormat="1" ht="25.5" x14ac:dyDescent="0.2">
      <c r="A79" s="33" t="s">
        <v>148</v>
      </c>
      <c r="B79" s="33" t="s">
        <v>216</v>
      </c>
      <c r="C79" s="34" t="s">
        <v>217</v>
      </c>
      <c r="D79" s="35">
        <v>0</v>
      </c>
      <c r="E79" s="36">
        <v>0</v>
      </c>
      <c r="F79" s="36">
        <v>18110</v>
      </c>
      <c r="G79" s="37">
        <f>Table1[[#This Row],[Target Value Allocation (USD)]]/Table1[[#This Row],[Last price]]</f>
        <v>0</v>
      </c>
      <c r="H79" s="34">
        <v>7</v>
      </c>
      <c r="I79" s="34">
        <v>0</v>
      </c>
      <c r="J79" s="38">
        <v>-7</v>
      </c>
      <c r="K79" s="39"/>
      <c r="L79" s="40">
        <f>Table1[[#This Row],[Current Price]]*Table1[[#This Row],[Current Quantity]]</f>
        <v>0</v>
      </c>
      <c r="M79" s="41">
        <f>Table1[[#This Row],[Current Value Allocation]]/$L$2</f>
        <v>0</v>
      </c>
      <c r="N79" s="40"/>
      <c r="O79" s="2" t="str">
        <f>LEFT(Table1[[#This Row],[IB Ticker]], FIND(" ",Table1[[#This Row],[IB Ticker]])-1)</f>
        <v>HE</v>
      </c>
    </row>
    <row r="80" spans="1:15" s="31" customFormat="1" ht="25.5" x14ac:dyDescent="0.2">
      <c r="A80" s="33" t="s">
        <v>148</v>
      </c>
      <c r="B80" s="33" t="s">
        <v>218</v>
      </c>
      <c r="C80" s="34" t="s">
        <v>219</v>
      </c>
      <c r="D80" s="35">
        <v>0</v>
      </c>
      <c r="E80" s="36">
        <v>0</v>
      </c>
      <c r="F80" s="36">
        <v>36245</v>
      </c>
      <c r="G80" s="37">
        <f>Table1[[#This Row],[Target Value Allocation (USD)]]/Table1[[#This Row],[Last price]]</f>
        <v>0</v>
      </c>
      <c r="H80" s="34">
        <v>1</v>
      </c>
      <c r="I80" s="34">
        <v>0</v>
      </c>
      <c r="J80" s="38">
        <v>-1</v>
      </c>
      <c r="K80" s="39"/>
      <c r="L80" s="40">
        <f>Table1[[#This Row],[Current Price]]*Table1[[#This Row],[Current Quantity]]</f>
        <v>0</v>
      </c>
      <c r="M80" s="41">
        <f>Table1[[#This Row],[Current Value Allocation]]/$L$2</f>
        <v>0</v>
      </c>
      <c r="N80" s="40"/>
      <c r="O80" s="2" t="str">
        <f>LEFT(Table1[[#This Row],[IB Ticker]], FIND(" ",Table1[[#This Row],[IB Ticker]])-1)</f>
        <v>KC</v>
      </c>
    </row>
    <row r="81" spans="1:15" s="31" customFormat="1" ht="25.5" x14ac:dyDescent="0.2">
      <c r="A81" s="33" t="s">
        <v>148</v>
      </c>
      <c r="B81" s="33" t="s">
        <v>220</v>
      </c>
      <c r="C81" s="34" t="s">
        <v>221</v>
      </c>
      <c r="D81" s="35">
        <v>0</v>
      </c>
      <c r="E81" s="36">
        <v>0</v>
      </c>
      <c r="F81" s="36">
        <v>47265</v>
      </c>
      <c r="G81" s="37">
        <f>Table1[[#This Row],[Target Value Allocation (USD)]]/Table1[[#This Row],[Last price]]</f>
        <v>0</v>
      </c>
      <c r="H81" s="34">
        <v>1</v>
      </c>
      <c r="I81" s="34">
        <v>0</v>
      </c>
      <c r="J81" s="38">
        <v>-1</v>
      </c>
      <c r="K81" s="39"/>
      <c r="L81" s="40">
        <f>Table1[[#This Row],[Current Price]]*Table1[[#This Row],[Current Quantity]]</f>
        <v>0</v>
      </c>
      <c r="M81" s="41">
        <f>Table1[[#This Row],[Current Value Allocation]]/$L$2</f>
        <v>0</v>
      </c>
      <c r="N81" s="40"/>
      <c r="O81" s="2" t="str">
        <f>LEFT(Table1[[#This Row],[IB Ticker]], FIND(" ",Table1[[#This Row],[IB Ticker]])-1)</f>
        <v>LB</v>
      </c>
    </row>
    <row r="82" spans="1:15" s="31" customFormat="1" ht="25.5" x14ac:dyDescent="0.2">
      <c r="A82" s="33" t="s">
        <v>148</v>
      </c>
      <c r="B82" s="33" t="s">
        <v>222</v>
      </c>
      <c r="C82" s="34" t="s">
        <v>223</v>
      </c>
      <c r="D82" s="35">
        <v>0</v>
      </c>
      <c r="E82" s="36">
        <v>0</v>
      </c>
      <c r="F82" s="36">
        <v>38460</v>
      </c>
      <c r="G82" s="37">
        <f>Table1[[#This Row],[Target Value Allocation (USD)]]/Table1[[#This Row],[Last price]]</f>
        <v>0</v>
      </c>
      <c r="H82" s="34">
        <v>5</v>
      </c>
      <c r="I82" s="34">
        <v>0</v>
      </c>
      <c r="J82" s="38">
        <v>-5</v>
      </c>
      <c r="K82" s="39"/>
      <c r="L82" s="40">
        <f>Table1[[#This Row],[Current Price]]*Table1[[#This Row],[Current Quantity]]</f>
        <v>0</v>
      </c>
      <c r="M82" s="41">
        <f>Table1[[#This Row],[Current Value Allocation]]/$L$2</f>
        <v>0</v>
      </c>
      <c r="N82" s="40"/>
      <c r="O82" s="2" t="str">
        <f>LEFT(Table1[[#This Row],[IB Ticker]], FIND(" ",Table1[[#This Row],[IB Ticker]])-1)</f>
        <v>LE</v>
      </c>
    </row>
    <row r="83" spans="1:15" s="31" customFormat="1" ht="25.5" x14ac:dyDescent="0.2">
      <c r="A83" s="33" t="s">
        <v>148</v>
      </c>
      <c r="B83" s="33" t="s">
        <v>224</v>
      </c>
      <c r="C83" s="34" t="s">
        <v>225</v>
      </c>
      <c r="D83" s="35">
        <v>0</v>
      </c>
      <c r="E83" s="36">
        <v>0</v>
      </c>
      <c r="F83" s="36">
        <v>18806</v>
      </c>
      <c r="G83" s="37">
        <f>Table1[[#This Row],[Target Value Allocation (USD)]]/Table1[[#This Row],[Last price]]</f>
        <v>0</v>
      </c>
      <c r="H83" s="34">
        <v>1</v>
      </c>
      <c r="I83" s="34">
        <v>0</v>
      </c>
      <c r="J83" s="38">
        <v>-1</v>
      </c>
      <c r="K83" s="39"/>
      <c r="L83" s="40">
        <f>Table1[[#This Row],[Current Price]]*Table1[[#This Row],[Current Quantity]]</f>
        <v>0</v>
      </c>
      <c r="M83" s="41">
        <f>Table1[[#This Row],[Current Value Allocation]]/$L$2</f>
        <v>0</v>
      </c>
      <c r="N83" s="40"/>
      <c r="O83" s="2" t="str">
        <f>LEFT(Table1[[#This Row],[IB Ticker]], FIND(" ",Table1[[#This Row],[IB Ticker]])-1)</f>
        <v>OJ</v>
      </c>
    </row>
    <row r="84" spans="1:15" s="31" customFormat="1" ht="25.5" x14ac:dyDescent="0.2">
      <c r="A84" s="33" t="s">
        <v>148</v>
      </c>
      <c r="B84" s="33" t="s">
        <v>226</v>
      </c>
      <c r="C84" s="34" t="s">
        <v>227</v>
      </c>
      <c r="D84" s="35">
        <v>0</v>
      </c>
      <c r="E84" s="36">
        <v>0</v>
      </c>
      <c r="F84" s="36">
        <v>13003</v>
      </c>
      <c r="G84" s="37">
        <f>Table1[[#This Row],[Target Value Allocation (USD)]]/Table1[[#This Row],[Last price]]</f>
        <v>0</v>
      </c>
      <c r="H84" s="34">
        <v>2</v>
      </c>
      <c r="I84" s="34">
        <v>0</v>
      </c>
      <c r="J84" s="38">
        <v>-2</v>
      </c>
      <c r="K84" s="39"/>
      <c r="L84" s="40">
        <f>Table1[[#This Row],[Current Price]]*Table1[[#This Row],[Current Quantity]]</f>
        <v>0</v>
      </c>
      <c r="M84" s="41">
        <f>Table1[[#This Row],[Current Value Allocation]]/$L$2</f>
        <v>0</v>
      </c>
      <c r="N84" s="40"/>
      <c r="O84" s="2" t="str">
        <f>LEFT(Table1[[#This Row],[IB Ticker]], FIND(" ",Table1[[#This Row],[IB Ticker]])-1)</f>
        <v>SB</v>
      </c>
    </row>
    <row r="85" spans="1:15" ht="26.25" x14ac:dyDescent="0.25">
      <c r="A85" s="33" t="s">
        <v>148</v>
      </c>
      <c r="B85" s="82" t="s">
        <v>228</v>
      </c>
      <c r="C85" s="83" t="s">
        <v>229</v>
      </c>
      <c r="D85" s="35">
        <v>0</v>
      </c>
      <c r="E85" s="36">
        <v>0</v>
      </c>
      <c r="F85" s="36">
        <v>5715.4</v>
      </c>
      <c r="G85" s="37">
        <f>Table1[[#This Row],[Target Value Allocation (USD)]]/Table1[[#This Row],[Last price]]</f>
        <v>0</v>
      </c>
      <c r="H85" s="83">
        <v>5</v>
      </c>
      <c r="I85" s="83">
        <v>0</v>
      </c>
      <c r="J85" s="38">
        <v>-5</v>
      </c>
      <c r="K85" s="39"/>
      <c r="L85" s="40">
        <f>Table1[[#This Row],[Current Price]]*Table1[[#This Row],[Current Quantity]]</f>
        <v>0</v>
      </c>
      <c r="M85" s="41">
        <f>Table1[[#This Row],[Current Value Allocation]]/$L$2</f>
        <v>0</v>
      </c>
      <c r="N85" s="87"/>
      <c r="O85" s="2" t="str">
        <f>LEFT(Table1[[#This Row],[IB Ticker]], FIND(" ",Table1[[#This Row],[IB Ticker]])-1)</f>
        <v>TSR20</v>
      </c>
    </row>
    <row r="86" spans="1:15" ht="26.25" x14ac:dyDescent="0.25">
      <c r="A86" s="33" t="s">
        <v>148</v>
      </c>
      <c r="B86" s="82" t="s">
        <v>230</v>
      </c>
      <c r="C86" s="83" t="s">
        <v>231</v>
      </c>
      <c r="D86" s="117">
        <v>0</v>
      </c>
      <c r="E86" s="36">
        <v>0</v>
      </c>
      <c r="F86" s="36">
        <v>16009</v>
      </c>
      <c r="G86" s="37">
        <f>Table1[[#This Row],[Target Value Allocation (USD)]]/Table1[[#This Row],[Last price]]</f>
        <v>0</v>
      </c>
      <c r="H86" s="83">
        <v>1</v>
      </c>
      <c r="I86" s="83">
        <v>0</v>
      </c>
      <c r="J86" s="38">
        <v>-1</v>
      </c>
      <c r="K86" s="39"/>
      <c r="L86" s="40">
        <f>Table1[[#This Row],[Current Price]]*Table1[[#This Row],[Current Quantity]]</f>
        <v>0</v>
      </c>
      <c r="M86" s="41">
        <f>Table1[[#This Row],[Current Value Allocation]]/$L$2</f>
        <v>0</v>
      </c>
      <c r="N86" s="87"/>
      <c r="O86" s="2" t="str">
        <f>LEFT(Table1[[#This Row],[IB Ticker]], FIND(" ",Table1[[#This Row],[IB Ticker]])-1)</f>
        <v>ZC</v>
      </c>
    </row>
    <row r="87" spans="1:15" ht="26.25" x14ac:dyDescent="0.25">
      <c r="A87" s="33" t="s">
        <v>148</v>
      </c>
      <c r="B87" s="82" t="s">
        <v>232</v>
      </c>
      <c r="C87" s="83" t="s">
        <v>233</v>
      </c>
      <c r="D87" s="117">
        <v>0</v>
      </c>
      <c r="E87" s="36">
        <v>0</v>
      </c>
      <c r="F87" s="36">
        <v>16359</v>
      </c>
      <c r="G87" s="37">
        <f>Table1[[#This Row],[Target Value Allocation (USD)]]/Table1[[#This Row],[Last price]]</f>
        <v>0</v>
      </c>
      <c r="H87" s="83">
        <v>2</v>
      </c>
      <c r="I87" s="83">
        <v>0</v>
      </c>
      <c r="J87" s="38">
        <v>-2</v>
      </c>
      <c r="K87" s="39"/>
      <c r="L87" s="40">
        <f>Table1[[#This Row],[Current Price]]*Table1[[#This Row],[Current Quantity]]</f>
        <v>0</v>
      </c>
      <c r="M87" s="41">
        <f>Table1[[#This Row],[Current Value Allocation]]/$L$2</f>
        <v>0</v>
      </c>
      <c r="N87" s="87"/>
      <c r="O87" s="2" t="str">
        <f>LEFT(Table1[[#This Row],[IB Ticker]], FIND(" ",Table1[[#This Row],[IB Ticker]])-1)</f>
        <v>ZL</v>
      </c>
    </row>
    <row r="88" spans="1:15" ht="26.25" x14ac:dyDescent="0.25">
      <c r="A88" s="33" t="s">
        <v>148</v>
      </c>
      <c r="B88" s="82" t="s">
        <v>234</v>
      </c>
      <c r="C88" s="83" t="s">
        <v>235</v>
      </c>
      <c r="D88" s="117">
        <v>0</v>
      </c>
      <c r="E88" s="36">
        <v>0</v>
      </c>
      <c r="F88" s="36">
        <v>28540</v>
      </c>
      <c r="G88" s="37">
        <f>Table1[[#This Row],[Target Value Allocation (USD)]]/Table1[[#This Row],[Last price]]</f>
        <v>0</v>
      </c>
      <c r="H88" s="83">
        <v>1</v>
      </c>
      <c r="I88" s="83">
        <v>0</v>
      </c>
      <c r="J88" s="38">
        <v>-1</v>
      </c>
      <c r="K88" s="39"/>
      <c r="L88" s="40">
        <f>Table1[[#This Row],[Current Price]]*Table1[[#This Row],[Current Quantity]]</f>
        <v>0</v>
      </c>
      <c r="M88" s="41">
        <f>Table1[[#This Row],[Current Value Allocation]]/$L$2</f>
        <v>0</v>
      </c>
      <c r="N88" s="87"/>
      <c r="O88" s="2" t="str">
        <f>LEFT(Table1[[#This Row],[IB Ticker]], FIND(" ",Table1[[#This Row],[IB Ticker]])-1)</f>
        <v>ZM</v>
      </c>
    </row>
    <row r="89" spans="1:15" ht="26.25" x14ac:dyDescent="0.25">
      <c r="A89" s="33" t="s">
        <v>148</v>
      </c>
      <c r="B89" s="82" t="s">
        <v>236</v>
      </c>
      <c r="C89" s="83" t="s">
        <v>237</v>
      </c>
      <c r="D89" s="117">
        <v>0</v>
      </c>
      <c r="E89" s="36">
        <v>0</v>
      </c>
      <c r="F89" s="36">
        <v>24745</v>
      </c>
      <c r="G89" s="37">
        <f>Table1[[#This Row],[Target Value Allocation (USD)]]/Table1[[#This Row],[Last price]]</f>
        <v>0</v>
      </c>
      <c r="H89" s="83">
        <v>2</v>
      </c>
      <c r="I89" s="83">
        <v>0</v>
      </c>
      <c r="J89" s="38">
        <v>-2</v>
      </c>
      <c r="K89" s="39"/>
      <c r="L89" s="40">
        <f>Table1[[#This Row],[Current Price]]*Table1[[#This Row],[Current Quantity]]</f>
        <v>0</v>
      </c>
      <c r="M89" s="41">
        <f>Table1[[#This Row],[Current Value Allocation]]/$L$2</f>
        <v>0</v>
      </c>
      <c r="N89" s="87"/>
      <c r="O89" s="2" t="str">
        <f>LEFT(Table1[[#This Row],[IB Ticker]], FIND(" ",Table1[[#This Row],[IB Ticker]])-1)</f>
        <v>ZR</v>
      </c>
    </row>
    <row r="90" spans="1:15" ht="26.25" x14ac:dyDescent="0.25">
      <c r="A90" s="43" t="s">
        <v>148</v>
      </c>
      <c r="B90" s="82" t="s">
        <v>238</v>
      </c>
      <c r="C90" s="83" t="s">
        <v>239</v>
      </c>
      <c r="D90" s="117">
        <v>0</v>
      </c>
      <c r="E90" s="36">
        <v>0</v>
      </c>
      <c r="F90" s="36">
        <v>42962</v>
      </c>
      <c r="G90" s="37">
        <f>Table1[[#This Row],[Target Value Allocation (USD)]]/Table1[[#This Row],[Last price]]</f>
        <v>0</v>
      </c>
      <c r="H90" s="83">
        <v>1</v>
      </c>
      <c r="I90" s="83">
        <v>0</v>
      </c>
      <c r="J90" s="38">
        <v>-1</v>
      </c>
      <c r="K90" s="39"/>
      <c r="L90" s="40">
        <f>Table1[[#This Row],[Current Price]]*Table1[[#This Row],[Current Quantity]]</f>
        <v>0</v>
      </c>
      <c r="M90" s="41">
        <f>Table1[[#This Row],[Current Value Allocation]]/$L$2</f>
        <v>0</v>
      </c>
      <c r="N90" s="87"/>
      <c r="O90" s="2" t="str">
        <f>LEFT(Table1[[#This Row],[IB Ticker]], FIND(" ",Table1[[#This Row],[IB Ticker]])-1)</f>
        <v>ZS</v>
      </c>
    </row>
    <row r="91" spans="1:15" ht="26.25" x14ac:dyDescent="0.25">
      <c r="A91" s="34" t="s">
        <v>148</v>
      </c>
      <c r="B91" s="89" t="s">
        <v>240</v>
      </c>
      <c r="C91" s="90" t="s">
        <v>241</v>
      </c>
      <c r="D91" s="118">
        <v>0</v>
      </c>
      <c r="E91" s="46">
        <v>0</v>
      </c>
      <c r="F91" s="46">
        <v>23825</v>
      </c>
      <c r="G91" s="47">
        <f>Table1[[#This Row],[Target Value Allocation (USD)]]/Table1[[#This Row],[Last price]]</f>
        <v>0</v>
      </c>
      <c r="H91" s="90">
        <v>1</v>
      </c>
      <c r="I91" s="90">
        <v>0</v>
      </c>
      <c r="J91" s="48">
        <v>-1</v>
      </c>
      <c r="K91" s="49"/>
      <c r="L91" s="50">
        <f>Table1[[#This Row],[Current Price]]*Table1[[#This Row],[Current Quantity]]</f>
        <v>0</v>
      </c>
      <c r="M91" s="51">
        <f>Table1[[#This Row],[Current Value Allocation]]/$L$2</f>
        <v>0</v>
      </c>
      <c r="N91" s="94"/>
      <c r="O91" s="2" t="str">
        <f>LEFT(Table1[[#This Row],[IB Ticker]], FIND(" ",Table1[[#This Row],[IB Ticker]])-1)</f>
        <v>ZW</v>
      </c>
    </row>
    <row r="92" spans="1:15" x14ac:dyDescent="0.25">
      <c r="A92" s="52"/>
      <c r="B92" s="95"/>
      <c r="C92" s="95"/>
      <c r="D92" s="53"/>
      <c r="E92" s="54"/>
      <c r="F92" s="54"/>
      <c r="G92" s="55"/>
      <c r="H92" s="98"/>
      <c r="I92" s="95"/>
      <c r="J92" s="52"/>
      <c r="K92" s="54"/>
      <c r="L92" s="52"/>
      <c r="M92" s="56"/>
      <c r="N92" s="99"/>
    </row>
    <row r="93" spans="1:15" s="15" customFormat="1" ht="12.75" x14ac:dyDescent="0.2">
      <c r="A93" s="58" t="s">
        <v>242</v>
      </c>
      <c r="B93" s="101"/>
      <c r="C93" s="102"/>
      <c r="D93" s="110">
        <f>SUM(D55:D91)</f>
        <v>2.9999999999999961E-2</v>
      </c>
      <c r="E93" s="62">
        <f>SUM(E55:E91)</f>
        <v>323784.19534499943</v>
      </c>
      <c r="F93" s="111"/>
      <c r="G93" s="112"/>
      <c r="H93" s="102"/>
      <c r="I93" s="102"/>
      <c r="J93" s="60"/>
      <c r="K93" s="107"/>
      <c r="L93" s="62">
        <f>SUM(L55:L91)</f>
        <v>1139377.4300000002</v>
      </c>
      <c r="M93" s="66">
        <f>Table1[[#This Row],[Current Value Allocation]]/$L$2</f>
        <v>7.4811376804439181E-2</v>
      </c>
      <c r="N93" s="107"/>
    </row>
    <row r="94" spans="1:15" x14ac:dyDescent="0.25">
      <c r="A94" s="52"/>
      <c r="B94" s="95"/>
      <c r="C94" s="95"/>
      <c r="D94" s="53"/>
      <c r="E94" s="54"/>
      <c r="F94" s="54"/>
      <c r="G94" s="55"/>
      <c r="H94" s="95"/>
      <c r="I94" s="95"/>
      <c r="J94" s="52"/>
      <c r="K94" s="54"/>
      <c r="L94" s="52">
        <f>Table1[[#This Row],[Current Price]]*Table1[[#This Row],[Current Quantity]]</f>
        <v>0</v>
      </c>
      <c r="M94" s="69"/>
      <c r="N94" s="99"/>
    </row>
    <row r="95" spans="1:15" s="31" customFormat="1" ht="25.5" x14ac:dyDescent="0.2">
      <c r="A95" s="43" t="s">
        <v>151</v>
      </c>
      <c r="B95" s="33" t="s">
        <v>243</v>
      </c>
      <c r="C95" s="34" t="s">
        <v>244</v>
      </c>
      <c r="D95" s="35"/>
      <c r="E95" s="38"/>
      <c r="F95" s="38"/>
      <c r="G95" s="116"/>
      <c r="H95" s="34">
        <v>1</v>
      </c>
      <c r="I95" s="34">
        <v>1</v>
      </c>
      <c r="J95" s="38">
        <v>0</v>
      </c>
      <c r="K95" s="39">
        <v>45869.88</v>
      </c>
      <c r="L95" s="39">
        <f>Table1[[#This Row],[Current Price]]*Table1[[#This Row],[Current Quantity]]</f>
        <v>45869.88</v>
      </c>
      <c r="M95" s="41">
        <f>Table1[[#This Row],[Current Value Allocation]]/$L$2</f>
        <v>3.0118104732462605E-3</v>
      </c>
      <c r="N95" s="40"/>
      <c r="O95" s="2" t="str">
        <f>LEFT(Table1[[#This Row],[IB Ticker]], FIND(" ",Table1[[#This Row],[IB Ticker]])-1)</f>
        <v>BRR</v>
      </c>
    </row>
    <row r="96" spans="1:15" ht="26.25" x14ac:dyDescent="0.25">
      <c r="A96" s="43" t="s">
        <v>151</v>
      </c>
      <c r="B96" s="89" t="s">
        <v>245</v>
      </c>
      <c r="C96" s="90" t="s">
        <v>246</v>
      </c>
      <c r="D96" s="45"/>
      <c r="E96" s="90"/>
      <c r="F96" s="90"/>
      <c r="G96" s="93"/>
      <c r="H96" s="90">
        <v>2</v>
      </c>
      <c r="I96" s="90">
        <v>2</v>
      </c>
      <c r="J96" s="48">
        <v>0</v>
      </c>
      <c r="K96" s="49">
        <f>63000/2</f>
        <v>31500</v>
      </c>
      <c r="L96" s="49">
        <f>Table1[[#This Row],[Current Price]]*Table1[[#This Row],[Current Quantity]]</f>
        <v>63000</v>
      </c>
      <c r="M96" s="51">
        <f>Table1[[#This Row],[Current Value Allocation]]/$L$2</f>
        <v>4.1365719686756192E-3</v>
      </c>
      <c r="N96" s="94"/>
      <c r="O96" s="2" t="str">
        <f>LEFT(Table1[[#This Row],[IB Ticker]], FIND(" ",Table1[[#This Row],[IB Ticker]])-1)</f>
        <v>VIX</v>
      </c>
    </row>
    <row r="97" spans="1:14" s="100" customFormat="1" ht="12.75" x14ac:dyDescent="0.2">
      <c r="A97" s="52"/>
      <c r="B97" s="95"/>
      <c r="C97" s="95"/>
      <c r="D97" s="53"/>
      <c r="E97" s="95"/>
      <c r="F97" s="95"/>
      <c r="G97" s="98"/>
      <c r="H97" s="98"/>
      <c r="I97" s="95"/>
      <c r="J97" s="52"/>
      <c r="K97" s="54"/>
      <c r="L97" s="54"/>
      <c r="M97" s="56"/>
      <c r="N97" s="99"/>
    </row>
    <row r="98" spans="1:14" s="15" customFormat="1" ht="12.75" x14ac:dyDescent="0.2">
      <c r="A98" s="58" t="s">
        <v>247</v>
      </c>
      <c r="B98" s="101"/>
      <c r="C98" s="102"/>
      <c r="D98" s="101"/>
      <c r="E98" s="102"/>
      <c r="F98" s="101"/>
      <c r="G98" s="102"/>
      <c r="H98" s="101"/>
      <c r="I98" s="102"/>
      <c r="J98" s="101"/>
      <c r="K98" s="102"/>
      <c r="L98" s="119">
        <f>SUM(L95:L96)</f>
        <v>108869.88</v>
      </c>
      <c r="M98" s="102"/>
      <c r="N98" s="102"/>
    </row>
    <row r="99" spans="1:14" s="100" customFormat="1" ht="12.75" x14ac:dyDescent="0.2">
      <c r="A99" s="52"/>
      <c r="B99" s="95"/>
      <c r="C99" s="95"/>
      <c r="D99" s="96"/>
      <c r="E99" s="97"/>
      <c r="F99" s="97"/>
      <c r="G99" s="98"/>
      <c r="H99" s="95"/>
      <c r="I99" s="95"/>
      <c r="J99" s="52"/>
      <c r="K99" s="52"/>
      <c r="L99" s="52"/>
      <c r="M99" s="69"/>
      <c r="N99" s="99"/>
    </row>
    <row r="100" spans="1:14" x14ac:dyDescent="0.25">
      <c r="A100" s="34"/>
      <c r="B100" s="120"/>
      <c r="C100" s="121"/>
      <c r="D100" s="122"/>
      <c r="E100" s="123"/>
      <c r="F100" s="123"/>
      <c r="G100" s="124"/>
      <c r="H100" s="121"/>
      <c r="I100" s="121"/>
      <c r="J100" s="71"/>
      <c r="K100" s="125"/>
      <c r="L100" s="125"/>
      <c r="M100" s="78"/>
      <c r="N100" s="126"/>
    </row>
    <row r="101" spans="1:14" x14ac:dyDescent="0.25">
      <c r="A101" s="127"/>
      <c r="B101" s="128"/>
      <c r="C101" s="129"/>
      <c r="D101" s="130"/>
      <c r="E101" s="129"/>
      <c r="F101" s="129"/>
      <c r="G101" s="131"/>
      <c r="H101" s="129"/>
      <c r="I101" s="129"/>
      <c r="J101" s="129"/>
      <c r="K101" s="87"/>
      <c r="L101" s="87"/>
      <c r="M101" s="41"/>
      <c r="N101" s="87"/>
    </row>
    <row r="102" spans="1:14" x14ac:dyDescent="0.25">
      <c r="A102" s="128"/>
      <c r="B102" s="128"/>
      <c r="C102" s="129"/>
      <c r="D102" s="130"/>
      <c r="E102" s="129"/>
      <c r="F102" s="129"/>
      <c r="G102" s="131"/>
      <c r="H102" s="129"/>
      <c r="I102" s="129"/>
      <c r="J102" s="129"/>
      <c r="K102" s="87"/>
      <c r="L102" s="87"/>
      <c r="M102" s="41"/>
      <c r="N102" s="87"/>
    </row>
    <row r="103" spans="1:14" x14ac:dyDescent="0.25">
      <c r="A103" s="128"/>
      <c r="B103" s="128"/>
      <c r="C103" s="129"/>
      <c r="D103" s="130"/>
      <c r="E103" s="129"/>
      <c r="F103" s="129"/>
      <c r="G103" s="131"/>
      <c r="H103" s="129"/>
      <c r="I103" s="129"/>
      <c r="J103" s="129"/>
      <c r="K103" s="87"/>
      <c r="L103" s="87"/>
      <c r="M103" s="41"/>
      <c r="N103" s="87"/>
    </row>
    <row r="104" spans="1:14" x14ac:dyDescent="0.25">
      <c r="A104" s="128"/>
      <c r="B104" s="128"/>
      <c r="C104" s="129"/>
      <c r="D104" s="130"/>
      <c r="E104" s="129"/>
      <c r="F104" s="129"/>
      <c r="G104" s="131"/>
      <c r="H104" s="129"/>
      <c r="I104" s="129"/>
      <c r="J104" s="129"/>
      <c r="K104" s="87"/>
      <c r="L104" s="87"/>
      <c r="M104" s="41"/>
      <c r="N104" s="87"/>
    </row>
    <row r="105" spans="1:14" x14ac:dyDescent="0.25">
      <c r="A105" s="128"/>
      <c r="B105" s="128"/>
      <c r="C105" s="129"/>
      <c r="D105" s="130"/>
      <c r="E105" s="129"/>
      <c r="F105" s="129"/>
      <c r="G105" s="131"/>
      <c r="H105" s="129"/>
      <c r="I105" s="129"/>
      <c r="J105" s="129"/>
      <c r="K105" s="87"/>
      <c r="L105" s="87"/>
      <c r="M105" s="41"/>
      <c r="N105" s="87"/>
    </row>
    <row r="106" spans="1:14" x14ac:dyDescent="0.25">
      <c r="A106" s="128"/>
      <c r="B106" s="128"/>
      <c r="C106" s="129"/>
      <c r="D106" s="130"/>
      <c r="E106" s="129"/>
      <c r="F106" s="129"/>
      <c r="G106" s="131"/>
      <c r="H106" s="129"/>
      <c r="I106" s="129"/>
      <c r="J106" s="129"/>
      <c r="K106" s="87"/>
      <c r="L106" s="87"/>
      <c r="M106" s="41"/>
      <c r="N106" s="87"/>
    </row>
    <row r="107" spans="1:14" x14ac:dyDescent="0.25">
      <c r="A107" s="128"/>
      <c r="B107" s="128"/>
      <c r="C107" s="129"/>
      <c r="D107" s="130"/>
      <c r="E107" s="129"/>
      <c r="F107" s="129"/>
      <c r="G107" s="131"/>
      <c r="H107" s="129"/>
      <c r="I107" s="129"/>
      <c r="J107" s="129"/>
      <c r="K107" s="87"/>
      <c r="L107" s="87"/>
      <c r="M107" s="41"/>
      <c r="N107" s="87"/>
    </row>
    <row r="108" spans="1:14" x14ac:dyDescent="0.25">
      <c r="A108" s="128"/>
      <c r="B108" s="128"/>
      <c r="C108" s="129"/>
      <c r="D108" s="130"/>
      <c r="E108" s="129"/>
      <c r="F108" s="129"/>
      <c r="G108" s="131"/>
      <c r="H108" s="129"/>
      <c r="I108" s="129"/>
      <c r="J108" s="129"/>
      <c r="K108" s="87"/>
      <c r="L108" s="87"/>
      <c r="M108" s="41"/>
      <c r="N108" s="87"/>
    </row>
    <row r="109" spans="1:14" x14ac:dyDescent="0.25">
      <c r="A109" s="128"/>
      <c r="B109" s="128"/>
      <c r="C109" s="129"/>
      <c r="D109" s="130"/>
      <c r="E109" s="129"/>
      <c r="F109" s="129"/>
      <c r="G109" s="131"/>
      <c r="H109" s="129"/>
      <c r="I109" s="129"/>
      <c r="J109" s="129"/>
      <c r="K109" s="87"/>
      <c r="L109" s="87"/>
      <c r="M109" s="41"/>
      <c r="N109" s="87"/>
    </row>
    <row r="110" spans="1:14" x14ac:dyDescent="0.25">
      <c r="A110" s="132"/>
      <c r="B110" s="132"/>
      <c r="C110" s="133"/>
      <c r="D110" s="134"/>
      <c r="E110" s="133"/>
      <c r="F110" s="133"/>
      <c r="G110" s="135"/>
      <c r="H110" s="133"/>
      <c r="I110" s="133"/>
      <c r="J110" s="133"/>
      <c r="K110" s="94"/>
      <c r="L110" s="94"/>
      <c r="M110" s="41"/>
      <c r="N110" s="94"/>
    </row>
    <row r="111" spans="1:14" s="2" customFormat="1" ht="12.75" x14ac:dyDescent="0.2"/>
    <row r="112" spans="1:14" s="2" customFormat="1" ht="12.75" x14ac:dyDescent="0.2"/>
    <row r="114" spans="1:14" s="2" customFormat="1" ht="12.75" x14ac:dyDescent="0.2">
      <c r="A114" s="136"/>
      <c r="B114" s="136"/>
      <c r="E114" s="136"/>
      <c r="F114" s="136"/>
      <c r="G114" s="136"/>
      <c r="H114" s="137"/>
      <c r="N114" s="136"/>
    </row>
    <row r="115" spans="1:14" s="2" customFormat="1" ht="12.75" x14ac:dyDescent="0.2">
      <c r="A115" s="136"/>
      <c r="B115" s="136"/>
      <c r="E115" s="136"/>
      <c r="F115" s="136"/>
      <c r="G115" s="136"/>
      <c r="H115" s="137"/>
      <c r="N115" s="136"/>
    </row>
    <row r="116" spans="1:14" s="2" customFormat="1" ht="12.75" x14ac:dyDescent="0.2">
      <c r="A116" s="138"/>
      <c r="B116" s="138"/>
    </row>
    <row r="117" spans="1:14" s="2" customFormat="1" ht="12.75" x14ac:dyDescent="0.2">
      <c r="A117" s="139"/>
      <c r="B117" s="139"/>
      <c r="E117" s="139"/>
      <c r="F117" s="138"/>
      <c r="G117" s="138"/>
      <c r="N117" s="140"/>
    </row>
  </sheetData>
  <pageMargins left="0.7" right="0.7" top="0.75" bottom="0.75" header="0.51180555555555496" footer="0.51180555555555496"/>
  <pageSetup paperSize="9" firstPageNumber="0" orientation="landscape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1"/>
  <sheetViews>
    <sheetView zoomScale="115" zoomScaleNormal="115" workbookViewId="0">
      <selection activeCell="E3" sqref="E3:M4"/>
    </sheetView>
  </sheetViews>
  <sheetFormatPr defaultColWidth="9.140625" defaultRowHeight="15" x14ac:dyDescent="0.25"/>
  <cols>
    <col min="1" max="2" width="15.140625" style="2" customWidth="1"/>
    <col min="3" max="3" width="27.140625" style="2" customWidth="1"/>
    <col min="4" max="4" width="14.85546875" style="2" customWidth="1"/>
    <col min="5" max="5" width="19.710937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16.42578125" customWidth="1"/>
    <col min="12" max="12" width="13.42578125" customWidth="1"/>
    <col min="13" max="13" width="16.42578125" style="2" customWidth="1"/>
    <col min="14" max="14" width="10.5703125" style="2" customWidth="1"/>
    <col min="15" max="15" width="13" style="2" customWidth="1"/>
    <col min="16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119</v>
      </c>
      <c r="C1" s="4">
        <v>44019</v>
      </c>
      <c r="D1" s="5"/>
      <c r="E1" s="6" t="s">
        <v>121</v>
      </c>
      <c r="F1" s="7"/>
      <c r="G1" s="8"/>
      <c r="K1" s="9" t="s">
        <v>122</v>
      </c>
      <c r="L1" s="9" t="s">
        <v>248</v>
      </c>
      <c r="M1" s="10" t="s">
        <v>123</v>
      </c>
      <c r="O1" s="2" t="s">
        <v>124</v>
      </c>
      <c r="R1" s="2" t="s">
        <v>125</v>
      </c>
    </row>
    <row r="2" spans="1:19" x14ac:dyDescent="0.25">
      <c r="A2" s="3"/>
      <c r="B2" s="3" t="s">
        <v>126</v>
      </c>
      <c r="C2" s="11">
        <v>2.8</v>
      </c>
      <c r="D2" s="12"/>
      <c r="E2" s="13">
        <f>SUM(E24,E36,E58,E87,E26)</f>
        <v>21523842.400286019</v>
      </c>
      <c r="F2" s="14"/>
      <c r="G2" s="15"/>
      <c r="H2" s="12"/>
      <c r="I2" s="12"/>
      <c r="J2" s="12"/>
      <c r="K2" s="13">
        <f>SUM(K24,K36,K58,K87,K26,K92)</f>
        <v>21377397.721395973</v>
      </c>
      <c r="L2" s="141">
        <f>SUM(L92,L58,L87,L36,L24,L26)</f>
        <v>1</v>
      </c>
      <c r="M2" s="16">
        <f>K2/C3</f>
        <v>2.7809381373401458</v>
      </c>
      <c r="O2" s="2" t="s">
        <v>127</v>
      </c>
      <c r="P2" s="17">
        <v>0.26729999999999998</v>
      </c>
      <c r="R2" s="2" t="s">
        <v>128</v>
      </c>
      <c r="S2" s="2">
        <f>COUNTIF(A:A,"US Bond")</f>
        <v>7</v>
      </c>
    </row>
    <row r="3" spans="1:19" ht="39" x14ac:dyDescent="0.25">
      <c r="A3" s="3"/>
      <c r="B3" s="3" t="s">
        <v>129</v>
      </c>
      <c r="C3" s="18">
        <v>7687117.3200000003</v>
      </c>
      <c r="D3" s="19"/>
      <c r="E3" s="6" t="s">
        <v>281</v>
      </c>
      <c r="F3" s="14"/>
      <c r="G3" s="15"/>
      <c r="H3" s="12"/>
      <c r="I3" s="12"/>
      <c r="J3" s="12"/>
      <c r="K3" s="9" t="s">
        <v>122</v>
      </c>
      <c r="L3" s="12"/>
      <c r="M3" s="10" t="s">
        <v>282</v>
      </c>
      <c r="O3" s="2" t="s">
        <v>5</v>
      </c>
      <c r="P3" s="20">
        <v>0.08</v>
      </c>
      <c r="R3" s="2" t="s">
        <v>130</v>
      </c>
      <c r="S3" s="2">
        <f>COUNTIF(A:A,"Global Bond")</f>
        <v>18</v>
      </c>
    </row>
    <row r="4" spans="1:19" x14ac:dyDescent="0.25">
      <c r="A4" s="257"/>
      <c r="B4" s="257"/>
      <c r="C4" s="258"/>
      <c r="D4" s="19"/>
      <c r="E4" s="13">
        <f>SUM(E24,E87,E26)</f>
        <v>5380982.1239999998</v>
      </c>
      <c r="F4" s="14"/>
      <c r="G4" s="15"/>
      <c r="H4" s="12"/>
      <c r="I4" s="12"/>
      <c r="J4" s="12"/>
      <c r="K4" s="13">
        <f>SUM(K24,K87,K26)</f>
        <v>5462482.9190150183</v>
      </c>
      <c r="L4" s="12"/>
      <c r="M4" s="16">
        <f>K4/C3</f>
        <v>0.71060225720803982</v>
      </c>
      <c r="P4" s="20"/>
    </row>
    <row r="5" spans="1:19" x14ac:dyDescent="0.25">
      <c r="A5" s="21"/>
      <c r="B5" s="22"/>
      <c r="C5" s="22"/>
      <c r="D5" s="23"/>
      <c r="E5" s="24"/>
      <c r="F5" s="24"/>
      <c r="G5" s="24"/>
      <c r="H5" s="25"/>
      <c r="I5" s="25"/>
      <c r="J5" s="25"/>
      <c r="K5" s="12"/>
      <c r="L5" s="12"/>
      <c r="M5" s="12"/>
      <c r="O5" s="2" t="s">
        <v>131</v>
      </c>
      <c r="P5" s="20">
        <v>0.03</v>
      </c>
      <c r="R5" s="2" t="s">
        <v>131</v>
      </c>
      <c r="S5" s="2">
        <f>COUNTIF(A:A,"Commodity")</f>
        <v>20</v>
      </c>
    </row>
    <row r="6" spans="1:19" s="31" customFormat="1" ht="38.25" x14ac:dyDescent="0.2">
      <c r="A6" s="26" t="s">
        <v>132</v>
      </c>
      <c r="B6" s="27" t="s">
        <v>133</v>
      </c>
      <c r="C6" s="28" t="s">
        <v>13</v>
      </c>
      <c r="D6" s="28" t="s">
        <v>134</v>
      </c>
      <c r="E6" s="28" t="s">
        <v>135</v>
      </c>
      <c r="F6" s="28" t="s">
        <v>136</v>
      </c>
      <c r="G6" s="28" t="s">
        <v>137</v>
      </c>
      <c r="H6" s="29" t="s">
        <v>138</v>
      </c>
      <c r="I6" s="29" t="s">
        <v>139</v>
      </c>
      <c r="J6" s="29" t="s">
        <v>140</v>
      </c>
      <c r="K6" s="30" t="s">
        <v>142</v>
      </c>
      <c r="L6" s="30" t="s">
        <v>143</v>
      </c>
      <c r="M6" s="30" t="s">
        <v>144</v>
      </c>
      <c r="O6" s="31" t="s">
        <v>145</v>
      </c>
      <c r="P6" s="32">
        <f>100%-SUM(P2:P5)</f>
        <v>0.62270000000000003</v>
      </c>
      <c r="R6" s="31" t="s">
        <v>127</v>
      </c>
      <c r="S6" s="2">
        <f>COUNTIF(A:A,"Equity")</f>
        <v>13</v>
      </c>
    </row>
    <row r="7" spans="1:19" s="31" customFormat="1" ht="12.75" customHeight="1" x14ac:dyDescent="0.25">
      <c r="A7" s="33" t="s">
        <v>127</v>
      </c>
      <c r="B7" s="33" t="s">
        <v>1</v>
      </c>
      <c r="C7" s="34" t="s">
        <v>146</v>
      </c>
      <c r="D7" s="35">
        <v>0</v>
      </c>
      <c r="E7" s="36">
        <f>Table13[[#This Row],[Target Allocation (%)]]*$C$2*$C$3</f>
        <v>0</v>
      </c>
      <c r="F7" s="36">
        <v>53.450025893319498</v>
      </c>
      <c r="G7" s="37">
        <f>Table13[[#This Row],[Target Value Allocation (USD)]]/Table13[[#This Row],[Last price]]</f>
        <v>0</v>
      </c>
      <c r="H7" s="34">
        <v>5793</v>
      </c>
      <c r="I7" s="71">
        <v>0</v>
      </c>
      <c r="J7" s="38">
        <f t="shared" ref="J7:J19" si="0">I7-H7</f>
        <v>-5793</v>
      </c>
      <c r="K7" s="40">
        <f>Table13[[#This Row],[Last price]]*Table13[[#This Row],[Current Quantity]]</f>
        <v>0</v>
      </c>
      <c r="L7" s="142">
        <f>Table13[[#This Row],[Current Value Allocation]]/$K$2</f>
        <v>0</v>
      </c>
      <c r="M7" s="40"/>
      <c r="R7" s="31" t="s">
        <v>147</v>
      </c>
      <c r="S7" s="31">
        <v>1</v>
      </c>
    </row>
    <row r="8" spans="1:19" s="31" customFormat="1" ht="12.75" customHeight="1" x14ac:dyDescent="0.2">
      <c r="A8" s="33" t="s">
        <v>127</v>
      </c>
      <c r="B8" s="33" t="s">
        <v>249</v>
      </c>
      <c r="C8" s="34" t="s">
        <v>250</v>
      </c>
      <c r="D8" s="35">
        <v>1.4999999999999999E-2</v>
      </c>
      <c r="E8" s="36">
        <f>Table13[[#This Row],[Target Allocation (%)]]*$C$2*$C$3</f>
        <v>322858.92744</v>
      </c>
      <c r="F8" s="36">
        <v>335.5</v>
      </c>
      <c r="G8" s="37">
        <f>Table13[[#This Row],[Target Value Allocation (USD)]]/Table13[[#This Row],[Last price]]</f>
        <v>962.32169132637853</v>
      </c>
      <c r="H8" s="34">
        <v>0</v>
      </c>
      <c r="I8" s="34">
        <v>962</v>
      </c>
      <c r="J8" s="38">
        <f t="shared" si="0"/>
        <v>962</v>
      </c>
      <c r="K8" s="40">
        <f>Table13[[#This Row],[Last price]]*Table13[[#This Row],[Current Quantity]]</f>
        <v>322751</v>
      </c>
      <c r="L8" s="142">
        <f>Table13[[#This Row],[Current Value Allocation]]/$K$2</f>
        <v>1.5097768409714741E-2</v>
      </c>
      <c r="M8" s="40"/>
      <c r="R8" s="31" t="s">
        <v>151</v>
      </c>
      <c r="S8" s="2">
        <f>COUNTIF(A:A,"Others")</f>
        <v>2</v>
      </c>
    </row>
    <row r="9" spans="1:19" s="31" customFormat="1" ht="25.5" x14ac:dyDescent="0.2">
      <c r="A9" s="33" t="s">
        <v>127</v>
      </c>
      <c r="B9" s="33" t="s">
        <v>7</v>
      </c>
      <c r="C9" s="34" t="s">
        <v>31</v>
      </c>
      <c r="D9" s="35">
        <v>1.4999999999999999E-2</v>
      </c>
      <c r="E9" s="36">
        <f>Table13[[#This Row],[Target Allocation (%)]]*$C$2*$C$3</f>
        <v>322858.92744</v>
      </c>
      <c r="F9" s="36">
        <v>394</v>
      </c>
      <c r="G9" s="37">
        <f>Table13[[#This Row],[Target Value Allocation (USD)]]/Table13[[#This Row],[Last price]]</f>
        <v>819.43890213197972</v>
      </c>
      <c r="H9" s="34">
        <v>789</v>
      </c>
      <c r="I9" s="34">
        <v>819</v>
      </c>
      <c r="J9" s="38">
        <f t="shared" si="0"/>
        <v>30</v>
      </c>
      <c r="K9" s="40">
        <f>Table13[[#This Row],[Last price]]*Table13[[#This Row],[Current Quantity]]</f>
        <v>322686</v>
      </c>
      <c r="L9" s="142">
        <f>Table13[[#This Row],[Current Value Allocation]]/$K$2</f>
        <v>1.5094727815118189E-2</v>
      </c>
      <c r="M9" s="40"/>
      <c r="O9" s="2" t="s">
        <v>152</v>
      </c>
      <c r="P9" s="42">
        <v>288492</v>
      </c>
      <c r="R9" s="31" t="s">
        <v>153</v>
      </c>
      <c r="S9" s="31">
        <f>SUM(S2:S8)</f>
        <v>61</v>
      </c>
    </row>
    <row r="10" spans="1:19" s="31" customFormat="1" ht="25.5" customHeight="1" x14ac:dyDescent="0.25">
      <c r="A10" s="33" t="s">
        <v>127</v>
      </c>
      <c r="B10" s="33" t="s">
        <v>8</v>
      </c>
      <c r="C10" s="34" t="s">
        <v>34</v>
      </c>
      <c r="D10" s="35">
        <v>1.4999999999999999E-2</v>
      </c>
      <c r="E10" s="36">
        <f>Table13[[#This Row],[Target Allocation (%)]]*$C$2*$C$3</f>
        <v>322858.92744</v>
      </c>
      <c r="F10" s="36">
        <v>628.55932203389796</v>
      </c>
      <c r="G10" s="37">
        <f>Table13[[#This Row],[Target Value Allocation (USD)]]/Table13[[#This Row],[Last price]]</f>
        <v>513.64909583281678</v>
      </c>
      <c r="H10" s="34">
        <v>472</v>
      </c>
      <c r="I10" s="34">
        <v>514</v>
      </c>
      <c r="J10" s="38">
        <f t="shared" si="0"/>
        <v>42</v>
      </c>
      <c r="K10" s="40">
        <f>Table13[[#This Row],[Last price]]*Table13[[#This Row],[Current Quantity]]</f>
        <v>323079.49152542354</v>
      </c>
      <c r="L10" s="142">
        <f>Table13[[#This Row],[Current Value Allocation]]/$K$2</f>
        <v>1.5113134710594981E-2</v>
      </c>
      <c r="M10" s="40"/>
      <c r="O10" s="31" t="s">
        <v>154</v>
      </c>
      <c r="P10" s="42">
        <v>79066</v>
      </c>
    </row>
    <row r="11" spans="1:19" s="31" customFormat="1" ht="12.75" customHeight="1" x14ac:dyDescent="0.25">
      <c r="A11" s="33" t="s">
        <v>127</v>
      </c>
      <c r="B11" s="33" t="s">
        <v>9</v>
      </c>
      <c r="C11" s="34" t="s">
        <v>35</v>
      </c>
      <c r="D11" s="35">
        <v>1.4999999999999999E-2</v>
      </c>
      <c r="E11" s="36">
        <f>Table13[[#This Row],[Target Allocation (%)]]*$C$2*$C$3</f>
        <v>322858.92744</v>
      </c>
      <c r="F11" s="36">
        <v>170.450057405281</v>
      </c>
      <c r="G11" s="37">
        <f>Table13[[#This Row],[Target Value Allocation (USD)]]/Table13[[#This Row],[Last price]]</f>
        <v>1894.1555805542191</v>
      </c>
      <c r="H11" s="34">
        <v>1742</v>
      </c>
      <c r="I11" s="34">
        <v>1894</v>
      </c>
      <c r="J11" s="38">
        <f t="shared" si="0"/>
        <v>152</v>
      </c>
      <c r="K11" s="40">
        <f>Table13[[#This Row],[Last price]]*Table13[[#This Row],[Current Quantity]]</f>
        <v>322832.4087256022</v>
      </c>
      <c r="L11" s="142">
        <f>Table13[[#This Row],[Current Value Allocation]]/$K$2</f>
        <v>1.5101576577886713E-2</v>
      </c>
      <c r="M11" s="40"/>
      <c r="O11" s="31" t="s">
        <v>155</v>
      </c>
      <c r="P11" s="42">
        <v>896127</v>
      </c>
    </row>
    <row r="12" spans="1:19" s="31" customFormat="1" ht="12.75" customHeight="1" x14ac:dyDescent="0.25">
      <c r="A12" s="33" t="s">
        <v>127</v>
      </c>
      <c r="B12" s="33" t="s">
        <v>10</v>
      </c>
      <c r="C12" s="34" t="s">
        <v>36</v>
      </c>
      <c r="D12" s="35">
        <v>1.4999999999999999E-2</v>
      </c>
      <c r="E12" s="36">
        <f>Table13[[#This Row],[Target Allocation (%)]]*$C$2*$C$3</f>
        <v>322858.92744</v>
      </c>
      <c r="F12" s="36">
        <v>1433</v>
      </c>
      <c r="G12" s="37">
        <f>Table13[[#This Row],[Target Value Allocation (USD)]]/Table13[[#This Row],[Last price]]</f>
        <v>225.30281049546406</v>
      </c>
      <c r="H12" s="34">
        <v>302</v>
      </c>
      <c r="I12" s="34">
        <v>225</v>
      </c>
      <c r="J12" s="38">
        <f t="shared" si="0"/>
        <v>-77</v>
      </c>
      <c r="K12" s="40">
        <f>Table13[[#This Row],[Last price]]*Table13[[#This Row],[Current Quantity]]</f>
        <v>322425</v>
      </c>
      <c r="L12" s="142">
        <f>Table13[[#This Row],[Current Value Allocation]]/$K$2</f>
        <v>1.5082518658353576E-2</v>
      </c>
      <c r="M12" s="40"/>
      <c r="O12" s="31" t="s">
        <v>131</v>
      </c>
    </row>
    <row r="13" spans="1:19" s="31" customFormat="1" ht="12.75" customHeight="1" x14ac:dyDescent="0.25">
      <c r="A13" s="33" t="s">
        <v>127</v>
      </c>
      <c r="B13" s="33" t="s">
        <v>0</v>
      </c>
      <c r="C13" s="34" t="s">
        <v>23</v>
      </c>
      <c r="D13" s="35">
        <v>1.4999999999999999E-2</v>
      </c>
      <c r="E13" s="36">
        <f>Table13[[#This Row],[Target Allocation (%)]]*$C$2*$C$3</f>
        <v>322858.92744</v>
      </c>
      <c r="F13" s="36">
        <v>375.449754901961</v>
      </c>
      <c r="G13" s="37">
        <f>Table13[[#This Row],[Target Value Allocation (USD)]]/Table13[[#This Row],[Last price]]</f>
        <v>859.92579093387951</v>
      </c>
      <c r="H13" s="34">
        <v>816</v>
      </c>
      <c r="I13" s="34">
        <v>860</v>
      </c>
      <c r="J13" s="38">
        <f t="shared" si="0"/>
        <v>44</v>
      </c>
      <c r="K13" s="40">
        <f>Table13[[#This Row],[Last price]]*Table13[[#This Row],[Current Quantity]]</f>
        <v>322886.78921568644</v>
      </c>
      <c r="L13" s="142">
        <f>Table13[[#This Row],[Current Value Allocation]]/$K$2</f>
        <v>1.5104120409029911E-2</v>
      </c>
      <c r="M13" s="40"/>
    </row>
    <row r="14" spans="1:19" s="31" customFormat="1" ht="12.75" customHeight="1" x14ac:dyDescent="0.25">
      <c r="A14" s="33" t="s">
        <v>127</v>
      </c>
      <c r="B14" s="33" t="s">
        <v>3</v>
      </c>
      <c r="C14" s="34" t="s">
        <v>26</v>
      </c>
      <c r="D14" s="35">
        <v>1.4999999999999999E-2</v>
      </c>
      <c r="E14" s="36">
        <f>Table13[[#This Row],[Target Allocation (%)]]*$C$2*$C$3</f>
        <v>322858.92744</v>
      </c>
      <c r="F14" s="36">
        <v>424</v>
      </c>
      <c r="G14" s="37">
        <f>Table13[[#This Row],[Target Value Allocation (USD)]]/Table13[[#This Row],[Last price]]</f>
        <v>761.45973452830185</v>
      </c>
      <c r="H14" s="34">
        <v>753</v>
      </c>
      <c r="I14" s="34">
        <v>761</v>
      </c>
      <c r="J14" s="38">
        <f t="shared" si="0"/>
        <v>8</v>
      </c>
      <c r="K14" s="40">
        <f>Table13[[#This Row],[Last price]]*Table13[[#This Row],[Current Quantity]]</f>
        <v>322664</v>
      </c>
      <c r="L14" s="142">
        <f>Table13[[#This Row],[Current Value Allocation]]/$K$2</f>
        <v>1.5093698690793203E-2</v>
      </c>
      <c r="M14" s="40"/>
    </row>
    <row r="15" spans="1:19" s="31" customFormat="1" ht="12.75" customHeight="1" x14ac:dyDescent="0.25">
      <c r="A15" s="33" t="s">
        <v>127</v>
      </c>
      <c r="B15" s="33" t="s">
        <v>4</v>
      </c>
      <c r="C15" s="34" t="s">
        <v>156</v>
      </c>
      <c r="D15" s="35">
        <v>0</v>
      </c>
      <c r="E15" s="36">
        <f>Table13[[#This Row],[Target Allocation (%)]]*$C$2*$C$3</f>
        <v>0</v>
      </c>
      <c r="F15" s="36">
        <v>139.709888059701</v>
      </c>
      <c r="G15" s="37">
        <f>Table13[[#This Row],[Target Value Allocation (USD)]]/Table13[[#This Row],[Last price]]</f>
        <v>0</v>
      </c>
      <c r="H15" s="34">
        <v>2144</v>
      </c>
      <c r="I15" s="34">
        <v>0</v>
      </c>
      <c r="J15" s="38">
        <f t="shared" si="0"/>
        <v>-2144</v>
      </c>
      <c r="K15" s="40">
        <f>Table13[[#This Row],[Last price]]*Table13[[#This Row],[Current Quantity]]</f>
        <v>0</v>
      </c>
      <c r="L15" s="142">
        <f>Table13[[#This Row],[Current Value Allocation]]/$K$2</f>
        <v>0</v>
      </c>
      <c r="M15" s="40"/>
    </row>
    <row r="16" spans="1:19" s="31" customFormat="1" ht="12.75" customHeight="1" x14ac:dyDescent="0.25">
      <c r="A16" s="33" t="s">
        <v>127</v>
      </c>
      <c r="B16" s="33" t="s">
        <v>2</v>
      </c>
      <c r="C16" s="34" t="s">
        <v>157</v>
      </c>
      <c r="D16" s="35">
        <v>1.4999999999999999E-2</v>
      </c>
      <c r="E16" s="36">
        <f>Table13[[#This Row],[Target Allocation (%)]]*$C$2*$C$3</f>
        <v>322858.92744</v>
      </c>
      <c r="F16" s="36">
        <v>385.46047678795497</v>
      </c>
      <c r="G16" s="37">
        <f>Table13[[#This Row],[Target Value Allocation (USD)]]/Table13[[#This Row],[Last price]]</f>
        <v>837.59281919221871</v>
      </c>
      <c r="H16" s="34">
        <v>797</v>
      </c>
      <c r="I16" s="34">
        <v>838</v>
      </c>
      <c r="J16" s="38">
        <f t="shared" si="0"/>
        <v>41</v>
      </c>
      <c r="K16" s="40">
        <f>Table13[[#This Row],[Last price]]*Table13[[#This Row],[Current Quantity]]</f>
        <v>323015.87954830629</v>
      </c>
      <c r="L16" s="142">
        <f>Table13[[#This Row],[Current Value Allocation]]/$K$2</f>
        <v>1.5110159045458078E-2</v>
      </c>
      <c r="M16" s="40"/>
    </row>
    <row r="17" spans="1:17" s="31" customFormat="1" ht="12.75" customHeight="1" x14ac:dyDescent="0.25">
      <c r="A17" s="33" t="s">
        <v>127</v>
      </c>
      <c r="B17" s="43" t="s">
        <v>6</v>
      </c>
      <c r="C17" s="44" t="s">
        <v>28</v>
      </c>
      <c r="D17" s="45">
        <v>1.4999999999999999E-2</v>
      </c>
      <c r="E17" s="46">
        <f>Table13[[#This Row],[Target Allocation (%)]]*$C$2*$C$3</f>
        <v>322858.92744</v>
      </c>
      <c r="F17" s="36">
        <v>64</v>
      </c>
      <c r="G17" s="47">
        <f>Table13[[#This Row],[Target Value Allocation (USD)]]/Table13[[#This Row],[Last price]]</f>
        <v>5044.67074125</v>
      </c>
      <c r="H17" s="34">
        <v>4836</v>
      </c>
      <c r="I17" s="34">
        <v>5045</v>
      </c>
      <c r="J17" s="48">
        <f t="shared" si="0"/>
        <v>209</v>
      </c>
      <c r="K17" s="40">
        <f>Table13[[#This Row],[Last price]]*Table13[[#This Row],[Current Quantity]]</f>
        <v>322880</v>
      </c>
      <c r="L17" s="143">
        <f>Table13[[#This Row],[Current Value Allocation]]/$K$2</f>
        <v>1.5103802820529434E-2</v>
      </c>
      <c r="M17" s="50"/>
    </row>
    <row r="18" spans="1:17" s="31" customFormat="1" ht="12.75" customHeight="1" x14ac:dyDescent="0.25">
      <c r="A18" s="33" t="s">
        <v>127</v>
      </c>
      <c r="B18" s="33" t="s">
        <v>32</v>
      </c>
      <c r="C18" s="34" t="s">
        <v>33</v>
      </c>
      <c r="D18" s="35">
        <v>0</v>
      </c>
      <c r="E18" s="46">
        <f>Table13[[#This Row],[Target Allocation (%)]]*$C$2*$C$3</f>
        <v>0</v>
      </c>
      <c r="F18" s="36">
        <v>175.88</v>
      </c>
      <c r="G18" s="47">
        <f>Table13[[#This Row],[Target Value Allocation (USD)]]/Table13[[#This Row],[Last price]]</f>
        <v>0</v>
      </c>
      <c r="H18" s="34">
        <v>0</v>
      </c>
      <c r="I18" s="34">
        <v>0</v>
      </c>
      <c r="J18" s="38">
        <f t="shared" si="0"/>
        <v>0</v>
      </c>
      <c r="K18" s="40">
        <f>Table13[[#This Row],[Last price]]*Table13[[#This Row],[Current Quantity]]</f>
        <v>0</v>
      </c>
      <c r="L18" s="143">
        <f>Table13[[#This Row],[Current Value Allocation]]/$K$2</f>
        <v>0</v>
      </c>
      <c r="M18" s="50"/>
    </row>
    <row r="19" spans="1:17" s="31" customFormat="1" ht="12.75" customHeight="1" x14ac:dyDescent="0.25">
      <c r="A19" s="33" t="s">
        <v>127</v>
      </c>
      <c r="B19" s="33" t="s">
        <v>37</v>
      </c>
      <c r="C19" s="34" t="s">
        <v>38</v>
      </c>
      <c r="D19" s="35">
        <v>1.4999999999999999E-2</v>
      </c>
      <c r="E19" s="46">
        <f>Table13[[#This Row],[Target Allocation (%)]]*$C$2*$C$3</f>
        <v>322858.92744</v>
      </c>
      <c r="F19" s="36">
        <v>234.15</v>
      </c>
      <c r="G19" s="47">
        <f>Table13[[#This Row],[Target Value Allocation (USD)]]/Table13[[#This Row],[Last price]]</f>
        <v>1378.8551246636771</v>
      </c>
      <c r="H19" s="34">
        <v>0</v>
      </c>
      <c r="I19" s="34">
        <v>1379</v>
      </c>
      <c r="J19" s="38">
        <f t="shared" si="0"/>
        <v>1379</v>
      </c>
      <c r="K19" s="40">
        <f>Table13[[#This Row],[Last price]]*Table13[[#This Row],[Current Quantity]]</f>
        <v>322892.85000000003</v>
      </c>
      <c r="L19" s="143">
        <f>Table13[[#This Row],[Current Value Allocation]]/$K$2</f>
        <v>1.5104403922691984E-2</v>
      </c>
      <c r="M19" s="50"/>
    </row>
    <row r="20" spans="1:17" s="31" customFormat="1" ht="12.75" customHeight="1" x14ac:dyDescent="0.25">
      <c r="A20" s="33"/>
      <c r="B20" s="33"/>
      <c r="C20" s="34"/>
      <c r="D20" s="79"/>
      <c r="E20" s="36"/>
      <c r="F20" s="36"/>
      <c r="G20" s="37"/>
      <c r="H20" s="37"/>
      <c r="I20" s="34"/>
      <c r="J20" s="34"/>
      <c r="K20" s="34"/>
      <c r="L20" s="144"/>
      <c r="M20" s="145"/>
    </row>
    <row r="21" spans="1:17" s="31" customFormat="1" ht="12.75" customHeight="1" x14ac:dyDescent="0.25">
      <c r="A21" s="33"/>
      <c r="B21" s="33"/>
      <c r="C21" s="34"/>
      <c r="D21" s="79"/>
      <c r="E21" s="36"/>
      <c r="F21" s="36"/>
      <c r="G21" s="37"/>
      <c r="H21" s="37"/>
      <c r="I21" s="34"/>
      <c r="J21" s="34"/>
      <c r="K21" s="34"/>
      <c r="L21" s="144"/>
      <c r="M21" s="145"/>
    </row>
    <row r="22" spans="1:17" s="31" customFormat="1" ht="12.75" customHeight="1" x14ac:dyDescent="0.25">
      <c r="A22" s="33"/>
      <c r="B22" s="33"/>
      <c r="C22" s="34"/>
      <c r="D22" s="79"/>
      <c r="E22" s="36"/>
      <c r="F22" s="36"/>
      <c r="G22" s="37"/>
      <c r="H22" s="37"/>
      <c r="I22" s="34"/>
      <c r="J22" s="34"/>
      <c r="K22" s="40"/>
      <c r="L22" s="144"/>
      <c r="M22" s="145"/>
    </row>
    <row r="23" spans="1:17" s="57" customFormat="1" ht="12.75" customHeight="1" x14ac:dyDescent="0.25">
      <c r="A23" s="52"/>
      <c r="B23" s="52"/>
      <c r="C23" s="52"/>
      <c r="D23" s="53"/>
      <c r="E23" s="54"/>
      <c r="F23" s="54"/>
      <c r="G23" s="55"/>
      <c r="H23" s="55"/>
      <c r="I23" s="52"/>
      <c r="J23" s="52"/>
      <c r="K23" s="52"/>
      <c r="L23" s="146"/>
      <c r="M23" s="52"/>
    </row>
    <row r="24" spans="1:17" s="68" customFormat="1" ht="12.75" customHeight="1" x14ac:dyDescent="0.25">
      <c r="A24" s="58" t="s">
        <v>158</v>
      </c>
      <c r="B24" s="59"/>
      <c r="C24" s="60"/>
      <c r="D24" s="61">
        <f>SUM(D7:D19)</f>
        <v>0.15000000000000002</v>
      </c>
      <c r="E24" s="62">
        <f>SUM(E7:E19)</f>
        <v>3228589.2743999995</v>
      </c>
      <c r="F24" s="62"/>
      <c r="G24" s="63"/>
      <c r="H24" s="64"/>
      <c r="I24" s="64"/>
      <c r="J24" s="64"/>
      <c r="K24" s="62">
        <f>SUM(K7:K22)</f>
        <v>3228113.4190150183</v>
      </c>
      <c r="L24" s="147">
        <f>Table13[[#This Row],[Current Value Allocation]]/$K$2</f>
        <v>0.15100591106017081</v>
      </c>
      <c r="M24" s="67"/>
    </row>
    <row r="25" spans="1:17" s="57" customFormat="1" ht="12.75" customHeight="1" x14ac:dyDescent="0.25">
      <c r="A25" s="52"/>
      <c r="B25" s="52"/>
      <c r="C25" s="52"/>
      <c r="D25" s="53"/>
      <c r="E25" s="54"/>
      <c r="F25" s="54"/>
      <c r="G25" s="55"/>
      <c r="H25" s="52"/>
      <c r="I25" s="52"/>
      <c r="J25" s="52"/>
      <c r="K25" s="52"/>
      <c r="L25" s="148"/>
      <c r="M25" s="52"/>
    </row>
    <row r="26" spans="1:17" s="31" customFormat="1" ht="12.75" customHeight="1" x14ac:dyDescent="0.25">
      <c r="A26" s="34"/>
      <c r="B26" s="70" t="s">
        <v>5</v>
      </c>
      <c r="C26" s="71" t="s">
        <v>27</v>
      </c>
      <c r="D26" s="72">
        <v>0.05</v>
      </c>
      <c r="E26" s="73">
        <f>Table13[[#This Row],[Target Allocation (%)]]*$C$2*$C$3</f>
        <v>1076196.4247999999</v>
      </c>
      <c r="F26" s="36">
        <v>17.05</v>
      </c>
      <c r="G26" s="74">
        <f>Table13[[#This Row],[Target Value Allocation (USD)]]/Table13[[#This Row],[Last price]]</f>
        <v>63120.024914956004</v>
      </c>
      <c r="H26" s="34">
        <v>51000</v>
      </c>
      <c r="I26" s="71">
        <v>63120</v>
      </c>
      <c r="J26" s="75">
        <f>I26-H26</f>
        <v>12120</v>
      </c>
      <c r="K26" s="40">
        <f>Table13[[#This Row],[Last price]]*Table13[[#This Row],[Current Quantity]]</f>
        <v>1076196</v>
      </c>
      <c r="L26" s="149">
        <f>Table13[[#This Row],[Current Value Allocation]]/$K$2</f>
        <v>5.0342703729690581E-2</v>
      </c>
      <c r="M26" s="77"/>
      <c r="Q26" s="42"/>
    </row>
    <row r="27" spans="1:17" s="31" customFormat="1" ht="12.75" customHeight="1" x14ac:dyDescent="0.25">
      <c r="A27" s="33"/>
      <c r="B27" s="33"/>
      <c r="C27" s="34"/>
      <c r="D27" s="79"/>
      <c r="E27" s="73"/>
      <c r="F27" s="36"/>
      <c r="G27" s="37"/>
      <c r="H27" s="34"/>
      <c r="I27" s="34"/>
      <c r="J27" s="34"/>
      <c r="K27" s="40"/>
      <c r="L27" s="142"/>
      <c r="M27" s="81"/>
      <c r="Q27" s="42"/>
    </row>
    <row r="28" spans="1:17" ht="26.25" x14ac:dyDescent="0.25">
      <c r="A28" s="33" t="s">
        <v>128</v>
      </c>
      <c r="B28" s="82" t="s">
        <v>94</v>
      </c>
      <c r="C28" s="83" t="s">
        <v>95</v>
      </c>
      <c r="D28" s="84">
        <v>0.05</v>
      </c>
      <c r="E28" s="73">
        <f>Table13[[#This Row],[Target Allocation (%)]]*$C$2*$C$3</f>
        <v>1076196.4247999999</v>
      </c>
      <c r="F28" s="36">
        <v>157220.66666666701</v>
      </c>
      <c r="G28" s="86">
        <f>Table13[[#This Row],[Target Value Allocation (USD)]]/Table13[[#This Row],[Last price]]</f>
        <v>6.8451333251353574</v>
      </c>
      <c r="H28" s="34">
        <v>3</v>
      </c>
      <c r="I28" s="83">
        <v>7</v>
      </c>
      <c r="J28" s="38">
        <f t="shared" ref="J28:J34" si="1">I28-H28</f>
        <v>4</v>
      </c>
      <c r="K28" s="40">
        <f>Table13[[#This Row],[Last price]]*Table13[[#This Row],[Current Quantity]]</f>
        <v>1100544.6666666691</v>
      </c>
      <c r="L28" s="142">
        <f>Table13[[#This Row],[Current Value Allocation]]/$K$2</f>
        <v>5.1481694872765923E-2</v>
      </c>
      <c r="M28" s="87"/>
    </row>
    <row r="29" spans="1:17" ht="26.25" x14ac:dyDescent="0.25">
      <c r="A29" s="33" t="s">
        <v>128</v>
      </c>
      <c r="B29" s="82" t="s">
        <v>98</v>
      </c>
      <c r="C29" s="83" t="s">
        <v>99</v>
      </c>
      <c r="D29" s="84">
        <v>0.05</v>
      </c>
      <c r="E29" s="73">
        <f>Table13[[#This Row],[Target Allocation (%)]]*$C$2*$C$3</f>
        <v>1076196.4247999999</v>
      </c>
      <c r="F29" s="36">
        <v>217519</v>
      </c>
      <c r="G29" s="86">
        <f>Table13[[#This Row],[Target Value Allocation (USD)]]/Table13[[#This Row],[Last price]]</f>
        <v>4.9475973354051828</v>
      </c>
      <c r="H29" s="34">
        <v>2</v>
      </c>
      <c r="I29" s="83">
        <v>5</v>
      </c>
      <c r="J29" s="38">
        <f t="shared" si="1"/>
        <v>3</v>
      </c>
      <c r="K29" s="40">
        <f>Table13[[#This Row],[Last price]]*Table13[[#This Row],[Current Quantity]]</f>
        <v>1087595</v>
      </c>
      <c r="L29" s="142">
        <f>Table13[[#This Row],[Current Value Allocation]]/$K$2</f>
        <v>5.0875930465168827E-2</v>
      </c>
      <c r="M29" s="87"/>
    </row>
    <row r="30" spans="1:17" ht="26.25" x14ac:dyDescent="0.25">
      <c r="A30" s="33" t="s">
        <v>128</v>
      </c>
      <c r="B30" s="82" t="s">
        <v>101</v>
      </c>
      <c r="C30" s="83" t="s">
        <v>102</v>
      </c>
      <c r="D30" s="84">
        <v>0.05</v>
      </c>
      <c r="E30" s="73">
        <f>Table13[[#This Row],[Target Allocation (%)]]*$C$2*$C$3</f>
        <v>1076196.4247999999</v>
      </c>
      <c r="F30" s="36">
        <v>178237.6</v>
      </c>
      <c r="G30" s="86">
        <f>Table13[[#This Row],[Target Value Allocation (USD)]]/Table13[[#This Row],[Last price]]</f>
        <v>6.0379876344834083</v>
      </c>
      <c r="H30" s="34">
        <v>5</v>
      </c>
      <c r="I30" s="83">
        <v>6</v>
      </c>
      <c r="J30" s="38">
        <f t="shared" si="1"/>
        <v>1</v>
      </c>
      <c r="K30" s="40">
        <f>Table13[[#This Row],[Last price]]*Table13[[#This Row],[Current Quantity]]</f>
        <v>1069425.6000000001</v>
      </c>
      <c r="L30" s="142">
        <f>Table13[[#This Row],[Current Value Allocation]]/$K$2</f>
        <v>5.0025995396513825E-2</v>
      </c>
      <c r="M30" s="87"/>
    </row>
    <row r="31" spans="1:17" ht="26.25" x14ac:dyDescent="0.25">
      <c r="A31" s="33" t="s">
        <v>128</v>
      </c>
      <c r="B31" s="82" t="s">
        <v>104</v>
      </c>
      <c r="C31" s="83" t="s">
        <v>105</v>
      </c>
      <c r="D31" s="84">
        <v>0.05</v>
      </c>
      <c r="E31" s="73">
        <f>Table13[[#This Row],[Target Allocation (%)]]*$C$2*$C$3</f>
        <v>1076196.4247999999</v>
      </c>
      <c r="F31" s="36">
        <v>125692.142857143</v>
      </c>
      <c r="G31" s="86">
        <f>Table13[[#This Row],[Target Value Allocation (USD)]]/Table13[[#This Row],[Last price]]</f>
        <v>8.5621614870801004</v>
      </c>
      <c r="H31" s="34">
        <v>7</v>
      </c>
      <c r="I31" s="83">
        <v>9</v>
      </c>
      <c r="J31" s="38">
        <f t="shared" si="1"/>
        <v>2</v>
      </c>
      <c r="K31" s="40">
        <f>Table13[[#This Row],[Last price]]*Table13[[#This Row],[Current Quantity]]</f>
        <v>1131229.2857142871</v>
      </c>
      <c r="L31" s="142">
        <f>Table13[[#This Row],[Current Value Allocation]]/$K$2</f>
        <v>5.2917071593895401E-2</v>
      </c>
      <c r="M31" s="87"/>
    </row>
    <row r="32" spans="1:17" ht="26.25" x14ac:dyDescent="0.25">
      <c r="A32" s="33" t="s">
        <v>128</v>
      </c>
      <c r="B32" s="82" t="s">
        <v>107</v>
      </c>
      <c r="C32" s="83" t="s">
        <v>108</v>
      </c>
      <c r="D32" s="84">
        <v>0.05</v>
      </c>
      <c r="E32" s="73">
        <f>Table13[[#This Row],[Target Allocation (%)]]*$C$2*$C$3</f>
        <v>1076196.4247999999</v>
      </c>
      <c r="F32" s="36">
        <v>139088</v>
      </c>
      <c r="G32" s="86">
        <f>Table13[[#This Row],[Target Value Allocation (USD)]]/Table13[[#This Row],[Last price]]</f>
        <v>7.7375217473829512</v>
      </c>
      <c r="H32" s="34">
        <v>6</v>
      </c>
      <c r="I32" s="83">
        <v>8</v>
      </c>
      <c r="J32" s="38">
        <f t="shared" si="1"/>
        <v>2</v>
      </c>
      <c r="K32" s="40">
        <f>Table13[[#This Row],[Last price]]*Table13[[#This Row],[Current Quantity]]</f>
        <v>1112704</v>
      </c>
      <c r="L32" s="142">
        <f>Table13[[#This Row],[Current Value Allocation]]/$K$2</f>
        <v>5.2050488768627307E-2</v>
      </c>
      <c r="M32" s="87"/>
    </row>
    <row r="33" spans="1:17" ht="26.25" x14ac:dyDescent="0.25">
      <c r="A33" s="43" t="s">
        <v>128</v>
      </c>
      <c r="B33" s="82" t="s">
        <v>110</v>
      </c>
      <c r="C33" s="83" t="s">
        <v>111</v>
      </c>
      <c r="D33" s="84">
        <v>4.4443999999999997E-2</v>
      </c>
      <c r="E33" s="73">
        <f>Table13[[#This Row],[Target Allocation (%)]]*$C$2*$C$3</f>
        <v>956609.47807622398</v>
      </c>
      <c r="F33" s="36">
        <v>416353</v>
      </c>
      <c r="G33" s="86">
        <f>Table13[[#This Row],[Target Value Allocation (USD)]]/Table13[[#This Row],[Last price]]</f>
        <v>2.2975923749227793</v>
      </c>
      <c r="H33" s="34">
        <v>2</v>
      </c>
      <c r="I33" s="83">
        <v>2</v>
      </c>
      <c r="J33" s="38">
        <f t="shared" si="1"/>
        <v>0</v>
      </c>
      <c r="K33" s="40">
        <f>Table13[[#This Row],[Last price]]*Table13[[#This Row],[Current Quantity]]</f>
        <v>832706</v>
      </c>
      <c r="L33" s="142">
        <f>Table13[[#This Row],[Current Value Allocation]]/$K$2</f>
        <v>3.8952636371010228E-2</v>
      </c>
      <c r="M33" s="87"/>
    </row>
    <row r="34" spans="1:17" ht="26.25" x14ac:dyDescent="0.25">
      <c r="A34" s="34" t="s">
        <v>128</v>
      </c>
      <c r="B34" s="89" t="s">
        <v>116</v>
      </c>
      <c r="C34" s="90" t="s">
        <v>117</v>
      </c>
      <c r="D34" s="150">
        <v>0.05</v>
      </c>
      <c r="E34" s="73">
        <f>Table13[[#This Row],[Target Allocation (%)]]*$C$2*$C$3</f>
        <v>1076196.4247999999</v>
      </c>
      <c r="F34" s="36">
        <v>220792.25</v>
      </c>
      <c r="G34" s="93">
        <f>Table13[[#This Row],[Target Value Allocation (USD)]]/Table13[[#This Row],[Last price]]</f>
        <v>4.8742490952467756</v>
      </c>
      <c r="H34" s="34">
        <v>4</v>
      </c>
      <c r="I34" s="90">
        <v>5</v>
      </c>
      <c r="J34" s="38">
        <f t="shared" si="1"/>
        <v>1</v>
      </c>
      <c r="K34" s="40">
        <f>Table13[[#This Row],[Last price]]*Table13[[#This Row],[Current Quantity]]</f>
        <v>1103961.25</v>
      </c>
      <c r="L34" s="143">
        <f>Table13[[#This Row],[Current Value Allocation]]/$K$2</f>
        <v>5.1641517100796577E-2</v>
      </c>
      <c r="M34" s="94"/>
    </row>
    <row r="35" spans="1:17" s="100" customFormat="1" ht="12.75" x14ac:dyDescent="0.2">
      <c r="A35" s="52"/>
      <c r="B35" s="95"/>
      <c r="C35" s="95"/>
      <c r="D35" s="96"/>
      <c r="E35" s="97"/>
      <c r="F35" s="97"/>
      <c r="G35" s="98"/>
      <c r="H35" s="98"/>
      <c r="I35" s="95"/>
      <c r="J35" s="52"/>
      <c r="K35" s="52"/>
      <c r="L35" s="146"/>
      <c r="M35" s="99"/>
    </row>
    <row r="36" spans="1:17" s="15" customFormat="1" ht="12.75" x14ac:dyDescent="0.2">
      <c r="A36" s="58" t="s">
        <v>159</v>
      </c>
      <c r="B36" s="101"/>
      <c r="C36" s="102"/>
      <c r="D36" s="103">
        <f>SUM(D28:D34)</f>
        <v>0.34444399999999997</v>
      </c>
      <c r="E36" s="104">
        <f>SUM(E28:E34)</f>
        <v>7413788.0268762242</v>
      </c>
      <c r="F36" s="105"/>
      <c r="G36" s="106"/>
      <c r="H36" s="102"/>
      <c r="I36" s="102"/>
      <c r="J36" s="60"/>
      <c r="K36" s="104">
        <f>SUM(K28:K34)</f>
        <v>7438165.8023809558</v>
      </c>
      <c r="L36" s="151">
        <f>Table13[[#This Row],[Current Value Allocation]]/$K$2</f>
        <v>0.34794533456877808</v>
      </c>
      <c r="M36" s="109"/>
    </row>
    <row r="37" spans="1:17" s="100" customFormat="1" ht="12.75" x14ac:dyDescent="0.2">
      <c r="A37" s="52"/>
      <c r="B37" s="95"/>
      <c r="C37" s="95"/>
      <c r="D37" s="96"/>
      <c r="E37" s="97"/>
      <c r="F37" s="97"/>
      <c r="G37" s="98"/>
      <c r="H37" s="95"/>
      <c r="I37" s="95"/>
      <c r="J37" s="52"/>
      <c r="K37" s="52"/>
      <c r="L37" s="148"/>
      <c r="M37" s="99"/>
    </row>
    <row r="38" spans="1:17" s="31" customFormat="1" ht="25.5" customHeight="1" x14ac:dyDescent="0.2">
      <c r="A38" s="34" t="s">
        <v>130</v>
      </c>
      <c r="B38" s="70" t="s">
        <v>39</v>
      </c>
      <c r="C38" s="71" t="s">
        <v>40</v>
      </c>
      <c r="D38" s="72">
        <v>4.4443999999999997E-2</v>
      </c>
      <c r="E38" s="73">
        <f>Table13[[#This Row],[Target Allocation (%)]]*$C$2*$C$3</f>
        <v>956609.47807622398</v>
      </c>
      <c r="F38" s="36">
        <v>93853</v>
      </c>
      <c r="G38" s="74">
        <f>Table13[[#This Row],[Target Value Allocation (USD)]]/Table13[[#This Row],[Last price]]</f>
        <v>10.19263612325897</v>
      </c>
      <c r="H38" s="34">
        <v>1</v>
      </c>
      <c r="I38" s="71">
        <v>10</v>
      </c>
      <c r="J38" s="38">
        <f t="shared" ref="J38:J55" si="2">I38-H38</f>
        <v>9</v>
      </c>
      <c r="K38" s="40">
        <f>Table13[[#This Row],[Last price]]*Table13[[#This Row],[Current Quantity]]</f>
        <v>938530</v>
      </c>
      <c r="L38" s="149">
        <f>Table13[[#This Row],[Current Value Allocation]]/$K$2</f>
        <v>4.3902911487709022E-2</v>
      </c>
      <c r="M38" s="77"/>
      <c r="N38" s="2"/>
      <c r="Q38" s="42"/>
    </row>
    <row r="39" spans="1:17" s="31" customFormat="1" ht="25.5" customHeight="1" x14ac:dyDescent="0.2">
      <c r="A39" s="70" t="s">
        <v>130</v>
      </c>
      <c r="B39" s="33" t="s">
        <v>160</v>
      </c>
      <c r="C39" s="34" t="s">
        <v>161</v>
      </c>
      <c r="D39" s="35">
        <v>0</v>
      </c>
      <c r="E39" s="73">
        <f>Table13[[#This Row],[Target Allocation (%)]]*$C$2*$C$3</f>
        <v>0</v>
      </c>
      <c r="F39" s="36">
        <v>162906</v>
      </c>
      <c r="G39" s="37">
        <f>Table13[[#This Row],[Target Value Allocation (USD)]]/Table13[[#This Row],[Last price]]</f>
        <v>0</v>
      </c>
      <c r="H39" s="34">
        <v>1</v>
      </c>
      <c r="I39" s="34">
        <v>0</v>
      </c>
      <c r="J39" s="38">
        <f t="shared" si="2"/>
        <v>-1</v>
      </c>
      <c r="K39" s="40">
        <f>Table13[[#This Row],[Last price]]*Table13[[#This Row],[Current Quantity]]</f>
        <v>0</v>
      </c>
      <c r="L39" s="142">
        <f>Table13[[#This Row],[Current Value Allocation]]/$K$2</f>
        <v>0</v>
      </c>
      <c r="M39" s="40"/>
      <c r="N39" s="2"/>
    </row>
    <row r="40" spans="1:17" s="31" customFormat="1" ht="25.5" customHeight="1" x14ac:dyDescent="0.2">
      <c r="A40" s="33" t="s">
        <v>130</v>
      </c>
      <c r="B40" s="33" t="s">
        <v>162</v>
      </c>
      <c r="C40" s="34" t="s">
        <v>163</v>
      </c>
      <c r="D40" s="35">
        <v>0</v>
      </c>
      <c r="E40" s="73">
        <f>Table13[[#This Row],[Target Allocation (%)]]*$C$2*$C$3</f>
        <v>0</v>
      </c>
      <c r="F40" s="36">
        <v>126537</v>
      </c>
      <c r="G40" s="37">
        <f>Table13[[#This Row],[Target Value Allocation (USD)]]/Table13[[#This Row],[Last price]]</f>
        <v>0</v>
      </c>
      <c r="H40" s="34">
        <v>1</v>
      </c>
      <c r="I40" s="34">
        <v>0</v>
      </c>
      <c r="J40" s="38">
        <f t="shared" si="2"/>
        <v>-1</v>
      </c>
      <c r="K40" s="40">
        <f>Table13[[#This Row],[Last price]]*Table13[[#This Row],[Current Quantity]]</f>
        <v>0</v>
      </c>
      <c r="L40" s="142">
        <f>Table13[[#This Row],[Current Value Allocation]]/$K$2</f>
        <v>0</v>
      </c>
      <c r="M40" s="40"/>
      <c r="N40" s="2"/>
    </row>
    <row r="41" spans="1:17" s="31" customFormat="1" ht="25.5" customHeight="1" x14ac:dyDescent="0.2">
      <c r="A41" s="33" t="s">
        <v>130</v>
      </c>
      <c r="B41" s="33" t="s">
        <v>50</v>
      </c>
      <c r="C41" s="34" t="s">
        <v>51</v>
      </c>
      <c r="D41" s="35">
        <v>0.05</v>
      </c>
      <c r="E41" s="73">
        <f>Table13[[#This Row],[Target Allocation (%)]]*$C$2*$C$3</f>
        <v>1076196.4247999999</v>
      </c>
      <c r="F41" s="36">
        <v>113383</v>
      </c>
      <c r="G41" s="37">
        <f>Table13[[#This Row],[Target Value Allocation (USD)]]/Table13[[#This Row],[Last price]]</f>
        <v>9.4916912129684334</v>
      </c>
      <c r="H41" s="34">
        <v>1</v>
      </c>
      <c r="I41" s="34">
        <v>9</v>
      </c>
      <c r="J41" s="38">
        <f t="shared" si="2"/>
        <v>8</v>
      </c>
      <c r="K41" s="40">
        <f>Table13[[#This Row],[Last price]]*Table13[[#This Row],[Current Quantity]]</f>
        <v>1020447</v>
      </c>
      <c r="L41" s="142">
        <f>Table13[[#This Row],[Current Value Allocation]]/$K$2</f>
        <v>4.7734855911796333E-2</v>
      </c>
      <c r="M41" s="40"/>
      <c r="N41" s="2"/>
    </row>
    <row r="42" spans="1:17" s="31" customFormat="1" ht="25.5" customHeight="1" x14ac:dyDescent="0.2">
      <c r="A42" s="33" t="s">
        <v>130</v>
      </c>
      <c r="B42" s="33" t="s">
        <v>164</v>
      </c>
      <c r="C42" s="34" t="s">
        <v>55</v>
      </c>
      <c r="D42" s="35">
        <v>4.4443999999999997E-2</v>
      </c>
      <c r="E42" s="73">
        <f>Table13[[#This Row],[Target Allocation (%)]]*$C$2*$C$3</f>
        <v>956609.47807622398</v>
      </c>
      <c r="F42" s="36">
        <v>249596</v>
      </c>
      <c r="G42" s="37">
        <f>Table13[[#This Row],[Target Value Allocation (USD)]]/Table13[[#This Row],[Last price]]</f>
        <v>3.8326314447195626</v>
      </c>
      <c r="H42" s="34">
        <v>1</v>
      </c>
      <c r="I42" s="34">
        <v>4</v>
      </c>
      <c r="J42" s="38">
        <f t="shared" si="2"/>
        <v>3</v>
      </c>
      <c r="K42" s="40">
        <f>Table13[[#This Row],[Last price]]*Table13[[#This Row],[Current Quantity]]</f>
        <v>998384</v>
      </c>
      <c r="L42" s="142">
        <f>Table13[[#This Row],[Current Value Allocation]]/$K$2</f>
        <v>4.6702784548970075E-2</v>
      </c>
      <c r="M42" s="40"/>
      <c r="N42" s="2"/>
    </row>
    <row r="43" spans="1:17" s="31" customFormat="1" ht="25.5" customHeight="1" x14ac:dyDescent="0.2">
      <c r="A43" s="33" t="s">
        <v>130</v>
      </c>
      <c r="B43" s="33" t="s">
        <v>58</v>
      </c>
      <c r="C43" s="34" t="s">
        <v>59</v>
      </c>
      <c r="D43" s="35">
        <v>4.4443999999999997E-2</v>
      </c>
      <c r="E43" s="73">
        <f>Table13[[#This Row],[Target Allocation (%)]]*$C$2*$C$3</f>
        <v>956609.47807622398</v>
      </c>
      <c r="F43" s="36">
        <v>111764</v>
      </c>
      <c r="G43" s="37">
        <f>Table13[[#This Row],[Target Value Allocation (USD)]]/Table13[[#This Row],[Last price]]</f>
        <v>8.559191493470383</v>
      </c>
      <c r="H43" s="34">
        <v>1</v>
      </c>
      <c r="I43" s="34">
        <v>9</v>
      </c>
      <c r="J43" s="38">
        <f t="shared" si="2"/>
        <v>8</v>
      </c>
      <c r="K43" s="40">
        <f>Table13[[#This Row],[Last price]]*Table13[[#This Row],[Current Quantity]]</f>
        <v>1005876</v>
      </c>
      <c r="L43" s="142">
        <f>Table13[[#This Row],[Current Value Allocation]]/$K$2</f>
        <v>4.7053248160006396E-2</v>
      </c>
      <c r="M43" s="40"/>
      <c r="N43" s="2"/>
    </row>
    <row r="44" spans="1:17" s="31" customFormat="1" ht="25.5" customHeight="1" x14ac:dyDescent="0.2">
      <c r="A44" s="33" t="s">
        <v>130</v>
      </c>
      <c r="B44" s="33" t="s">
        <v>165</v>
      </c>
      <c r="C44" s="34" t="s">
        <v>166</v>
      </c>
      <c r="D44" s="35">
        <v>0</v>
      </c>
      <c r="E44" s="73">
        <f>Table13[[#This Row],[Target Allocation (%)]]*$C$2*$C$3</f>
        <v>0</v>
      </c>
      <c r="F44" s="36">
        <v>199334</v>
      </c>
      <c r="G44" s="37">
        <f>Table13[[#This Row],[Target Value Allocation (USD)]]/Table13[[#This Row],[Last price]]</f>
        <v>0</v>
      </c>
      <c r="H44" s="34">
        <v>1</v>
      </c>
      <c r="I44" s="34">
        <v>0</v>
      </c>
      <c r="J44" s="38">
        <f t="shared" si="2"/>
        <v>-1</v>
      </c>
      <c r="K44" s="40">
        <f>Table13[[#This Row],[Last price]]*Table13[[#This Row],[Current Quantity]]</f>
        <v>0</v>
      </c>
      <c r="L44" s="142">
        <f>Table13[[#This Row],[Current Value Allocation]]/$K$2</f>
        <v>0</v>
      </c>
      <c r="M44" s="40"/>
      <c r="N44" s="2"/>
    </row>
    <row r="45" spans="1:17" s="31" customFormat="1" ht="25.5" x14ac:dyDescent="0.2">
      <c r="A45" s="33" t="s">
        <v>130</v>
      </c>
      <c r="B45" s="33" t="s">
        <v>167</v>
      </c>
      <c r="C45" s="34" t="s">
        <v>168</v>
      </c>
      <c r="D45" s="35">
        <v>0</v>
      </c>
      <c r="E45" s="73">
        <f>Table13[[#This Row],[Target Allocation (%)]]*$C$2*$C$3</f>
        <v>0</v>
      </c>
      <c r="F45" s="36">
        <v>152572</v>
      </c>
      <c r="G45" s="37">
        <f>Table13[[#This Row],[Target Value Allocation (USD)]]/Table13[[#This Row],[Last price]]</f>
        <v>0</v>
      </c>
      <c r="H45" s="34">
        <v>1</v>
      </c>
      <c r="I45" s="34">
        <v>0</v>
      </c>
      <c r="J45" s="38">
        <f t="shared" si="2"/>
        <v>-1</v>
      </c>
      <c r="K45" s="40">
        <f>Table13[[#This Row],[Last price]]*Table13[[#This Row],[Current Quantity]]</f>
        <v>0</v>
      </c>
      <c r="L45" s="142">
        <f>Table13[[#This Row],[Current Value Allocation]]/$K$2</f>
        <v>0</v>
      </c>
      <c r="M45" s="40"/>
      <c r="N45" s="2"/>
    </row>
    <row r="46" spans="1:17" s="31" customFormat="1" ht="25.5" customHeight="1" x14ac:dyDescent="0.2">
      <c r="A46" s="33" t="s">
        <v>130</v>
      </c>
      <c r="B46" s="33" t="s">
        <v>169</v>
      </c>
      <c r="C46" s="34" t="s">
        <v>170</v>
      </c>
      <c r="D46" s="35">
        <v>0</v>
      </c>
      <c r="E46" s="73">
        <f>Table13[[#This Row],[Target Allocation (%)]]*$C$2*$C$3</f>
        <v>0</v>
      </c>
      <c r="F46" s="36">
        <v>126849</v>
      </c>
      <c r="G46" s="37">
        <f>Table13[[#This Row],[Target Value Allocation (USD)]]/Table13[[#This Row],[Last price]]</f>
        <v>0</v>
      </c>
      <c r="H46" s="34">
        <v>1</v>
      </c>
      <c r="I46" s="34">
        <v>0</v>
      </c>
      <c r="J46" s="38">
        <f t="shared" si="2"/>
        <v>-1</v>
      </c>
      <c r="K46" s="40">
        <f>Table13[[#This Row],[Last price]]*Table13[[#This Row],[Current Quantity]]</f>
        <v>0</v>
      </c>
      <c r="L46" s="142">
        <f>Table13[[#This Row],[Current Value Allocation]]/$K$2</f>
        <v>0</v>
      </c>
      <c r="M46" s="40"/>
      <c r="N46" s="2"/>
    </row>
    <row r="47" spans="1:17" s="31" customFormat="1" ht="25.5" customHeight="1" x14ac:dyDescent="0.2">
      <c r="A47" s="33" t="s">
        <v>130</v>
      </c>
      <c r="B47" s="33" t="s">
        <v>171</v>
      </c>
      <c r="C47" s="34" t="s">
        <v>172</v>
      </c>
      <c r="D47" s="35">
        <v>0</v>
      </c>
      <c r="E47" s="73">
        <f>Table13[[#This Row],[Target Allocation (%)]]*$C$2*$C$3</f>
        <v>0</v>
      </c>
      <c r="F47" s="36">
        <v>247176</v>
      </c>
      <c r="G47" s="37">
        <f>Table13[[#This Row],[Target Value Allocation (USD)]]/Table13[[#This Row],[Last price]]</f>
        <v>0</v>
      </c>
      <c r="H47" s="34">
        <v>1</v>
      </c>
      <c r="I47" s="34">
        <v>0</v>
      </c>
      <c r="J47" s="38">
        <f t="shared" si="2"/>
        <v>-1</v>
      </c>
      <c r="K47" s="40">
        <f>Table13[[#This Row],[Last price]]*Table13[[#This Row],[Current Quantity]]</f>
        <v>0</v>
      </c>
      <c r="L47" s="142">
        <f>Table13[[#This Row],[Current Value Allocation]]/$K$2</f>
        <v>0</v>
      </c>
      <c r="M47" s="40"/>
      <c r="N47" s="2"/>
    </row>
    <row r="48" spans="1:17" s="31" customFormat="1" ht="25.5" x14ac:dyDescent="0.2">
      <c r="A48" s="33" t="s">
        <v>130</v>
      </c>
      <c r="B48" s="33" t="s">
        <v>173</v>
      </c>
      <c r="C48" s="34" t="s">
        <v>61</v>
      </c>
      <c r="D48" s="35">
        <v>4.4443999999999997E-2</v>
      </c>
      <c r="E48" s="73">
        <f>Table13[[#This Row],[Target Allocation (%)]]*$C$2*$C$3</f>
        <v>956609.47807622398</v>
      </c>
      <c r="F48" s="36">
        <v>249319</v>
      </c>
      <c r="G48" s="37">
        <f>Table13[[#This Row],[Target Value Allocation (USD)]]/Table13[[#This Row],[Last price]]</f>
        <v>3.8368895995741359</v>
      </c>
      <c r="H48" s="34">
        <v>1</v>
      </c>
      <c r="I48" s="34">
        <v>4</v>
      </c>
      <c r="J48" s="38">
        <f t="shared" si="2"/>
        <v>3</v>
      </c>
      <c r="K48" s="40">
        <f>Table13[[#This Row],[Last price]]*Table13[[#This Row],[Current Quantity]]</f>
        <v>997276</v>
      </c>
      <c r="L48" s="142">
        <f>Table13[[#This Row],[Current Value Allocation]]/$K$2</f>
        <v>4.6650954105693483E-2</v>
      </c>
      <c r="M48" s="40"/>
      <c r="N48" s="2"/>
    </row>
    <row r="49" spans="1:18" s="31" customFormat="1" ht="12.75" x14ac:dyDescent="0.2">
      <c r="A49" s="33" t="s">
        <v>130</v>
      </c>
      <c r="B49" s="33" t="s">
        <v>174</v>
      </c>
      <c r="C49" s="34" t="s">
        <v>175</v>
      </c>
      <c r="D49" s="35">
        <v>4.4443999999999997E-2</v>
      </c>
      <c r="E49" s="73">
        <f>Table13[[#This Row],[Target Allocation (%)]]*$C$2*$C$3</f>
        <v>956609.47807622398</v>
      </c>
      <c r="F49" s="36">
        <v>284149</v>
      </c>
      <c r="G49" s="37">
        <f>Table13[[#This Row],[Target Value Allocation (USD)]]/Table13[[#This Row],[Last price]]</f>
        <v>3.3665769651704704</v>
      </c>
      <c r="H49" s="34">
        <v>1</v>
      </c>
      <c r="I49" s="34">
        <v>3</v>
      </c>
      <c r="J49" s="38">
        <f t="shared" si="2"/>
        <v>2</v>
      </c>
      <c r="K49" s="40">
        <f>Table13[[#This Row],[Last price]]*Table13[[#This Row],[Current Quantity]]</f>
        <v>852447</v>
      </c>
      <c r="L49" s="142">
        <f>Table13[[#This Row],[Current Value Allocation]]/$K$2</f>
        <v>3.9876088339172E-2</v>
      </c>
      <c r="M49" s="40"/>
      <c r="N49" s="2"/>
    </row>
    <row r="50" spans="1:18" s="31" customFormat="1" ht="25.5" x14ac:dyDescent="0.2">
      <c r="A50" s="33" t="s">
        <v>130</v>
      </c>
      <c r="B50" s="33" t="s">
        <v>62</v>
      </c>
      <c r="C50" s="34" t="s">
        <v>63</v>
      </c>
      <c r="D50" s="35">
        <v>4.4443999999999997E-2</v>
      </c>
      <c r="E50" s="73">
        <f>Table13[[#This Row],[Target Allocation (%)]]*$C$2*$C$3</f>
        <v>956609.47807622398</v>
      </c>
      <c r="F50" s="36">
        <v>171734</v>
      </c>
      <c r="G50" s="37">
        <f>Table13[[#This Row],[Target Value Allocation (USD)]]/Table13[[#This Row],[Last price]]</f>
        <v>5.5702975419906595</v>
      </c>
      <c r="H50" s="34">
        <v>1</v>
      </c>
      <c r="I50" s="34">
        <v>6</v>
      </c>
      <c r="J50" s="38">
        <f t="shared" si="2"/>
        <v>5</v>
      </c>
      <c r="K50" s="40">
        <f>Table13[[#This Row],[Last price]]*Table13[[#This Row],[Current Quantity]]</f>
        <v>1030404</v>
      </c>
      <c r="L50" s="142">
        <f>Table13[[#This Row],[Current Value Allocation]]/$K$2</f>
        <v>4.8200628225609547E-2</v>
      </c>
      <c r="M50" s="40"/>
      <c r="N50" s="2"/>
    </row>
    <row r="51" spans="1:18" s="31" customFormat="1" ht="25.5" x14ac:dyDescent="0.2">
      <c r="A51" s="33" t="s">
        <v>130</v>
      </c>
      <c r="B51" s="33" t="s">
        <v>66</v>
      </c>
      <c r="C51" s="34" t="s">
        <v>67</v>
      </c>
      <c r="D51" s="35">
        <v>4.4443999999999997E-2</v>
      </c>
      <c r="E51" s="73">
        <f>Table13[[#This Row],[Target Allocation (%)]]*$C$2*$C$3</f>
        <v>956609.47807622398</v>
      </c>
      <c r="F51" s="36">
        <v>697115</v>
      </c>
      <c r="G51" s="37">
        <f>Table13[[#This Row],[Target Value Allocation (USD)]]/Table13[[#This Row],[Last price]]</f>
        <v>1.37224056013172</v>
      </c>
      <c r="H51" s="34">
        <v>1</v>
      </c>
      <c r="I51" s="34">
        <v>1</v>
      </c>
      <c r="J51" s="38">
        <f t="shared" si="2"/>
        <v>0</v>
      </c>
      <c r="K51" s="40">
        <f>Table13[[#This Row],[Last price]]*Table13[[#This Row],[Current Quantity]]</f>
        <v>697115</v>
      </c>
      <c r="L51" s="142">
        <f>Table13[[#This Row],[Current Value Allocation]]/$K$2</f>
        <v>3.2609909264226265E-2</v>
      </c>
      <c r="M51" s="40"/>
      <c r="N51" s="2"/>
    </row>
    <row r="52" spans="1:18" s="31" customFormat="1" ht="25.5" x14ac:dyDescent="0.2">
      <c r="A52" s="33" t="s">
        <v>130</v>
      </c>
      <c r="B52" s="33" t="s">
        <v>176</v>
      </c>
      <c r="C52" s="34" t="s">
        <v>177</v>
      </c>
      <c r="D52" s="35">
        <v>0</v>
      </c>
      <c r="E52" s="73">
        <f>Table13[[#This Row],[Target Allocation (%)]]*$C$2*$C$3</f>
        <v>0</v>
      </c>
      <c r="F52" s="36">
        <v>1414488</v>
      </c>
      <c r="G52" s="37">
        <f>Table13[[#This Row],[Target Value Allocation (USD)]]/Table13[[#This Row],[Last price]]</f>
        <v>0</v>
      </c>
      <c r="H52" s="34">
        <v>1</v>
      </c>
      <c r="I52" s="34">
        <v>0</v>
      </c>
      <c r="J52" s="38">
        <f t="shared" si="2"/>
        <v>-1</v>
      </c>
      <c r="K52" s="40">
        <f>Table13[[#This Row],[Last price]]*Table13[[#This Row],[Current Quantity]]</f>
        <v>0</v>
      </c>
      <c r="L52" s="142">
        <f>Table13[[#This Row],[Current Value Allocation]]/$K$2</f>
        <v>0</v>
      </c>
      <c r="M52" s="40"/>
      <c r="N52" s="2"/>
    </row>
    <row r="53" spans="1:18" s="31" customFormat="1" ht="25.5" x14ac:dyDescent="0.2">
      <c r="A53" s="33" t="s">
        <v>130</v>
      </c>
      <c r="B53" s="33" t="s">
        <v>178</v>
      </c>
      <c r="C53" s="34" t="s">
        <v>69</v>
      </c>
      <c r="D53" s="35">
        <v>4.4443999999999997E-2</v>
      </c>
      <c r="E53" s="73">
        <f>Table13[[#This Row],[Target Allocation (%)]]*$C$2*$C$3</f>
        <v>956609.47807622398</v>
      </c>
      <c r="F53" s="36">
        <v>156045</v>
      </c>
      <c r="G53" s="37">
        <f>Table13[[#This Row],[Target Value Allocation (USD)]]/Table13[[#This Row],[Last price]]</f>
        <v>6.1303436705836392</v>
      </c>
      <c r="H53" s="34">
        <v>1</v>
      </c>
      <c r="I53" s="34">
        <v>6</v>
      </c>
      <c r="J53" s="38">
        <f t="shared" si="2"/>
        <v>5</v>
      </c>
      <c r="K53" s="40">
        <f>Table13[[#This Row],[Last price]]*Table13[[#This Row],[Current Quantity]]</f>
        <v>936270</v>
      </c>
      <c r="L53" s="142">
        <f>Table13[[#This Row],[Current Value Allocation]]/$K$2</f>
        <v>4.3797192352505863E-2</v>
      </c>
      <c r="M53" s="40"/>
      <c r="N53" s="2"/>
    </row>
    <row r="54" spans="1:18" s="31" customFormat="1" ht="25.5" x14ac:dyDescent="0.2">
      <c r="A54" s="33" t="s">
        <v>130</v>
      </c>
      <c r="B54" s="33" t="s">
        <v>179</v>
      </c>
      <c r="C54" s="34" t="s">
        <v>180</v>
      </c>
      <c r="D54" s="35">
        <v>0</v>
      </c>
      <c r="E54" s="73">
        <f>Table13[[#This Row],[Target Allocation (%)]]*$C$2*$C$3</f>
        <v>0</v>
      </c>
      <c r="F54" s="36">
        <v>189525</v>
      </c>
      <c r="G54" s="37">
        <f>Table13[[#This Row],[Target Value Allocation (USD)]]/Table13[[#This Row],[Last price]]</f>
        <v>0</v>
      </c>
      <c r="H54" s="34">
        <v>1</v>
      </c>
      <c r="I54" s="34">
        <v>0</v>
      </c>
      <c r="J54" s="38">
        <f t="shared" si="2"/>
        <v>-1</v>
      </c>
      <c r="K54" s="40">
        <f>Table13[[#This Row],[Last price]]*Table13[[#This Row],[Current Quantity]]</f>
        <v>0</v>
      </c>
      <c r="L54" s="142">
        <f>Table13[[#This Row],[Current Value Allocation]]/$K$2</f>
        <v>0</v>
      </c>
      <c r="M54" s="40"/>
      <c r="N54" s="2"/>
    </row>
    <row r="55" spans="1:18" s="31" customFormat="1" ht="25.5" x14ac:dyDescent="0.2">
      <c r="A55" s="43" t="s">
        <v>130</v>
      </c>
      <c r="B55" s="33" t="s">
        <v>181</v>
      </c>
      <c r="C55" s="34" t="s">
        <v>182</v>
      </c>
      <c r="D55" s="35">
        <v>0</v>
      </c>
      <c r="E55" s="73">
        <f>Table13[[#This Row],[Target Allocation (%)]]*$C$2*$C$3</f>
        <v>0</v>
      </c>
      <c r="F55" s="36">
        <v>171447</v>
      </c>
      <c r="G55" s="37">
        <f>Table13[[#This Row],[Target Value Allocation (USD)]]/Table13[[#This Row],[Last price]]</f>
        <v>0</v>
      </c>
      <c r="H55" s="34">
        <v>1</v>
      </c>
      <c r="I55" s="34">
        <v>0</v>
      </c>
      <c r="J55" s="38">
        <f t="shared" si="2"/>
        <v>-1</v>
      </c>
      <c r="K55" s="40">
        <f>Table13[[#This Row],[Last price]]*Table13[[#This Row],[Current Quantity]]</f>
        <v>0</v>
      </c>
      <c r="L55" s="142">
        <f>Table13[[#This Row],[Current Value Allocation]]/$K$2</f>
        <v>0</v>
      </c>
      <c r="M55" s="40"/>
      <c r="N55" s="2"/>
    </row>
    <row r="56" spans="1:18" s="31" customFormat="1" ht="12.75" x14ac:dyDescent="0.2">
      <c r="A56" s="34"/>
      <c r="B56" s="43"/>
      <c r="C56" s="44"/>
      <c r="D56" s="45"/>
      <c r="E56" s="73"/>
      <c r="F56" s="36"/>
      <c r="G56" s="47"/>
      <c r="H56" s="44"/>
      <c r="I56" s="44"/>
      <c r="J56" s="38"/>
      <c r="K56" s="40"/>
      <c r="L56" s="143"/>
      <c r="M56" s="50"/>
      <c r="N56" s="2"/>
    </row>
    <row r="57" spans="1:18" s="57" customFormat="1" ht="12.75" x14ac:dyDescent="0.2">
      <c r="A57" s="52"/>
      <c r="B57" s="52"/>
      <c r="C57" s="52"/>
      <c r="D57" s="53"/>
      <c r="E57" s="54"/>
      <c r="F57" s="36"/>
      <c r="G57" s="55"/>
      <c r="H57" s="52"/>
      <c r="I57" s="52"/>
      <c r="J57" s="52"/>
      <c r="K57" s="52"/>
      <c r="L57" s="148"/>
      <c r="M57" s="52"/>
      <c r="N57" s="100"/>
    </row>
    <row r="58" spans="1:18" s="68" customFormat="1" ht="12.75" x14ac:dyDescent="0.2">
      <c r="A58" s="58" t="s">
        <v>185</v>
      </c>
      <c r="B58" s="59"/>
      <c r="C58" s="60"/>
      <c r="D58" s="110">
        <f>SUM(D38:D56)</f>
        <v>0.40555199999999991</v>
      </c>
      <c r="E58" s="62">
        <f>SUM(E38:E56)</f>
        <v>8729072.2494097929</v>
      </c>
      <c r="F58" s="36"/>
      <c r="G58" s="112"/>
      <c r="H58" s="60"/>
      <c r="I58" s="60"/>
      <c r="J58" s="60"/>
      <c r="K58" s="62">
        <f>SUM(K38:K56)</f>
        <v>8476749</v>
      </c>
      <c r="L58" s="151">
        <f>Table13[[#This Row],[Current Value Allocation]]/$K$2</f>
        <v>0.39652857239568901</v>
      </c>
      <c r="M58" s="67"/>
      <c r="N58" s="15"/>
    </row>
    <row r="59" spans="1:18" s="57" customFormat="1" ht="12.75" x14ac:dyDescent="0.2">
      <c r="A59" s="52"/>
      <c r="B59" s="52"/>
      <c r="C59" s="52"/>
      <c r="D59" s="53"/>
      <c r="E59" s="54"/>
      <c r="F59" s="36"/>
      <c r="G59" s="55"/>
      <c r="H59" s="52"/>
      <c r="I59" s="52"/>
      <c r="J59" s="52"/>
      <c r="K59" s="52"/>
      <c r="L59" s="148"/>
      <c r="M59" s="52"/>
      <c r="N59" s="100"/>
    </row>
    <row r="60" spans="1:18" s="31" customFormat="1" ht="25.5" x14ac:dyDescent="0.2">
      <c r="A60" s="34" t="s">
        <v>131</v>
      </c>
      <c r="B60" s="70" t="s">
        <v>186</v>
      </c>
      <c r="C60" s="71" t="s">
        <v>187</v>
      </c>
      <c r="D60" s="72">
        <v>0</v>
      </c>
      <c r="E60" s="73">
        <f>Table13[[#This Row],[Target Allocation (%)]]*$C$2*$C$3</f>
        <v>0</v>
      </c>
      <c r="F60" s="36">
        <v>38924</v>
      </c>
      <c r="G60" s="114">
        <f>Table13[[#This Row],[Target Value Allocation (USD)]]/Table13[[#This Row],[Last price]]</f>
        <v>0</v>
      </c>
      <c r="H60" s="34">
        <v>1</v>
      </c>
      <c r="I60" s="71">
        <v>0</v>
      </c>
      <c r="J60" s="38">
        <f t="shared" ref="J60:J79" si="3">I60-H60</f>
        <v>-1</v>
      </c>
      <c r="K60" s="40">
        <f>Table13[[#This Row],[Last price]]*Table13[[#This Row],[Current Quantity]]</f>
        <v>0</v>
      </c>
      <c r="L60" s="149">
        <f>Table13[[#This Row],[Current Value Allocation]]/$K$2</f>
        <v>0</v>
      </c>
      <c r="M60" s="77"/>
      <c r="N60" s="2"/>
    </row>
    <row r="61" spans="1:18" s="31" customFormat="1" ht="25.5" x14ac:dyDescent="0.2">
      <c r="A61" s="70" t="s">
        <v>131</v>
      </c>
      <c r="B61" s="33" t="s">
        <v>43</v>
      </c>
      <c r="C61" s="34" t="s">
        <v>44</v>
      </c>
      <c r="D61" s="35">
        <v>5.0000000000000001E-3</v>
      </c>
      <c r="E61" s="73">
        <f>Table13[[#This Row],[Target Allocation (%)]]*$C$2*$C$3</f>
        <v>107619.64247999999</v>
      </c>
      <c r="F61" s="36">
        <v>40368</v>
      </c>
      <c r="G61" s="116">
        <f>Table13[[#This Row],[Target Value Allocation (USD)]]/Table13[[#This Row],[Last price]]</f>
        <v>2.6659641914387633</v>
      </c>
      <c r="H61" s="34">
        <v>1</v>
      </c>
      <c r="I61" s="34">
        <v>3</v>
      </c>
      <c r="J61" s="38">
        <f t="shared" si="3"/>
        <v>2</v>
      </c>
      <c r="K61" s="40">
        <f>Table13[[#This Row],[Last price]]*Table13[[#This Row],[Current Quantity]]</f>
        <v>121104</v>
      </c>
      <c r="L61" s="142">
        <f>Table13[[#This Row],[Current Value Allocation]]/$K$2</f>
        <v>5.6650487387803414E-3</v>
      </c>
      <c r="M61" s="40"/>
      <c r="N61" s="2"/>
    </row>
    <row r="62" spans="1:18" s="31" customFormat="1" ht="25.5" x14ac:dyDescent="0.2">
      <c r="A62" s="33" t="s">
        <v>131</v>
      </c>
      <c r="B62" s="33" t="s">
        <v>47</v>
      </c>
      <c r="C62" s="34" t="s">
        <v>48</v>
      </c>
      <c r="D62" s="35">
        <v>5.0000000000000001E-3</v>
      </c>
      <c r="E62" s="73">
        <f>Table13[[#This Row],[Target Allocation (%)]]*$C$2*$C$3</f>
        <v>107619.64247999999</v>
      </c>
      <c r="F62" s="36">
        <v>153911</v>
      </c>
      <c r="G62" s="116">
        <f>Table13[[#This Row],[Target Value Allocation (USD)]]/Table13[[#This Row],[Last price]]</f>
        <v>0.69923294943181447</v>
      </c>
      <c r="H62" s="34">
        <v>1</v>
      </c>
      <c r="I62" s="34">
        <v>1</v>
      </c>
      <c r="J62" s="38">
        <f t="shared" si="3"/>
        <v>0</v>
      </c>
      <c r="K62" s="40">
        <f>Table13[[#This Row],[Last price]]*Table13[[#This Row],[Current Quantity]]</f>
        <v>153911</v>
      </c>
      <c r="L62" s="142">
        <f>Table13[[#This Row],[Current Value Allocation]]/$K$2</f>
        <v>7.1997069992272853E-3</v>
      </c>
      <c r="M62" s="40"/>
      <c r="N62" s="2"/>
      <c r="R62" s="31" t="s">
        <v>188</v>
      </c>
    </row>
    <row r="63" spans="1:18" s="31" customFormat="1" ht="12.75" x14ac:dyDescent="0.2">
      <c r="A63" s="33" t="s">
        <v>131</v>
      </c>
      <c r="B63" s="33" t="s">
        <v>189</v>
      </c>
      <c r="C63" s="34" t="s">
        <v>190</v>
      </c>
      <c r="D63" s="35">
        <v>0</v>
      </c>
      <c r="E63" s="73">
        <f>Table13[[#This Row],[Target Allocation (%)]]*$C$2*$C$3</f>
        <v>0</v>
      </c>
      <c r="F63" s="36">
        <v>42880</v>
      </c>
      <c r="G63" s="116">
        <f>Table13[[#This Row],[Target Value Allocation (USD)]]/Table13[[#This Row],[Last price]]</f>
        <v>0</v>
      </c>
      <c r="H63" s="34">
        <v>1</v>
      </c>
      <c r="I63" s="34">
        <v>0</v>
      </c>
      <c r="J63" s="38">
        <f t="shared" si="3"/>
        <v>-1</v>
      </c>
      <c r="K63" s="40">
        <f>Table13[[#This Row],[Last price]]*Table13[[#This Row],[Current Quantity]]</f>
        <v>0</v>
      </c>
      <c r="L63" s="142">
        <f>Table13[[#This Row],[Current Value Allocation]]/$K$2</f>
        <v>0</v>
      </c>
      <c r="M63" s="40"/>
      <c r="N63" s="2"/>
    </row>
    <row r="64" spans="1:18" s="31" customFormat="1" ht="25.5" x14ac:dyDescent="0.2">
      <c r="A64" s="33" t="s">
        <v>131</v>
      </c>
      <c r="B64" s="33" t="s">
        <v>191</v>
      </c>
      <c r="C64" s="34" t="s">
        <v>192</v>
      </c>
      <c r="D64" s="35">
        <v>0</v>
      </c>
      <c r="E64" s="73">
        <f>Table13[[#This Row],[Target Allocation (%)]]*$C$2*$C$3</f>
        <v>0</v>
      </c>
      <c r="F64" s="36">
        <v>37135</v>
      </c>
      <c r="G64" s="116">
        <f>Table13[[#This Row],[Target Value Allocation (USD)]]/Table13[[#This Row],[Last price]]</f>
        <v>0</v>
      </c>
      <c r="H64" s="34">
        <v>1</v>
      </c>
      <c r="I64" s="34">
        <v>0</v>
      </c>
      <c r="J64" s="38">
        <f t="shared" si="3"/>
        <v>-1</v>
      </c>
      <c r="K64" s="40">
        <f>Table13[[#This Row],[Last price]]*Table13[[#This Row],[Current Quantity]]</f>
        <v>0</v>
      </c>
      <c r="L64" s="142">
        <f>Table13[[#This Row],[Current Value Allocation]]/$K$2</f>
        <v>0</v>
      </c>
      <c r="M64" s="40"/>
      <c r="N64" s="2"/>
    </row>
    <row r="65" spans="1:14" s="31" customFormat="1" ht="25.5" x14ac:dyDescent="0.2">
      <c r="A65" s="33" t="s">
        <v>131</v>
      </c>
      <c r="B65" s="33" t="s">
        <v>193</v>
      </c>
      <c r="C65" s="34" t="s">
        <v>194</v>
      </c>
      <c r="D65" s="35">
        <v>0</v>
      </c>
      <c r="E65" s="73">
        <f>Table13[[#This Row],[Target Allocation (%)]]*$C$2*$C$3</f>
        <v>0</v>
      </c>
      <c r="F65" s="36">
        <v>52139</v>
      </c>
      <c r="G65" s="116">
        <f>Table13[[#This Row],[Target Value Allocation (USD)]]/Table13[[#This Row],[Last price]]</f>
        <v>0</v>
      </c>
      <c r="H65" s="34">
        <v>1</v>
      </c>
      <c r="I65" s="34">
        <v>0</v>
      </c>
      <c r="J65" s="38">
        <f t="shared" si="3"/>
        <v>-1</v>
      </c>
      <c r="K65" s="40">
        <f>Table13[[#This Row],[Last price]]*Table13[[#This Row],[Current Quantity]]</f>
        <v>0</v>
      </c>
      <c r="L65" s="142">
        <f>Table13[[#This Row],[Current Value Allocation]]/$K$2</f>
        <v>0</v>
      </c>
      <c r="M65" s="40"/>
      <c r="N65" s="2"/>
    </row>
    <row r="66" spans="1:14" s="31" customFormat="1" ht="12.75" x14ac:dyDescent="0.2">
      <c r="A66" s="33" t="s">
        <v>131</v>
      </c>
      <c r="B66" s="33" t="s">
        <v>195</v>
      </c>
      <c r="C66" s="34" t="s">
        <v>196</v>
      </c>
      <c r="D66" s="35">
        <v>0</v>
      </c>
      <c r="E66" s="73">
        <f>Table13[[#This Row],[Target Allocation (%)]]*$C$2*$C$3</f>
        <v>0</v>
      </c>
      <c r="F66" s="36">
        <v>52122</v>
      </c>
      <c r="G66" s="116">
        <f>Table13[[#This Row],[Target Value Allocation (USD)]]/Table13[[#This Row],[Last price]]</f>
        <v>0</v>
      </c>
      <c r="H66" s="34">
        <v>1</v>
      </c>
      <c r="I66" s="34">
        <v>0</v>
      </c>
      <c r="J66" s="38">
        <f t="shared" si="3"/>
        <v>-1</v>
      </c>
      <c r="K66" s="40">
        <f>Table13[[#This Row],[Last price]]*Table13[[#This Row],[Current Quantity]]</f>
        <v>0</v>
      </c>
      <c r="L66" s="142">
        <f>Table13[[#This Row],[Current Value Allocation]]/$K$2</f>
        <v>0</v>
      </c>
      <c r="M66" s="40"/>
      <c r="N66" s="2"/>
    </row>
    <row r="67" spans="1:14" s="31" customFormat="1" ht="25.5" x14ac:dyDescent="0.2">
      <c r="A67" s="33" t="s">
        <v>131</v>
      </c>
      <c r="B67" s="33" t="s">
        <v>197</v>
      </c>
      <c r="C67" s="34" t="s">
        <v>198</v>
      </c>
      <c r="D67" s="35">
        <v>0</v>
      </c>
      <c r="E67" s="73">
        <f>Table13[[#This Row],[Target Allocation (%)]]*$C$2*$C$3</f>
        <v>0</v>
      </c>
      <c r="F67" s="36">
        <v>18540</v>
      </c>
      <c r="G67" s="116">
        <f>Table13[[#This Row],[Target Value Allocation (USD)]]/Table13[[#This Row],[Last price]]</f>
        <v>0</v>
      </c>
      <c r="H67" s="34">
        <v>1</v>
      </c>
      <c r="I67" s="34">
        <v>0</v>
      </c>
      <c r="J67" s="38">
        <f t="shared" si="3"/>
        <v>-1</v>
      </c>
      <c r="K67" s="40">
        <f>Table13[[#This Row],[Last price]]*Table13[[#This Row],[Current Quantity]]</f>
        <v>0</v>
      </c>
      <c r="L67" s="142">
        <f>Table13[[#This Row],[Current Value Allocation]]/$K$2</f>
        <v>0</v>
      </c>
      <c r="M67" s="40"/>
      <c r="N67" s="2"/>
    </row>
    <row r="68" spans="1:14" s="31" customFormat="1" ht="12.75" x14ac:dyDescent="0.2">
      <c r="A68" s="33" t="s">
        <v>131</v>
      </c>
      <c r="B68" s="33" t="s">
        <v>199</v>
      </c>
      <c r="C68" s="34" t="s">
        <v>200</v>
      </c>
      <c r="D68" s="35">
        <v>0</v>
      </c>
      <c r="E68" s="73">
        <f>Table13[[#This Row],[Target Allocation (%)]]*$C$2*$C$3</f>
        <v>0</v>
      </c>
      <c r="F68" s="36">
        <v>5975.8</v>
      </c>
      <c r="G68" s="116">
        <f>Table13[[#This Row],[Target Value Allocation (USD)]]/Table13[[#This Row],[Last price]]</f>
        <v>0</v>
      </c>
      <c r="H68" s="34">
        <v>5</v>
      </c>
      <c r="I68" s="34">
        <v>0</v>
      </c>
      <c r="J68" s="38">
        <f t="shared" si="3"/>
        <v>-5</v>
      </c>
      <c r="K68" s="40">
        <f>Table13[[#This Row],[Last price]]*Table13[[#This Row],[Current Quantity]]</f>
        <v>0</v>
      </c>
      <c r="L68" s="142">
        <f>Table13[[#This Row],[Current Value Allocation]]/$K$2</f>
        <v>0</v>
      </c>
      <c r="M68" s="40"/>
      <c r="N68" s="2"/>
    </row>
    <row r="69" spans="1:14" s="31" customFormat="1" ht="25.5" x14ac:dyDescent="0.2">
      <c r="A69" s="33" t="s">
        <v>131</v>
      </c>
      <c r="B69" s="33" t="s">
        <v>73</v>
      </c>
      <c r="C69" s="34" t="s">
        <v>74</v>
      </c>
      <c r="D69" s="35">
        <v>5.0000000000000001E-3</v>
      </c>
      <c r="E69" s="73">
        <f>Table13[[#This Row],[Target Allocation (%)]]*$C$2*$C$3</f>
        <v>107619.64247999999</v>
      </c>
      <c r="F69" s="36">
        <v>79889</v>
      </c>
      <c r="G69" s="116">
        <f>Table13[[#This Row],[Target Value Allocation (USD)]]/Table13[[#This Row],[Last price]]</f>
        <v>1.3471146525804554</v>
      </c>
      <c r="H69" s="34">
        <v>1</v>
      </c>
      <c r="I69" s="34">
        <v>1</v>
      </c>
      <c r="J69" s="38">
        <f t="shared" si="3"/>
        <v>0</v>
      </c>
      <c r="K69" s="40">
        <f>Table13[[#This Row],[Last price]]*Table13[[#This Row],[Current Quantity]]</f>
        <v>79889</v>
      </c>
      <c r="L69" s="142">
        <f>Table13[[#This Row],[Current Value Allocation]]/$K$2</f>
        <v>3.7370778726749133E-3</v>
      </c>
      <c r="M69" s="40"/>
      <c r="N69" s="2"/>
    </row>
    <row r="70" spans="1:14" s="31" customFormat="1" ht="25.5" x14ac:dyDescent="0.2">
      <c r="A70" s="33" t="s">
        <v>131</v>
      </c>
      <c r="B70" s="33" t="s">
        <v>76</v>
      </c>
      <c r="C70" s="34" t="s">
        <v>77</v>
      </c>
      <c r="D70" s="35">
        <v>5.0000000000000001E-3</v>
      </c>
      <c r="E70" s="73">
        <f>Table13[[#This Row],[Target Allocation (%)]]*$C$2*$C$3</f>
        <v>107619.64247999999</v>
      </c>
      <c r="F70" s="36">
        <v>193741</v>
      </c>
      <c r="G70" s="116">
        <f>Table13[[#This Row],[Target Value Allocation (USD)]]/Table13[[#This Row],[Last price]]</f>
        <v>0.55548202228748689</v>
      </c>
      <c r="H70" s="34">
        <v>1</v>
      </c>
      <c r="I70" s="34">
        <v>1</v>
      </c>
      <c r="J70" s="38">
        <f t="shared" si="3"/>
        <v>0</v>
      </c>
      <c r="K70" s="40">
        <f>Table13[[#This Row],[Last price]]*Table13[[#This Row],[Current Quantity]]</f>
        <v>193741</v>
      </c>
      <c r="L70" s="142">
        <f>Table13[[#This Row],[Current Value Allocation]]/$K$2</f>
        <v>9.062889811236971E-3</v>
      </c>
      <c r="M70" s="40"/>
      <c r="N70" s="2"/>
    </row>
    <row r="71" spans="1:14" s="31" customFormat="1" ht="25.5" x14ac:dyDescent="0.2">
      <c r="A71" s="33" t="s">
        <v>131</v>
      </c>
      <c r="B71" s="33" t="s">
        <v>79</v>
      </c>
      <c r="C71" s="34" t="s">
        <v>80</v>
      </c>
      <c r="D71" s="35">
        <v>5.0000000000000001E-3</v>
      </c>
      <c r="E71" s="73">
        <f>Table13[[#This Row],[Target Allocation (%)]]*$C$2*$C$3</f>
        <v>107619.64247999999</v>
      </c>
      <c r="F71" s="36">
        <v>44903</v>
      </c>
      <c r="G71" s="116">
        <f>Table13[[#This Row],[Target Value Allocation (USD)]]/Table13[[#This Row],[Last price]]</f>
        <v>2.3967138605438389</v>
      </c>
      <c r="H71" s="34">
        <v>1</v>
      </c>
      <c r="I71" s="34">
        <v>2</v>
      </c>
      <c r="J71" s="38">
        <f t="shared" si="3"/>
        <v>1</v>
      </c>
      <c r="K71" s="40">
        <f>Table13[[#This Row],[Last price]]*Table13[[#This Row],[Current Quantity]]</f>
        <v>89806</v>
      </c>
      <c r="L71" s="142">
        <f>Table13[[#This Row],[Current Value Allocation]]/$K$2</f>
        <v>4.2009790513517914E-3</v>
      </c>
      <c r="M71" s="40"/>
      <c r="N71" s="2"/>
    </row>
    <row r="72" spans="1:14" s="31" customFormat="1" ht="25.5" x14ac:dyDescent="0.2">
      <c r="A72" s="33" t="s">
        <v>131</v>
      </c>
      <c r="B72" s="33" t="s">
        <v>82</v>
      </c>
      <c r="C72" s="34" t="s">
        <v>83</v>
      </c>
      <c r="D72" s="35">
        <v>5.0000000000000001E-3</v>
      </c>
      <c r="E72" s="73">
        <f>Table13[[#This Row],[Target Allocation (%)]]*$C$2*$C$3</f>
        <v>107619.64247999999</v>
      </c>
      <c r="F72" s="36">
        <v>41960</v>
      </c>
      <c r="G72" s="116">
        <f>Table13[[#This Row],[Target Value Allocation (USD)]]/Table13[[#This Row],[Last price]]</f>
        <v>2.5648151210676833</v>
      </c>
      <c r="H72" s="34">
        <v>1</v>
      </c>
      <c r="I72" s="34">
        <v>3</v>
      </c>
      <c r="J72" s="38">
        <f t="shared" si="3"/>
        <v>2</v>
      </c>
      <c r="K72" s="40">
        <f>Table13[[#This Row],[Last price]]*Table13[[#This Row],[Current Quantity]]</f>
        <v>125880</v>
      </c>
      <c r="L72" s="142">
        <f>Table13[[#This Row],[Current Value Allocation]]/$K$2</f>
        <v>5.8884622740592333E-3</v>
      </c>
      <c r="M72" s="40"/>
      <c r="N72" s="2"/>
    </row>
    <row r="73" spans="1:14" s="31" customFormat="1" ht="25.5" x14ac:dyDescent="0.2">
      <c r="A73" s="33" t="s">
        <v>131</v>
      </c>
      <c r="B73" s="33" t="s">
        <v>201</v>
      </c>
      <c r="C73" s="34" t="s">
        <v>202</v>
      </c>
      <c r="D73" s="35">
        <v>0</v>
      </c>
      <c r="E73" s="73">
        <f>Table13[[#This Row],[Target Allocation (%)]]*$C$2*$C$3</f>
        <v>0</v>
      </c>
      <c r="F73" s="36">
        <v>52015</v>
      </c>
      <c r="G73" s="116">
        <f>Table13[[#This Row],[Target Value Allocation (USD)]]/Table13[[#This Row],[Last price]]</f>
        <v>0</v>
      </c>
      <c r="H73" s="34">
        <v>1</v>
      </c>
      <c r="I73" s="34">
        <v>0</v>
      </c>
      <c r="J73" s="38">
        <f t="shared" si="3"/>
        <v>-1</v>
      </c>
      <c r="K73" s="40">
        <f>Table13[[#This Row],[Last price]]*Table13[[#This Row],[Current Quantity]]</f>
        <v>0</v>
      </c>
      <c r="L73" s="142">
        <f>Table13[[#This Row],[Current Value Allocation]]/$K$2</f>
        <v>0</v>
      </c>
      <c r="M73" s="40"/>
      <c r="N73" s="2"/>
    </row>
    <row r="74" spans="1:14" s="31" customFormat="1" ht="25.5" x14ac:dyDescent="0.2">
      <c r="A74" s="33" t="s">
        <v>131</v>
      </c>
      <c r="B74" s="33" t="s">
        <v>84</v>
      </c>
      <c r="C74" s="34" t="s">
        <v>85</v>
      </c>
      <c r="D74" s="35">
        <v>5.0000000000000001E-3</v>
      </c>
      <c r="E74" s="73">
        <f>Table13[[#This Row],[Target Allocation (%)]]*$C$2*$C$3</f>
        <v>107619.64247999999</v>
      </c>
      <c r="F74" s="36">
        <v>10244.5</v>
      </c>
      <c r="G74" s="116">
        <f>Table13[[#This Row],[Target Value Allocation (USD)]]/Table13[[#This Row],[Last price]]</f>
        <v>10.505114205671335</v>
      </c>
      <c r="H74" s="34">
        <v>2</v>
      </c>
      <c r="I74" s="34">
        <v>11</v>
      </c>
      <c r="J74" s="38">
        <f t="shared" si="3"/>
        <v>9</v>
      </c>
      <c r="K74" s="40">
        <f>Table13[[#This Row],[Last price]]*Table13[[#This Row],[Current Quantity]]</f>
        <v>112689.5</v>
      </c>
      <c r="L74" s="142">
        <f>Table13[[#This Row],[Current Value Allocation]]/$K$2</f>
        <v>5.2714320736622017E-3</v>
      </c>
      <c r="M74" s="40"/>
      <c r="N74" s="2"/>
    </row>
    <row r="75" spans="1:14" s="31" customFormat="1" ht="25.5" x14ac:dyDescent="0.2">
      <c r="A75" s="33" t="s">
        <v>131</v>
      </c>
      <c r="B75" s="33" t="s">
        <v>203</v>
      </c>
      <c r="C75" s="34" t="s">
        <v>92</v>
      </c>
      <c r="D75" s="35">
        <v>0</v>
      </c>
      <c r="E75" s="73">
        <f>Table13[[#This Row],[Target Allocation (%)]]*$C$2*$C$3</f>
        <v>0</v>
      </c>
      <c r="F75" s="36">
        <v>86106</v>
      </c>
      <c r="G75" s="116">
        <f>Table13[[#This Row],[Target Value Allocation (USD)]]/Table13[[#This Row],[Last price]]</f>
        <v>0</v>
      </c>
      <c r="H75" s="34">
        <v>1</v>
      </c>
      <c r="I75" s="34">
        <v>0</v>
      </c>
      <c r="J75" s="38">
        <f t="shared" si="3"/>
        <v>-1</v>
      </c>
      <c r="K75" s="40">
        <f>Table13[[#This Row],[Last price]]*Table13[[#This Row],[Current Quantity]]</f>
        <v>0</v>
      </c>
      <c r="L75" s="142">
        <f>Table13[[#This Row],[Current Value Allocation]]/$K$2</f>
        <v>0</v>
      </c>
      <c r="M75" s="40"/>
      <c r="N75" s="2"/>
    </row>
    <row r="76" spans="1:14" s="31" customFormat="1" ht="25.5" x14ac:dyDescent="0.2">
      <c r="A76" s="33" t="s">
        <v>131</v>
      </c>
      <c r="B76" s="33" t="s">
        <v>91</v>
      </c>
      <c r="C76" s="34" t="s">
        <v>92</v>
      </c>
      <c r="D76" s="35">
        <v>5.0000000000000001E-3</v>
      </c>
      <c r="E76" s="73">
        <f>Table13[[#This Row],[Target Allocation (%)]]*$C$2*$C$3</f>
        <v>107619.64247999999</v>
      </c>
      <c r="F76" s="36">
        <v>86106</v>
      </c>
      <c r="G76" s="116">
        <f>Table13[[#This Row],[Target Value Allocation (USD)]]/Table13[[#This Row],[Last price]]</f>
        <v>1.249850678001533</v>
      </c>
      <c r="H76" s="34">
        <v>1</v>
      </c>
      <c r="I76" s="34">
        <v>1</v>
      </c>
      <c r="J76" s="38">
        <f t="shared" si="3"/>
        <v>0</v>
      </c>
      <c r="K76" s="40">
        <f>Table13[[#This Row],[Last price]]*Table13[[#This Row],[Current Quantity]]</f>
        <v>86106</v>
      </c>
      <c r="L76" s="142">
        <f>Table13[[#This Row],[Current Value Allocation]]/$K$2</f>
        <v>4.0278990512404222E-3</v>
      </c>
      <c r="M76" s="40"/>
      <c r="N76" s="2"/>
    </row>
    <row r="77" spans="1:14" ht="26.25" x14ac:dyDescent="0.25">
      <c r="A77" s="33" t="s">
        <v>131</v>
      </c>
      <c r="B77" s="82" t="s">
        <v>204</v>
      </c>
      <c r="C77" s="83" t="s">
        <v>205</v>
      </c>
      <c r="D77" s="35">
        <v>0</v>
      </c>
      <c r="E77" s="73">
        <f>Table13[[#This Row],[Target Allocation (%)]]*$C$2*$C$3</f>
        <v>0</v>
      </c>
      <c r="F77" s="36">
        <v>40420</v>
      </c>
      <c r="G77" s="116">
        <f>Table13[[#This Row],[Target Value Allocation (USD)]]/Table13[[#This Row],[Last price]]</f>
        <v>0</v>
      </c>
      <c r="H77" s="34">
        <v>1</v>
      </c>
      <c r="I77" s="83">
        <v>0</v>
      </c>
      <c r="J77" s="38">
        <f t="shared" si="3"/>
        <v>-1</v>
      </c>
      <c r="K77" s="40">
        <f>Table13[[#This Row],[Last price]]*Table13[[#This Row],[Current Quantity]]</f>
        <v>0</v>
      </c>
      <c r="L77" s="142">
        <f>Table13[[#This Row],[Current Value Allocation]]/$K$2</f>
        <v>0</v>
      </c>
      <c r="M77" s="87"/>
    </row>
    <row r="78" spans="1:14" ht="26.25" x14ac:dyDescent="0.25">
      <c r="A78" s="33" t="s">
        <v>131</v>
      </c>
      <c r="B78" s="82" t="s">
        <v>113</v>
      </c>
      <c r="C78" s="83" t="s">
        <v>114</v>
      </c>
      <c r="D78" s="117">
        <v>5.0000000000000001E-3</v>
      </c>
      <c r="E78" s="73">
        <f>Table13[[#This Row],[Target Allocation (%)]]*$C$2*$C$3</f>
        <v>107619.64247999999</v>
      </c>
      <c r="F78" s="36">
        <v>51261</v>
      </c>
      <c r="G78" s="116">
        <f>Table13[[#This Row],[Target Value Allocation (USD)]]/Table13[[#This Row],[Last price]]</f>
        <v>2.0994448504711185</v>
      </c>
      <c r="H78" s="34">
        <v>1</v>
      </c>
      <c r="I78" s="83">
        <v>2</v>
      </c>
      <c r="J78" s="38">
        <f t="shared" si="3"/>
        <v>1</v>
      </c>
      <c r="K78" s="40">
        <f>Table13[[#This Row],[Last price]]*Table13[[#This Row],[Current Quantity]]</f>
        <v>102522</v>
      </c>
      <c r="L78" s="142">
        <f>Table13[[#This Row],[Current Value Allocation]]/$K$2</f>
        <v>4.7958129111939996E-3</v>
      </c>
      <c r="M78" s="87"/>
    </row>
    <row r="79" spans="1:14" s="31" customFormat="1" ht="25.5" x14ac:dyDescent="0.2">
      <c r="A79" s="33" t="s">
        <v>131</v>
      </c>
      <c r="B79" s="33" t="s">
        <v>251</v>
      </c>
      <c r="C79" s="34" t="s">
        <v>90</v>
      </c>
      <c r="D79" s="35">
        <v>5.0000000000000001E-3</v>
      </c>
      <c r="E79" s="73">
        <f>Table13[[#This Row],[Target Allocation (%)]]*$C$2*$C$3</f>
        <v>107619.64247999999</v>
      </c>
      <c r="F79" s="36">
        <v>92525</v>
      </c>
      <c r="G79" s="116">
        <f>Table13[[#This Row],[Target Value Allocation (USD)]]/Table13[[#This Row],[Last price]]</f>
        <v>1.1631412318832748</v>
      </c>
      <c r="H79" s="34">
        <v>0</v>
      </c>
      <c r="I79" s="83">
        <v>1</v>
      </c>
      <c r="J79" s="38">
        <f t="shared" si="3"/>
        <v>1</v>
      </c>
      <c r="K79" s="40">
        <f>Table13[[#This Row],[Last price]]*Table13[[#This Row],[Current Quantity]]</f>
        <v>92525</v>
      </c>
      <c r="L79" s="142">
        <f>Table13[[#This Row],[Current Value Allocation]]/$K$2</f>
        <v>4.3281694622444439E-3</v>
      </c>
      <c r="M79" s="40"/>
      <c r="N79" s="2"/>
    </row>
    <row r="80" spans="1:14" s="31" customFormat="1" ht="12.75" x14ac:dyDescent="0.2">
      <c r="A80" s="33"/>
      <c r="B80" s="33"/>
      <c r="C80" s="34"/>
      <c r="D80" s="35"/>
      <c r="E80" s="73"/>
      <c r="F80" s="36"/>
      <c r="G80" s="37"/>
      <c r="H80" s="34"/>
      <c r="I80" s="34"/>
      <c r="J80" s="38"/>
      <c r="K80" s="40"/>
      <c r="L80" s="142"/>
      <c r="M80" s="40"/>
      <c r="N80" s="2"/>
    </row>
    <row r="81" spans="1:14" s="31" customFormat="1" ht="12.75" x14ac:dyDescent="0.2">
      <c r="A81" s="33"/>
      <c r="B81" s="33"/>
      <c r="C81" s="34"/>
      <c r="D81" s="35"/>
      <c r="E81" s="73"/>
      <c r="F81" s="36"/>
      <c r="G81" s="37"/>
      <c r="H81" s="34"/>
      <c r="I81" s="34"/>
      <c r="J81" s="38"/>
      <c r="K81" s="40"/>
      <c r="L81" s="142"/>
      <c r="M81" s="40"/>
      <c r="N81" s="2"/>
    </row>
    <row r="82" spans="1:14" s="31" customFormat="1" ht="12.75" x14ac:dyDescent="0.2">
      <c r="A82" s="33"/>
      <c r="B82" s="33"/>
      <c r="C82" s="34"/>
      <c r="D82" s="35"/>
      <c r="E82" s="73"/>
      <c r="F82" s="36"/>
      <c r="G82" s="37"/>
      <c r="H82" s="34"/>
      <c r="I82" s="34"/>
      <c r="J82" s="38"/>
      <c r="K82" s="40"/>
      <c r="L82" s="142"/>
      <c r="M82" s="40"/>
      <c r="N82" s="2"/>
    </row>
    <row r="83" spans="1:14" s="31" customFormat="1" ht="12.75" x14ac:dyDescent="0.2">
      <c r="A83" s="33"/>
      <c r="B83" s="33"/>
      <c r="C83" s="34"/>
      <c r="D83" s="35"/>
      <c r="E83" s="73"/>
      <c r="F83" s="36"/>
      <c r="G83" s="37"/>
      <c r="H83" s="34"/>
      <c r="I83" s="34"/>
      <c r="J83" s="38"/>
      <c r="K83" s="40"/>
      <c r="L83" s="142"/>
      <c r="M83" s="40"/>
      <c r="N83" s="2"/>
    </row>
    <row r="84" spans="1:14" s="31" customFormat="1" ht="12.75" x14ac:dyDescent="0.2">
      <c r="A84" s="33"/>
      <c r="B84" s="33"/>
      <c r="C84" s="34"/>
      <c r="D84" s="35"/>
      <c r="E84" s="73"/>
      <c r="F84" s="36"/>
      <c r="G84" s="37"/>
      <c r="H84" s="34"/>
      <c r="I84" s="34"/>
      <c r="J84" s="38"/>
      <c r="K84" s="40"/>
      <c r="L84" s="142"/>
      <c r="M84" s="40"/>
      <c r="N84" s="2"/>
    </row>
    <row r="85" spans="1:14" s="31" customFormat="1" ht="12.75" x14ac:dyDescent="0.2">
      <c r="A85" s="33"/>
      <c r="B85" s="33"/>
      <c r="C85" s="34"/>
      <c r="D85" s="35"/>
      <c r="E85" s="73"/>
      <c r="F85" s="36"/>
      <c r="G85" s="37"/>
      <c r="H85" s="34"/>
      <c r="I85" s="34"/>
      <c r="J85" s="38"/>
      <c r="K85" s="40"/>
      <c r="L85" s="142"/>
      <c r="M85" s="40"/>
      <c r="N85" s="2"/>
    </row>
    <row r="86" spans="1:14" s="31" customFormat="1" ht="12.75" x14ac:dyDescent="0.2">
      <c r="A86" s="33"/>
      <c r="B86" s="33"/>
      <c r="C86" s="34"/>
      <c r="D86" s="35"/>
      <c r="E86" s="73"/>
      <c r="F86" s="36"/>
      <c r="G86" s="37"/>
      <c r="H86" s="34"/>
      <c r="I86" s="34"/>
      <c r="J86" s="38"/>
      <c r="K86" s="40"/>
      <c r="L86" s="142"/>
      <c r="M86" s="40"/>
      <c r="N86" s="2"/>
    </row>
    <row r="87" spans="1:14" s="15" customFormat="1" ht="12.75" x14ac:dyDescent="0.2">
      <c r="A87" s="58" t="s">
        <v>242</v>
      </c>
      <c r="B87" s="101"/>
      <c r="C87" s="102"/>
      <c r="D87" s="110">
        <f>SUM(D60:D86)</f>
        <v>4.9999999999999996E-2</v>
      </c>
      <c r="E87" s="62">
        <f>SUM(E60:E86)</f>
        <v>1076196.4248000002</v>
      </c>
      <c r="F87" s="111"/>
      <c r="G87" s="112"/>
      <c r="H87" s="102"/>
      <c r="I87" s="102"/>
      <c r="J87" s="60"/>
      <c r="K87" s="62">
        <f>SUM(K60:K86)</f>
        <v>1158173.5</v>
      </c>
      <c r="L87" s="147">
        <f>Table13[[#This Row],[Current Value Allocation]]/$K$2</f>
        <v>5.4177478245671602E-2</v>
      </c>
      <c r="M87" s="107"/>
    </row>
    <row r="88" spans="1:14" x14ac:dyDescent="0.25">
      <c r="A88" s="52"/>
      <c r="B88" s="95"/>
      <c r="C88" s="95"/>
      <c r="D88" s="53"/>
      <c r="E88" s="54"/>
      <c r="F88" s="54"/>
      <c r="G88" s="55"/>
      <c r="H88" s="95"/>
      <c r="I88" s="95"/>
      <c r="J88" s="52"/>
      <c r="K88" s="52"/>
      <c r="L88" s="148"/>
      <c r="M88" s="99"/>
    </row>
    <row r="89" spans="1:14" s="31" customFormat="1" ht="25.5" x14ac:dyDescent="0.2">
      <c r="A89" s="43" t="s">
        <v>151</v>
      </c>
      <c r="B89" s="33" t="s">
        <v>243</v>
      </c>
      <c r="C89" s="34" t="s">
        <v>244</v>
      </c>
      <c r="D89" s="35">
        <v>0</v>
      </c>
      <c r="E89" s="38"/>
      <c r="F89" s="36">
        <v>46748</v>
      </c>
      <c r="G89" s="116"/>
      <c r="H89" s="34">
        <v>1</v>
      </c>
      <c r="I89" s="34">
        <v>0</v>
      </c>
      <c r="J89" s="38">
        <f>I89-H89</f>
        <v>-1</v>
      </c>
      <c r="K89" s="40">
        <f>Table13[[#This Row],[Last price]]*Table13[[#This Row],[Current Quantity]]</f>
        <v>0</v>
      </c>
      <c r="L89" s="142">
        <f>Table13[[#This Row],[Current Value Allocation]]/$K$2</f>
        <v>0</v>
      </c>
      <c r="M89" s="40"/>
      <c r="N89" s="2"/>
    </row>
    <row r="90" spans="1:14" ht="26.25" x14ac:dyDescent="0.25">
      <c r="A90" s="33" t="s">
        <v>151</v>
      </c>
      <c r="B90" s="89" t="s">
        <v>245</v>
      </c>
      <c r="C90" s="90" t="s">
        <v>246</v>
      </c>
      <c r="D90" s="45">
        <v>0</v>
      </c>
      <c r="E90" s="90"/>
      <c r="F90" s="36">
        <v>29581</v>
      </c>
      <c r="G90" s="93"/>
      <c r="H90" s="34">
        <v>2</v>
      </c>
      <c r="I90" s="90">
        <v>0</v>
      </c>
      <c r="J90" s="38">
        <f>I90-H90</f>
        <v>-2</v>
      </c>
      <c r="K90" s="40">
        <f>Table13[[#This Row],[Last price]]*Table13[[#This Row],[Current Quantity]]</f>
        <v>0</v>
      </c>
      <c r="L90" s="143">
        <f>Table13[[#This Row],[Current Value Allocation]]/$K$2</f>
        <v>0</v>
      </c>
      <c r="M90" s="94"/>
    </row>
    <row r="91" spans="1:14" s="100" customFormat="1" ht="12.75" x14ac:dyDescent="0.2">
      <c r="A91" s="127"/>
      <c r="B91" s="95"/>
      <c r="C91" s="95"/>
      <c r="D91" s="53"/>
      <c r="E91" s="95"/>
      <c r="F91" s="95"/>
      <c r="G91" s="98"/>
      <c r="H91" s="98"/>
      <c r="I91" s="95"/>
      <c r="J91" s="52"/>
      <c r="K91" s="54"/>
      <c r="L91" s="146"/>
      <c r="M91" s="99"/>
    </row>
    <row r="92" spans="1:14" s="15" customFormat="1" ht="12.75" x14ac:dyDescent="0.2">
      <c r="A92" s="58" t="s">
        <v>247</v>
      </c>
      <c r="B92" s="101"/>
      <c r="C92" s="102"/>
      <c r="D92" s="101"/>
      <c r="E92" s="102"/>
      <c r="F92" s="101"/>
      <c r="G92" s="102"/>
      <c r="H92" s="101"/>
      <c r="I92" s="102"/>
      <c r="J92" s="101"/>
      <c r="K92" s="119">
        <f>SUM(K89:K90)</f>
        <v>0</v>
      </c>
      <c r="L92" s="147">
        <f>Table13[[#This Row],[Current Value Allocation]]/$K$2</f>
        <v>0</v>
      </c>
      <c r="M92" s="102"/>
    </row>
    <row r="93" spans="1:14" s="100" customFormat="1" ht="12.75" x14ac:dyDescent="0.2">
      <c r="A93" s="52"/>
      <c r="B93" s="95"/>
      <c r="C93" s="95"/>
      <c r="D93" s="96"/>
      <c r="E93" s="97"/>
      <c r="F93" s="97"/>
      <c r="G93" s="98"/>
      <c r="H93" s="95"/>
      <c r="I93" s="95"/>
      <c r="J93" s="52"/>
      <c r="K93" s="52"/>
      <c r="L93" s="148"/>
      <c r="M93" s="99"/>
    </row>
    <row r="94" spans="1:14" x14ac:dyDescent="0.25">
      <c r="A94" s="34"/>
      <c r="B94" s="120"/>
      <c r="C94" s="121"/>
      <c r="D94" s="122"/>
      <c r="E94" s="123"/>
      <c r="F94" s="123"/>
      <c r="G94" s="124"/>
      <c r="H94" s="121"/>
      <c r="I94" s="121"/>
      <c r="J94" s="71"/>
      <c r="K94" s="125"/>
      <c r="L94" s="149"/>
      <c r="M94" s="126"/>
    </row>
    <row r="95" spans="1:14" x14ac:dyDescent="0.25">
      <c r="A95" s="127"/>
      <c r="B95" s="128"/>
      <c r="C95" s="129"/>
      <c r="D95" s="130"/>
      <c r="E95" s="129"/>
      <c r="F95" s="129"/>
      <c r="G95" s="131"/>
      <c r="H95" s="129"/>
      <c r="I95" s="129"/>
      <c r="J95" s="129"/>
      <c r="K95" s="87"/>
      <c r="L95" s="142"/>
      <c r="M95" s="87"/>
    </row>
    <row r="96" spans="1:14" x14ac:dyDescent="0.25">
      <c r="A96" s="128"/>
      <c r="B96" s="128"/>
      <c r="C96" s="129"/>
      <c r="D96" s="130"/>
      <c r="E96" s="129"/>
      <c r="F96" s="129"/>
      <c r="G96" s="131"/>
      <c r="H96" s="129"/>
      <c r="I96" s="129"/>
      <c r="J96" s="129"/>
      <c r="K96" s="87"/>
      <c r="L96" s="142"/>
      <c r="M96" s="87"/>
    </row>
    <row r="97" spans="1:13" x14ac:dyDescent="0.25">
      <c r="A97" s="128"/>
      <c r="B97" s="128"/>
      <c r="C97" s="129"/>
      <c r="D97" s="130"/>
      <c r="E97" s="129"/>
      <c r="F97" s="129"/>
      <c r="G97" s="131"/>
      <c r="H97" s="129"/>
      <c r="I97" s="129"/>
      <c r="J97" s="129"/>
      <c r="K97" s="87"/>
      <c r="L97" s="142"/>
      <c r="M97" s="87"/>
    </row>
    <row r="98" spans="1:13" x14ac:dyDescent="0.25">
      <c r="A98" s="128"/>
      <c r="B98" s="128"/>
      <c r="C98" s="129"/>
      <c r="D98" s="130"/>
      <c r="E98" s="129"/>
      <c r="F98" s="129"/>
      <c r="G98" s="131"/>
      <c r="H98" s="129"/>
      <c r="I98" s="129"/>
      <c r="J98" s="129"/>
      <c r="K98" s="87"/>
      <c r="L98" s="142"/>
      <c r="M98" s="87"/>
    </row>
    <row r="99" spans="1:13" x14ac:dyDescent="0.25">
      <c r="A99" s="128"/>
      <c r="B99" s="128"/>
      <c r="C99" s="129"/>
      <c r="D99" s="130"/>
      <c r="E99" s="129"/>
      <c r="F99" s="129"/>
      <c r="G99" s="131"/>
      <c r="H99" s="129"/>
      <c r="I99" s="129"/>
      <c r="J99" s="129"/>
      <c r="K99" s="87"/>
      <c r="L99" s="142"/>
      <c r="M99" s="87"/>
    </row>
    <row r="100" spans="1:13" x14ac:dyDescent="0.25">
      <c r="A100" s="128"/>
      <c r="B100" s="128"/>
      <c r="C100" s="129"/>
      <c r="D100" s="130"/>
      <c r="E100" s="129"/>
      <c r="F100" s="129"/>
      <c r="G100" s="131"/>
      <c r="H100" s="129"/>
      <c r="I100" s="129"/>
      <c r="J100" s="129"/>
      <c r="K100" s="87"/>
      <c r="L100" s="142"/>
      <c r="M100" s="87"/>
    </row>
    <row r="101" spans="1:13" x14ac:dyDescent="0.25">
      <c r="A101" s="128"/>
      <c r="B101" s="128"/>
      <c r="C101" s="129"/>
      <c r="D101" s="130"/>
      <c r="E101" s="129"/>
      <c r="F101" s="129"/>
      <c r="G101" s="131"/>
      <c r="H101" s="129"/>
      <c r="I101" s="129"/>
      <c r="J101" s="129"/>
      <c r="K101" s="87"/>
      <c r="L101" s="142"/>
      <c r="M101" s="87"/>
    </row>
    <row r="102" spans="1:13" x14ac:dyDescent="0.25">
      <c r="A102" s="128"/>
      <c r="B102" s="128"/>
      <c r="C102" s="129"/>
      <c r="D102" s="130"/>
      <c r="E102" s="129"/>
      <c r="F102" s="129"/>
      <c r="G102" s="131"/>
      <c r="H102" s="129"/>
      <c r="I102" s="129"/>
      <c r="J102" s="129"/>
      <c r="K102" s="87"/>
      <c r="L102" s="142"/>
      <c r="M102" s="87"/>
    </row>
    <row r="103" spans="1:13" x14ac:dyDescent="0.25">
      <c r="A103" s="128"/>
      <c r="B103" s="128"/>
      <c r="C103" s="129"/>
      <c r="D103" s="130"/>
      <c r="E103" s="129"/>
      <c r="F103" s="129"/>
      <c r="G103" s="131"/>
      <c r="H103" s="129"/>
      <c r="I103" s="129"/>
      <c r="J103" s="129"/>
      <c r="K103" s="87"/>
      <c r="L103" s="142"/>
      <c r="M103" s="87"/>
    </row>
    <row r="104" spans="1:13" x14ac:dyDescent="0.25">
      <c r="A104" s="132"/>
      <c r="B104" s="132"/>
      <c r="C104" s="133"/>
      <c r="D104" s="134"/>
      <c r="E104" s="133"/>
      <c r="F104" s="133"/>
      <c r="G104" s="135"/>
      <c r="H104" s="133"/>
      <c r="I104" s="133"/>
      <c r="J104" s="133"/>
      <c r="K104" s="94"/>
      <c r="L104" s="142"/>
      <c r="M104" s="94"/>
    </row>
    <row r="105" spans="1:13" s="2" customFormat="1" ht="12.75" x14ac:dyDescent="0.2"/>
    <row r="106" spans="1:13" s="2" customFormat="1" ht="12.75" x14ac:dyDescent="0.2"/>
    <row r="108" spans="1:13" s="2" customFormat="1" ht="12.75" x14ac:dyDescent="0.2">
      <c r="A108" s="136"/>
      <c r="B108" s="136"/>
      <c r="E108" s="136"/>
      <c r="F108" s="136"/>
      <c r="G108" s="136"/>
      <c r="H108" s="137"/>
      <c r="M108" s="136"/>
    </row>
    <row r="109" spans="1:13" s="2" customFormat="1" ht="12.75" x14ac:dyDescent="0.2">
      <c r="A109" s="136"/>
      <c r="B109" s="136"/>
      <c r="E109" s="136"/>
      <c r="F109" s="136"/>
      <c r="G109" s="136"/>
      <c r="H109" s="137"/>
      <c r="M109" s="136"/>
    </row>
    <row r="110" spans="1:13" s="2" customFormat="1" ht="12.75" x14ac:dyDescent="0.2">
      <c r="A110" s="138"/>
      <c r="B110" s="138"/>
    </row>
    <row r="111" spans="1:13" s="2" customFormat="1" ht="12.75" x14ac:dyDescent="0.2">
      <c r="A111" s="139"/>
      <c r="B111" s="139"/>
      <c r="E111" s="139"/>
      <c r="F111" s="138"/>
      <c r="G111" s="138"/>
      <c r="M111" s="140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0"/>
  <sheetViews>
    <sheetView topLeftCell="A31" zoomScale="115" zoomScaleNormal="115" workbookViewId="0">
      <selection activeCell="H47" sqref="H47"/>
    </sheetView>
  </sheetViews>
  <sheetFormatPr defaultColWidth="9.140625" defaultRowHeight="15" x14ac:dyDescent="0.25"/>
  <cols>
    <col min="1" max="2" width="15.140625" style="2" customWidth="1"/>
    <col min="3" max="3" width="27.140625" style="2" customWidth="1"/>
    <col min="4" max="4" width="14.85546875" style="2" customWidth="1"/>
    <col min="5" max="5" width="19.710937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style="152" customWidth="1"/>
    <col min="11" max="11" width="16.42578125" customWidth="1"/>
    <col min="12" max="12" width="13.42578125" customWidth="1"/>
    <col min="13" max="13" width="16.42578125" style="2" customWidth="1"/>
    <col min="14" max="14" width="10.5703125" style="2" customWidth="1"/>
    <col min="15" max="15" width="13" style="2" customWidth="1"/>
    <col min="16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119</v>
      </c>
      <c r="C1" s="4">
        <v>44021</v>
      </c>
      <c r="D1" s="5"/>
      <c r="E1" s="6" t="s">
        <v>121</v>
      </c>
      <c r="F1" s="7"/>
      <c r="G1" s="8"/>
      <c r="K1" s="9" t="s">
        <v>122</v>
      </c>
      <c r="L1" s="9" t="s">
        <v>248</v>
      </c>
      <c r="M1" s="10" t="s">
        <v>123</v>
      </c>
      <c r="O1" s="2" t="s">
        <v>124</v>
      </c>
      <c r="R1" s="2" t="s">
        <v>125</v>
      </c>
    </row>
    <row r="2" spans="1:19" x14ac:dyDescent="0.25">
      <c r="A2" s="3"/>
      <c r="B2" s="3" t="s">
        <v>126</v>
      </c>
      <c r="C2" s="153">
        <v>2.79</v>
      </c>
      <c r="D2" s="12"/>
      <c r="E2" s="13">
        <f>SUM(E23,E35,E57,E86,E25)</f>
        <v>1883758.0255200001</v>
      </c>
      <c r="F2" s="14"/>
      <c r="G2" s="15"/>
      <c r="H2" s="12"/>
      <c r="I2" s="12"/>
      <c r="J2" s="12"/>
      <c r="K2" s="13">
        <f>SUM(K23,K35,K57,K86,K25,K91)</f>
        <v>0</v>
      </c>
      <c r="L2" s="141" t="e">
        <f>SUM(L91,L57,L86,L35,L23,L25)</f>
        <v>#DIV/0!</v>
      </c>
      <c r="M2" s="16">
        <f>K2/C3</f>
        <v>0</v>
      </c>
      <c r="O2" s="2" t="s">
        <v>127</v>
      </c>
      <c r="P2" s="17">
        <v>0.26729999999999998</v>
      </c>
      <c r="R2" s="2" t="s">
        <v>128</v>
      </c>
      <c r="S2" s="2">
        <f>COUNTIF(A:A,"US Bond")</f>
        <v>7</v>
      </c>
    </row>
    <row r="3" spans="1:19" x14ac:dyDescent="0.25">
      <c r="A3" s="3"/>
      <c r="B3" s="3" t="s">
        <v>129</v>
      </c>
      <c r="C3" s="18">
        <v>8439776.0999999996</v>
      </c>
      <c r="D3" s="19"/>
      <c r="E3" s="14">
        <f>C3*C2</f>
        <v>23546975.318999998</v>
      </c>
      <c r="F3" s="14"/>
      <c r="G3" s="15"/>
      <c r="H3" s="12"/>
      <c r="I3" s="12"/>
      <c r="J3" s="12"/>
      <c r="K3" s="12"/>
      <c r="L3" s="12"/>
      <c r="M3" s="12"/>
      <c r="O3" s="2" t="s">
        <v>5</v>
      </c>
      <c r="P3" s="20">
        <v>0.08</v>
      </c>
      <c r="R3" s="2" t="s">
        <v>130</v>
      </c>
      <c r="S3" s="2">
        <f>COUNTIF(A:A,"Global Bond")</f>
        <v>9</v>
      </c>
    </row>
    <row r="4" spans="1:19" x14ac:dyDescent="0.25">
      <c r="A4" s="21"/>
      <c r="B4" s="22"/>
      <c r="C4" s="22"/>
      <c r="D4" s="154"/>
      <c r="E4" s="24"/>
      <c r="F4" s="24"/>
      <c r="G4" s="24"/>
      <c r="H4" s="25"/>
      <c r="I4" s="25"/>
      <c r="J4" s="25"/>
      <c r="K4" s="12"/>
      <c r="L4" s="12"/>
      <c r="M4" s="12"/>
      <c r="O4" s="2" t="s">
        <v>131</v>
      </c>
      <c r="P4" s="20">
        <v>0.03</v>
      </c>
      <c r="R4" s="2" t="s">
        <v>131</v>
      </c>
      <c r="S4" s="2">
        <f>COUNTIF(A:A,"Commodity")</f>
        <v>10</v>
      </c>
    </row>
    <row r="5" spans="1:19" s="31" customFormat="1" ht="38.25" x14ac:dyDescent="0.2">
      <c r="A5" s="26" t="s">
        <v>132</v>
      </c>
      <c r="B5" s="27" t="s">
        <v>133</v>
      </c>
      <c r="C5" s="28" t="s">
        <v>13</v>
      </c>
      <c r="D5" s="28" t="s">
        <v>134</v>
      </c>
      <c r="E5" s="28" t="s">
        <v>135</v>
      </c>
      <c r="F5" s="28" t="s">
        <v>136</v>
      </c>
      <c r="G5" s="28" t="s">
        <v>137</v>
      </c>
      <c r="H5" s="29" t="s">
        <v>138</v>
      </c>
      <c r="I5" s="29" t="s">
        <v>139</v>
      </c>
      <c r="J5" s="29" t="s">
        <v>140</v>
      </c>
      <c r="K5" s="30" t="s">
        <v>142</v>
      </c>
      <c r="L5" s="30" t="s">
        <v>143</v>
      </c>
      <c r="M5" s="30" t="s">
        <v>144</v>
      </c>
      <c r="O5" s="31" t="s">
        <v>145</v>
      </c>
      <c r="P5" s="32">
        <f>100%-SUM(P2:P4)</f>
        <v>0.62270000000000003</v>
      </c>
      <c r="R5" s="31" t="s">
        <v>127</v>
      </c>
      <c r="S5" s="2">
        <f>COUNTIF(A:A,"Equity")</f>
        <v>10</v>
      </c>
    </row>
    <row r="6" spans="1:19" s="31" customFormat="1" ht="12.75" customHeight="1" x14ac:dyDescent="0.2">
      <c r="A6" s="33"/>
      <c r="B6" s="155"/>
      <c r="C6" s="156"/>
      <c r="D6" s="156"/>
      <c r="E6" s="156"/>
      <c r="F6" s="156"/>
      <c r="G6" s="156"/>
      <c r="H6" s="156"/>
      <c r="I6" s="157"/>
      <c r="J6" s="158"/>
      <c r="K6" s="159">
        <f>SUM(K3:K4)</f>
        <v>0</v>
      </c>
      <c r="L6" s="160" t="e">
        <f>Table134[[#This Row],[Current Value Allocation]]/$K$2</f>
        <v>#DIV/0!</v>
      </c>
      <c r="M6" s="161"/>
    </row>
    <row r="7" spans="1:19" s="31" customFormat="1" ht="12.75" customHeight="1" x14ac:dyDescent="0.2">
      <c r="A7" s="33" t="s">
        <v>127</v>
      </c>
      <c r="B7" s="33" t="s">
        <v>73</v>
      </c>
      <c r="C7" s="34" t="s">
        <v>74</v>
      </c>
      <c r="D7" s="35">
        <v>5.0000000000000001E-3</v>
      </c>
      <c r="E7" s="36">
        <f>Table134[[#This Row],[Target Allocation (%)]]*$C$2*$C$3</f>
        <v>117734.87659499999</v>
      </c>
      <c r="F7" s="36">
        <f>INDEX('TWS data'!L:L,MATCH(Table134[[#This Row],[Financial Instrument]],'TWS data'!C:C,0))</f>
        <v>0</v>
      </c>
      <c r="G7" s="116" t="e">
        <f>Table134[[#This Row],[Target Value Allocation (USD)]]/Table134[[#This Row],[Last price]]</f>
        <v>#DIV/0!</v>
      </c>
      <c r="H7" s="34">
        <f>INDEX('TWS data'!F:F,MATCH(Table134[[#This Row],[Financial Instrument]],'TWS data'!C:C,0))</f>
        <v>1</v>
      </c>
      <c r="I7" s="34">
        <v>1</v>
      </c>
      <c r="J7" s="162">
        <f t="shared" ref="J7:J40" si="0">I7-H7</f>
        <v>0</v>
      </c>
      <c r="K7" s="39">
        <f>Table134[[#This Row],[Last price]]*Table134[[#This Row],[Current Quantity]]</f>
        <v>0</v>
      </c>
      <c r="L7" s="142" t="e">
        <f>Table134[[#This Row],[Current Value Allocation]]/$K$2</f>
        <v>#DIV/0!</v>
      </c>
      <c r="M7" s="40"/>
      <c r="R7" s="31" t="s">
        <v>151</v>
      </c>
      <c r="S7" s="2">
        <f>COUNTIF(A:A,"Others")</f>
        <v>0</v>
      </c>
    </row>
    <row r="8" spans="1:19" s="31" customFormat="1" ht="25.5" x14ac:dyDescent="0.2">
      <c r="A8" s="33" t="s">
        <v>127</v>
      </c>
      <c r="B8" s="33" t="s">
        <v>91</v>
      </c>
      <c r="C8" s="34" t="s">
        <v>92</v>
      </c>
      <c r="D8" s="35">
        <v>5.0000000000000001E-3</v>
      </c>
      <c r="E8" s="36">
        <f>Table134[[#This Row],[Target Allocation (%)]]*$C$2*$C$3</f>
        <v>117734.87659499999</v>
      </c>
      <c r="F8" s="36">
        <f>INDEX('TWS data'!L:L,MATCH(Table134[[#This Row],[Financial Instrument]],'TWS data'!C:C,0))</f>
        <v>0</v>
      </c>
      <c r="G8" s="116" t="e">
        <f>Table134[[#This Row],[Target Value Allocation (USD)]]/Table134[[#This Row],[Last price]]</f>
        <v>#DIV/0!</v>
      </c>
      <c r="H8" s="34">
        <f>INDEX('TWS data'!F:F,MATCH(Table134[[#This Row],[Financial Instrument]],'TWS data'!C:C,0))</f>
        <v>1</v>
      </c>
      <c r="I8" s="34">
        <v>1</v>
      </c>
      <c r="J8" s="162">
        <f t="shared" si="0"/>
        <v>0</v>
      </c>
      <c r="K8" s="39">
        <f>Table134[[#This Row],[Last price]]*Table134[[#This Row],[Current Quantity]]</f>
        <v>0</v>
      </c>
      <c r="L8" s="142" t="e">
        <f>Table134[[#This Row],[Current Value Allocation]]/$K$2</f>
        <v>#DIV/0!</v>
      </c>
      <c r="M8" s="40"/>
      <c r="O8" s="2" t="s">
        <v>152</v>
      </c>
      <c r="P8" s="42">
        <v>288492</v>
      </c>
      <c r="R8" s="31" t="s">
        <v>153</v>
      </c>
      <c r="S8" s="31">
        <f>SUM(S2:S7)</f>
        <v>36</v>
      </c>
    </row>
    <row r="9" spans="1:19" s="31" customFormat="1" ht="25.5" customHeight="1" x14ac:dyDescent="0.2">
      <c r="A9" s="33" t="s">
        <v>127</v>
      </c>
      <c r="B9" s="33" t="s">
        <v>252</v>
      </c>
      <c r="C9" s="34" t="s">
        <v>90</v>
      </c>
      <c r="D9" s="35">
        <v>5.0000000000000001E-3</v>
      </c>
      <c r="E9" s="36">
        <f>Table134[[#This Row],[Target Allocation (%)]]*$C$2*$C$3</f>
        <v>117734.87659499999</v>
      </c>
      <c r="F9" s="36">
        <f>INDEX('TWS data'!L:L,MATCH(Table134[[#This Row],[Financial Instrument]],'TWS data'!C:C,0))</f>
        <v>0</v>
      </c>
      <c r="G9" s="116" t="e">
        <f>Table134[[#This Row],[Target Value Allocation (USD)]]/Table134[[#This Row],[Last price]]</f>
        <v>#DIV/0!</v>
      </c>
      <c r="H9" s="34">
        <f>INDEX('TWS data'!F:F,MATCH(Table134[[#This Row],[Financial Instrument]],'TWS data'!C:C,0))</f>
        <v>1</v>
      </c>
      <c r="I9" s="83">
        <v>1</v>
      </c>
      <c r="J9" s="162">
        <f t="shared" si="0"/>
        <v>0</v>
      </c>
      <c r="K9" s="39">
        <f>Table134[[#This Row],[Last price]]*Table134[[#This Row],[Current Quantity]]</f>
        <v>0</v>
      </c>
      <c r="L9" s="142" t="e">
        <f>Table134[[#This Row],[Current Value Allocation]]/$K$2</f>
        <v>#DIV/0!</v>
      </c>
      <c r="M9" s="40"/>
      <c r="O9" s="31" t="s">
        <v>154</v>
      </c>
      <c r="P9" s="42">
        <v>79066</v>
      </c>
    </row>
    <row r="10" spans="1:19" s="31" customFormat="1" ht="12.75" customHeight="1" x14ac:dyDescent="0.2">
      <c r="A10" s="33" t="s">
        <v>127</v>
      </c>
      <c r="B10" s="82" t="s">
        <v>113</v>
      </c>
      <c r="C10" s="83" t="s">
        <v>114</v>
      </c>
      <c r="D10" s="117">
        <v>5.0000000000000001E-3</v>
      </c>
      <c r="E10" s="36">
        <f>Table134[[#This Row],[Target Allocation (%)]]*$C$2*$C$3</f>
        <v>117734.87659499999</v>
      </c>
      <c r="F10" s="36">
        <f>INDEX('TWS data'!L:L,MATCH(Table134[[#This Row],[Financial Instrument]],'TWS data'!C:C,0))</f>
        <v>0</v>
      </c>
      <c r="G10" s="116" t="e">
        <f>Table134[[#This Row],[Target Value Allocation (USD)]]/Table134[[#This Row],[Last price]]</f>
        <v>#DIV/0!</v>
      </c>
      <c r="H10" s="34">
        <f>INDEX('TWS data'!F:F,MATCH(Table134[[#This Row],[Financial Instrument]],'TWS data'!C:C,0))</f>
        <v>1</v>
      </c>
      <c r="I10" s="83">
        <v>2</v>
      </c>
      <c r="J10" s="162">
        <f t="shared" si="0"/>
        <v>1</v>
      </c>
      <c r="K10" s="39">
        <f>Table134[[#This Row],[Last price]]*Table134[[#This Row],[Current Quantity]]</f>
        <v>0</v>
      </c>
      <c r="L10" s="142" t="e">
        <f>Table134[[#This Row],[Current Value Allocation]]/$K$2</f>
        <v>#DIV/0!</v>
      </c>
      <c r="M10" s="87"/>
      <c r="O10" s="31" t="s">
        <v>155</v>
      </c>
      <c r="P10" s="42">
        <v>896127</v>
      </c>
    </row>
    <row r="11" spans="1:19" s="31" customFormat="1" ht="12.75" customHeight="1" x14ac:dyDescent="0.25">
      <c r="A11" s="33" t="s">
        <v>127</v>
      </c>
      <c r="B11" s="33" t="s">
        <v>84</v>
      </c>
      <c r="C11" s="34" t="s">
        <v>85</v>
      </c>
      <c r="D11" s="35">
        <v>5.0000000000000001E-3</v>
      </c>
      <c r="E11" s="36">
        <f>Table134[[#This Row],[Target Allocation (%)]]*$C$2*$C$3</f>
        <v>117734.87659499999</v>
      </c>
      <c r="F11" s="36">
        <f>INDEX('TWS data'!L:L,MATCH(Table134[[#This Row],[Financial Instrument]],'TWS data'!C:C,0))</f>
        <v>0</v>
      </c>
      <c r="G11" s="116" t="e">
        <f>Table134[[#This Row],[Target Value Allocation (USD)]]/Table134[[#This Row],[Last price]]</f>
        <v>#DIV/0!</v>
      </c>
      <c r="H11" s="34">
        <f>INDEX('TWS data'!F:F,MATCH(Table134[[#This Row],[Financial Instrument]],'TWS data'!C:C,0))</f>
        <v>6</v>
      </c>
      <c r="I11" s="34">
        <v>11</v>
      </c>
      <c r="J11" s="162">
        <f t="shared" si="0"/>
        <v>5</v>
      </c>
      <c r="K11" s="39">
        <f>Table134[[#This Row],[Last price]]*Table134[[#This Row],[Current Quantity]]</f>
        <v>0</v>
      </c>
      <c r="L11" s="142" t="e">
        <f>Table134[[#This Row],[Current Value Allocation]]/$K$2</f>
        <v>#DIV/0!</v>
      </c>
      <c r="M11" s="40"/>
      <c r="O11" s="31" t="s">
        <v>131</v>
      </c>
    </row>
    <row r="12" spans="1:19" s="31" customFormat="1" ht="12.75" customHeight="1" x14ac:dyDescent="0.25">
      <c r="A12" s="33" t="s">
        <v>127</v>
      </c>
      <c r="B12" s="33" t="s">
        <v>43</v>
      </c>
      <c r="C12" s="34" t="s">
        <v>44</v>
      </c>
      <c r="D12" s="35">
        <v>5.0000000000000001E-3</v>
      </c>
      <c r="E12" s="36">
        <f>Table134[[#This Row],[Target Allocation (%)]]*$C$2*$C$3</f>
        <v>117734.87659499999</v>
      </c>
      <c r="F12" s="36">
        <f>INDEX('TWS data'!L:L,MATCH(Table134[[#This Row],[Financial Instrument]],'TWS data'!C:C,0))</f>
        <v>0</v>
      </c>
      <c r="G12" s="116" t="e">
        <f>Table134[[#This Row],[Target Value Allocation (USD)]]/Table134[[#This Row],[Last price]]</f>
        <v>#DIV/0!</v>
      </c>
      <c r="H12" s="34">
        <f>INDEX('TWS data'!F:F,MATCH(Table134[[#This Row],[Financial Instrument]],'TWS data'!C:C,0))</f>
        <v>1</v>
      </c>
      <c r="I12" s="34">
        <v>3</v>
      </c>
      <c r="J12" s="162">
        <f t="shared" si="0"/>
        <v>2</v>
      </c>
      <c r="K12" s="39">
        <f>Table134[[#This Row],[Last price]]*Table134[[#This Row],[Current Quantity]]</f>
        <v>0</v>
      </c>
      <c r="L12" s="142" t="e">
        <f>Table134[[#This Row],[Current Value Allocation]]/$K$2</f>
        <v>#DIV/0!</v>
      </c>
      <c r="M12" s="40"/>
    </row>
    <row r="13" spans="1:19" s="31" customFormat="1" ht="12.75" customHeight="1" x14ac:dyDescent="0.25">
      <c r="A13" s="33" t="s">
        <v>127</v>
      </c>
      <c r="B13" s="33" t="s">
        <v>82</v>
      </c>
      <c r="C13" s="34" t="s">
        <v>83</v>
      </c>
      <c r="D13" s="35">
        <v>5.0000000000000001E-3</v>
      </c>
      <c r="E13" s="36">
        <f>Table134[[#This Row],[Target Allocation (%)]]*$C$2*$C$3</f>
        <v>117734.87659499999</v>
      </c>
      <c r="F13" s="36">
        <f>INDEX('TWS data'!L:L,MATCH(Table134[[#This Row],[Financial Instrument]],'TWS data'!C:C,0))</f>
        <v>0</v>
      </c>
      <c r="G13" s="116" t="e">
        <f>Table134[[#This Row],[Target Value Allocation (USD)]]/Table134[[#This Row],[Last price]]</f>
        <v>#DIV/0!</v>
      </c>
      <c r="H13" s="34">
        <f>INDEX('TWS data'!F:F,MATCH(Table134[[#This Row],[Financial Instrument]],'TWS data'!C:C,0))</f>
        <v>1</v>
      </c>
      <c r="I13" s="34">
        <v>3</v>
      </c>
      <c r="J13" s="162">
        <f t="shared" si="0"/>
        <v>2</v>
      </c>
      <c r="K13" s="39">
        <f>Table134[[#This Row],[Last price]]*Table134[[#This Row],[Current Quantity]]</f>
        <v>0</v>
      </c>
      <c r="L13" s="142" t="e">
        <f>Table134[[#This Row],[Current Value Allocation]]/$K$2</f>
        <v>#DIV/0!</v>
      </c>
      <c r="M13" s="40"/>
    </row>
    <row r="14" spans="1:19" s="31" customFormat="1" ht="12.75" customHeight="1" x14ac:dyDescent="0.25">
      <c r="A14" s="33"/>
      <c r="B14" s="33" t="s">
        <v>79</v>
      </c>
      <c r="C14" s="34" t="s">
        <v>80</v>
      </c>
      <c r="D14" s="35">
        <v>5.0000000000000001E-3</v>
      </c>
      <c r="E14" s="36">
        <f>Table134[[#This Row],[Target Allocation (%)]]*$C$2*$C$3</f>
        <v>117734.87659499999</v>
      </c>
      <c r="F14" s="36">
        <f>INDEX('TWS data'!L:L,MATCH(Table134[[#This Row],[Financial Instrument]],'TWS data'!C:C,0))</f>
        <v>0</v>
      </c>
      <c r="G14" s="116" t="e">
        <f>Table134[[#This Row],[Target Value Allocation (USD)]]/Table134[[#This Row],[Last price]]</f>
        <v>#DIV/0!</v>
      </c>
      <c r="H14" s="34">
        <f>INDEX('TWS data'!F:F,MATCH(Table134[[#This Row],[Financial Instrument]],'TWS data'!C:C,0))</f>
        <v>1</v>
      </c>
      <c r="I14" s="34">
        <v>3</v>
      </c>
      <c r="J14" s="162">
        <f t="shared" si="0"/>
        <v>2</v>
      </c>
      <c r="K14" s="39">
        <f>Table134[[#This Row],[Last price]]*Table134[[#This Row],[Current Quantity]]</f>
        <v>0</v>
      </c>
      <c r="L14" s="142" t="e">
        <f>Table134[[#This Row],[Current Value Allocation]]/$K$2</f>
        <v>#DIV/0!</v>
      </c>
      <c r="M14" s="40"/>
    </row>
    <row r="15" spans="1:19" s="31" customFormat="1" ht="12.75" customHeight="1" x14ac:dyDescent="0.25">
      <c r="A15" s="33" t="s">
        <v>127</v>
      </c>
      <c r="B15" s="33" t="s">
        <v>47</v>
      </c>
      <c r="C15" s="34" t="s">
        <v>48</v>
      </c>
      <c r="D15" s="35">
        <v>5.0000000000000001E-3</v>
      </c>
      <c r="E15" s="36">
        <f>Table134[[#This Row],[Target Allocation (%)]]*$C$2*$C$3</f>
        <v>117734.87659499999</v>
      </c>
      <c r="F15" s="36">
        <f>INDEX('TWS data'!L:L,MATCH(Table134[[#This Row],[Financial Instrument]],'TWS data'!C:C,0))</f>
        <v>0</v>
      </c>
      <c r="G15" s="116" t="e">
        <f>Table134[[#This Row],[Target Value Allocation (USD)]]/Table134[[#This Row],[Last price]]</f>
        <v>#DIV/0!</v>
      </c>
      <c r="H15" s="34">
        <f>INDEX('TWS data'!F:F,MATCH(Table134[[#This Row],[Financial Instrument]],'TWS data'!C:C,0))</f>
        <v>1</v>
      </c>
      <c r="I15" s="34">
        <v>1</v>
      </c>
      <c r="J15" s="162">
        <f t="shared" si="0"/>
        <v>0</v>
      </c>
      <c r="K15" s="39">
        <f>Table134[[#This Row],[Last price]]*Table134[[#This Row],[Current Quantity]]</f>
        <v>0</v>
      </c>
      <c r="L15" s="142" t="e">
        <f>Table134[[#This Row],[Current Value Allocation]]/$K$2</f>
        <v>#DIV/0!</v>
      </c>
      <c r="M15" s="40"/>
    </row>
    <row r="16" spans="1:19" s="31" customFormat="1" ht="12.75" customHeight="1" x14ac:dyDescent="0.25">
      <c r="A16" s="33" t="s">
        <v>127</v>
      </c>
      <c r="B16" s="43" t="s">
        <v>76</v>
      </c>
      <c r="C16" s="44" t="s">
        <v>77</v>
      </c>
      <c r="D16" s="45">
        <v>5.0000000000000001E-3</v>
      </c>
      <c r="E16" s="46">
        <f>Table134[[#This Row],[Target Allocation (%)]]*$C$2*$C$3</f>
        <v>117734.87659499999</v>
      </c>
      <c r="F16" s="36">
        <f>INDEX('TWS data'!L:L,MATCH(Table134[[#This Row],[Financial Instrument]],'TWS data'!C:C,0))</f>
        <v>0</v>
      </c>
      <c r="G16" s="163" t="e">
        <f>Table134[[#This Row],[Target Value Allocation (USD)]]/Table134[[#This Row],[Last price]]</f>
        <v>#DIV/0!</v>
      </c>
      <c r="H16" s="34">
        <f>INDEX('TWS data'!F:F,MATCH(Table134[[#This Row],[Financial Instrument]],'TWS data'!C:C,0))</f>
        <v>1</v>
      </c>
      <c r="I16" s="34">
        <v>1</v>
      </c>
      <c r="J16" s="164">
        <f t="shared" si="0"/>
        <v>0</v>
      </c>
      <c r="K16" s="39">
        <f>Table134[[#This Row],[Last price]]*Table134[[#This Row],[Current Quantity]]</f>
        <v>0</v>
      </c>
      <c r="L16" s="143" t="e">
        <f>Table134[[#This Row],[Current Value Allocation]]/$K$2</f>
        <v>#DIV/0!</v>
      </c>
      <c r="M16" s="50"/>
    </row>
    <row r="17" spans="1:17" s="31" customFormat="1" ht="12.75" customHeight="1" x14ac:dyDescent="0.25">
      <c r="A17" s="33"/>
      <c r="B17" s="33" t="s">
        <v>2</v>
      </c>
      <c r="C17" s="34" t="s">
        <v>157</v>
      </c>
      <c r="D17" s="35">
        <v>1.4999999999999999E-2</v>
      </c>
      <c r="E17" s="46">
        <f>Table134[[#This Row],[Target Allocation (%)]]*$C$2*$C$3</f>
        <v>353204.629785</v>
      </c>
      <c r="F17" s="36" t="e">
        <f>INDEX('TWS data'!L:L,MATCH(Table134[[#This Row],[Financial Instrument]],'TWS data'!C:C,0))</f>
        <v>#N/A</v>
      </c>
      <c r="G17" s="47" t="e">
        <f>Table134[[#This Row],[Target Value Allocation (USD)]]/Table134[[#This Row],[Last price]]</f>
        <v>#N/A</v>
      </c>
      <c r="H17" s="34" t="e">
        <f>INDEX('TWS data'!F:F,MATCH(Table134[[#This Row],[Financial Instrument]],'TWS data'!C:C,0))</f>
        <v>#N/A</v>
      </c>
      <c r="I17" s="34">
        <v>899</v>
      </c>
      <c r="J17" s="162" t="e">
        <f t="shared" si="0"/>
        <v>#N/A</v>
      </c>
      <c r="K17" s="39" t="e">
        <f>Table134[[#This Row],[Last price]]*Table134[[#This Row],[Current Quantity]]</f>
        <v>#N/A</v>
      </c>
      <c r="L17" s="143" t="e">
        <f>Table134[[#This Row],[Current Value Allocation]]/$K$2</f>
        <v>#N/A</v>
      </c>
      <c r="M17" s="50"/>
    </row>
    <row r="18" spans="1:17" s="31" customFormat="1" ht="12.75" customHeight="1" x14ac:dyDescent="0.25">
      <c r="A18" s="33" t="s">
        <v>127</v>
      </c>
      <c r="B18" s="33" t="s">
        <v>37</v>
      </c>
      <c r="C18" s="34" t="s">
        <v>38</v>
      </c>
      <c r="D18" s="35">
        <v>1.4999999999999999E-2</v>
      </c>
      <c r="E18" s="46">
        <f>Table134[[#This Row],[Target Allocation (%)]]*$C$2*$C$3</f>
        <v>353204.629785</v>
      </c>
      <c r="F18" s="36">
        <f>INDEX('TWS data'!L:L,MATCH(Table134[[#This Row],[Financial Instrument]],'TWS data'!C:C,0))</f>
        <v>0</v>
      </c>
      <c r="G18" s="47" t="e">
        <f>Table134[[#This Row],[Target Value Allocation (USD)]]/Table134[[#This Row],[Last price]]</f>
        <v>#DIV/0!</v>
      </c>
      <c r="H18" s="34">
        <f>INDEX('TWS data'!F:F,MATCH(Table134[[#This Row],[Financial Instrument]],'TWS data'!C:C,0))</f>
        <v>1593</v>
      </c>
      <c r="I18" s="34">
        <v>1520</v>
      </c>
      <c r="J18" s="162">
        <f t="shared" si="0"/>
        <v>-73</v>
      </c>
      <c r="K18" s="39">
        <f>Table134[[#This Row],[Last price]]*Table134[[#This Row],[Current Quantity]]</f>
        <v>0</v>
      </c>
      <c r="L18" s="143" t="e">
        <f>Table134[[#This Row],[Current Value Allocation]]/$K$2</f>
        <v>#DIV/0!</v>
      </c>
      <c r="M18" s="50"/>
    </row>
    <row r="19" spans="1:17" s="31" customFormat="1" ht="12.75" customHeight="1" x14ac:dyDescent="0.25">
      <c r="A19" s="33"/>
      <c r="B19" s="33" t="s">
        <v>0</v>
      </c>
      <c r="C19" s="34" t="s">
        <v>23</v>
      </c>
      <c r="D19" s="35">
        <v>1.4999999999999999E-2</v>
      </c>
      <c r="E19" s="36">
        <f>Table134[[#This Row],[Target Allocation (%)]]*$C$2*$C$3</f>
        <v>353204.629785</v>
      </c>
      <c r="F19" s="36">
        <f>INDEX('TWS data'!L:L,MATCH(Table134[[#This Row],[Financial Instrument]],'TWS data'!C:C,0))</f>
        <v>0</v>
      </c>
      <c r="G19" s="37" t="e">
        <f>Table134[[#This Row],[Target Value Allocation (USD)]]/Table134[[#This Row],[Last price]]</f>
        <v>#DIV/0!</v>
      </c>
      <c r="H19" s="34">
        <f>INDEX('TWS data'!F:F,MATCH(Table134[[#This Row],[Financial Instrument]],'TWS data'!C:C,0))</f>
        <v>1021</v>
      </c>
      <c r="I19" s="34">
        <v>922</v>
      </c>
      <c r="J19" s="162">
        <f t="shared" si="0"/>
        <v>-99</v>
      </c>
      <c r="K19" s="115">
        <f>Table134[[#This Row],[Last price]]*Table134[[#This Row],[Current Quantity]]</f>
        <v>0</v>
      </c>
      <c r="L19" s="142" t="e">
        <f>Table134[[#This Row],[Current Value Allocation]]/$K$2</f>
        <v>#DIV/0!</v>
      </c>
      <c r="M19" s="165"/>
    </row>
    <row r="20" spans="1:17" s="31" customFormat="1" ht="12.75" customHeight="1" x14ac:dyDescent="0.25">
      <c r="A20" s="33"/>
      <c r="B20" s="33" t="s">
        <v>249</v>
      </c>
      <c r="C20" s="34" t="s">
        <v>250</v>
      </c>
      <c r="D20" s="35">
        <v>1.4999999999999999E-2</v>
      </c>
      <c r="E20" s="36">
        <f>Table134[[#This Row],[Target Allocation (%)]]*$C$2*$C$3</f>
        <v>353204.629785</v>
      </c>
      <c r="F20" s="36" t="e">
        <f>INDEX('TWS data'!L:L,MATCH(Table134[[#This Row],[Financial Instrument]],'TWS data'!C:C,0))</f>
        <v>#N/A</v>
      </c>
      <c r="G20" s="37" t="e">
        <f>Table134[[#This Row],[Target Value Allocation (USD)]]/Table134[[#This Row],[Last price]]</f>
        <v>#N/A</v>
      </c>
      <c r="H20" s="34" t="e">
        <f>INDEX('TWS data'!F:F,MATCH(Table134[[#This Row],[Financial Instrument]],'TWS data'!C:C,0))</f>
        <v>#N/A</v>
      </c>
      <c r="I20" s="34">
        <v>1058</v>
      </c>
      <c r="J20" s="162" t="e">
        <f t="shared" si="0"/>
        <v>#N/A</v>
      </c>
      <c r="K20" s="115" t="e">
        <f>Table134[[#This Row],[Last price]]*Table134[[#This Row],[Current Quantity]]</f>
        <v>#N/A</v>
      </c>
      <c r="L20" s="142" t="e">
        <f>Table134[[#This Row],[Current Value Allocation]]/$K$2</f>
        <v>#N/A</v>
      </c>
      <c r="M20" s="165"/>
    </row>
    <row r="21" spans="1:17" s="31" customFormat="1" ht="12.75" customHeight="1" x14ac:dyDescent="0.25">
      <c r="A21" s="33"/>
      <c r="B21" s="33" t="s">
        <v>9</v>
      </c>
      <c r="C21" s="34" t="s">
        <v>35</v>
      </c>
      <c r="D21" s="35">
        <v>1.4999999999999999E-2</v>
      </c>
      <c r="E21" s="36">
        <f>Table134[[#This Row],[Target Allocation (%)]]*$C$2*$C$3</f>
        <v>353204.629785</v>
      </c>
      <c r="F21" s="36">
        <f>INDEX('TWS data'!L:L,MATCH(Table134[[#This Row],[Financial Instrument]],'TWS data'!C:C,0))</f>
        <v>0</v>
      </c>
      <c r="G21" s="37" t="e">
        <f>Table134[[#This Row],[Target Value Allocation (USD)]]/Table134[[#This Row],[Last price]]</f>
        <v>#DIV/0!</v>
      </c>
      <c r="H21" s="34">
        <f>INDEX('TWS data'!F:F,MATCH(Table134[[#This Row],[Financial Instrument]],'TWS data'!C:C,0))</f>
        <v>2161</v>
      </c>
      <c r="I21" s="34">
        <v>2012</v>
      </c>
      <c r="J21" s="162">
        <f t="shared" si="0"/>
        <v>-149</v>
      </c>
      <c r="K21" s="39">
        <f>Table134[[#This Row],[Last price]]*Table134[[#This Row],[Current Quantity]]</f>
        <v>0</v>
      </c>
      <c r="L21" s="142" t="e">
        <f>Table134[[#This Row],[Current Value Allocation]]/$K$2</f>
        <v>#DIV/0!</v>
      </c>
      <c r="M21" s="165"/>
    </row>
    <row r="22" spans="1:17" s="57" customFormat="1" ht="12.75" customHeight="1" x14ac:dyDescent="0.25">
      <c r="A22" s="52"/>
      <c r="B22" s="52" t="s">
        <v>7</v>
      </c>
      <c r="C22" s="52" t="s">
        <v>31</v>
      </c>
      <c r="D22" s="166">
        <v>1.4999999999999999E-2</v>
      </c>
      <c r="E22" s="54">
        <f>Table134[[#This Row],[Target Allocation (%)]]*$C$2*$C$3</f>
        <v>353204.629785</v>
      </c>
      <c r="F22" s="36">
        <f>INDEX('TWS data'!L:L,MATCH(Table134[[#This Row],[Financial Instrument]],'TWS data'!C:C,0))</f>
        <v>0</v>
      </c>
      <c r="G22" s="55" t="e">
        <f>Table134[[#This Row],[Target Value Allocation (USD)]]/Table134[[#This Row],[Last price]]</f>
        <v>#DIV/0!</v>
      </c>
      <c r="H22" s="52">
        <f>INDEX('TWS data'!F:F,MATCH(Table134[[#This Row],[Financial Instrument]],'TWS data'!C:C,0))</f>
        <v>964</v>
      </c>
      <c r="I22" s="52">
        <v>855</v>
      </c>
      <c r="J22" s="167">
        <f t="shared" si="0"/>
        <v>-109</v>
      </c>
      <c r="K22" s="168">
        <f>Table134[[#This Row],[Last price]]*Table134[[#This Row],[Current Quantity]]</f>
        <v>0</v>
      </c>
      <c r="L22" s="148" t="e">
        <f>Table134[[#This Row],[Current Value Allocation]]/$K$2</f>
        <v>#DIV/0!</v>
      </c>
      <c r="M22" s="169"/>
    </row>
    <row r="23" spans="1:17" s="68" customFormat="1" ht="12.75" customHeight="1" x14ac:dyDescent="0.25">
      <c r="A23" s="58" t="s">
        <v>158</v>
      </c>
      <c r="B23" s="170" t="s">
        <v>6</v>
      </c>
      <c r="C23" s="171" t="s">
        <v>28</v>
      </c>
      <c r="D23" s="172">
        <v>1.4999999999999999E-2</v>
      </c>
      <c r="E23" s="173">
        <f>Table134[[#This Row],[Target Allocation (%)]]*$C$2*$C$3</f>
        <v>353204.629785</v>
      </c>
      <c r="F23" s="173">
        <f>INDEX('TWS data'!L:L,MATCH(Table134[[#This Row],[Financial Instrument]],'TWS data'!C:C,0))</f>
        <v>0</v>
      </c>
      <c r="G23" s="174" t="e">
        <f>Table134[[#This Row],[Target Value Allocation (USD)]]/Table134[[#This Row],[Last price]]</f>
        <v>#DIV/0!</v>
      </c>
      <c r="H23" s="171">
        <f>INDEX('TWS data'!F:F,MATCH(Table134[[#This Row],[Financial Instrument]],'TWS data'!C:C,0))</f>
        <v>6330</v>
      </c>
      <c r="I23" s="171">
        <v>5187</v>
      </c>
      <c r="J23" s="175">
        <f t="shared" si="0"/>
        <v>-1143</v>
      </c>
      <c r="K23" s="176">
        <f>Table134[[#This Row],[Last price]]*Table134[[#This Row],[Current Quantity]]</f>
        <v>0</v>
      </c>
      <c r="L23" s="177" t="e">
        <f>Table134[[#This Row],[Current Value Allocation]]/$K$2</f>
        <v>#DIV/0!</v>
      </c>
      <c r="M23" s="178"/>
    </row>
    <row r="24" spans="1:17" s="57" customFormat="1" ht="12.75" customHeight="1" x14ac:dyDescent="0.25">
      <c r="A24" s="52"/>
      <c r="B24" s="52" t="s">
        <v>3</v>
      </c>
      <c r="C24" s="52" t="s">
        <v>26</v>
      </c>
      <c r="D24" s="166">
        <v>1.4999999999999999E-2</v>
      </c>
      <c r="E24" s="54">
        <f>Table134[[#This Row],[Target Allocation (%)]]*$C$2*$C$3</f>
        <v>353204.629785</v>
      </c>
      <c r="F24" s="54">
        <f>INDEX('TWS data'!L:L,MATCH(Table134[[#This Row],[Financial Instrument]],'TWS data'!C:C,0))</f>
        <v>0</v>
      </c>
      <c r="G24" s="55" t="e">
        <f>Table134[[#This Row],[Target Value Allocation (USD)]]/Table134[[#This Row],[Last price]]</f>
        <v>#DIV/0!</v>
      </c>
      <c r="H24" s="52">
        <f>INDEX('TWS data'!F:F,MATCH(Table134[[#This Row],[Financial Instrument]],'TWS data'!C:C,0))</f>
        <v>924</v>
      </c>
      <c r="I24" s="52">
        <v>812</v>
      </c>
      <c r="J24" s="167">
        <f t="shared" si="0"/>
        <v>-112</v>
      </c>
      <c r="K24" s="168">
        <f>Table134[[#This Row],[Last price]]*Table134[[#This Row],[Current Quantity]]</f>
        <v>0</v>
      </c>
      <c r="L24" s="148" t="e">
        <f>Table134[[#This Row],[Current Value Allocation]]/$K$2</f>
        <v>#DIV/0!</v>
      </c>
      <c r="M24" s="169"/>
    </row>
    <row r="25" spans="1:17" s="31" customFormat="1" ht="12.75" customHeight="1" x14ac:dyDescent="0.25">
      <c r="A25" s="59"/>
      <c r="B25" s="170" t="s">
        <v>10</v>
      </c>
      <c r="C25" s="170" t="s">
        <v>36</v>
      </c>
      <c r="D25" s="179">
        <v>1.4999999999999999E-2</v>
      </c>
      <c r="E25" s="180">
        <f>Table134[[#This Row],[Target Allocation (%)]]*$C$2*$C$3</f>
        <v>353204.629785</v>
      </c>
      <c r="F25" s="180">
        <f>INDEX('TWS data'!L:L,MATCH(Table134[[#This Row],[Financial Instrument]],'TWS data'!C:C,0))</f>
        <v>0</v>
      </c>
      <c r="G25" s="181" t="e">
        <f>Table134[[#This Row],[Target Value Allocation (USD)]]/Table134[[#This Row],[Last price]]</f>
        <v>#DIV/0!</v>
      </c>
      <c r="H25" s="170">
        <f>INDEX('TWS data'!F:F,MATCH(Table134[[#This Row],[Financial Instrument]],'TWS data'!C:C,0))</f>
        <v>261</v>
      </c>
      <c r="I25" s="170">
        <v>257</v>
      </c>
      <c r="J25" s="182">
        <f t="shared" si="0"/>
        <v>-4</v>
      </c>
      <c r="K25" s="183">
        <f>Table134[[#This Row],[Last price]]*Table134[[#This Row],[Current Quantity]]</f>
        <v>0</v>
      </c>
      <c r="L25" s="184" t="e">
        <f>Table134[[#This Row],[Current Value Allocation]]/$K$2</f>
        <v>#DIV/0!</v>
      </c>
      <c r="M25" s="185"/>
      <c r="Q25" s="42"/>
    </row>
    <row r="26" spans="1:17" s="31" customFormat="1" ht="12.75" customHeight="1" x14ac:dyDescent="0.25">
      <c r="A26" s="33"/>
      <c r="B26" s="33" t="s">
        <v>8</v>
      </c>
      <c r="C26" s="34" t="s">
        <v>34</v>
      </c>
      <c r="D26" s="35">
        <v>1.4999999999999999E-2</v>
      </c>
      <c r="E26" s="73">
        <f>Table134[[#This Row],[Target Allocation (%)]]*$C$2*$C$3</f>
        <v>353204.629785</v>
      </c>
      <c r="F26" s="36">
        <f>INDEX('TWS data'!L:L,MATCH(Table134[[#This Row],[Financial Instrument]],'TWS data'!C:C,0))</f>
        <v>0</v>
      </c>
      <c r="G26" s="37" t="e">
        <f>Table134[[#This Row],[Target Value Allocation (USD)]]/Table134[[#This Row],[Last price]]</f>
        <v>#DIV/0!</v>
      </c>
      <c r="H26" s="34">
        <f>INDEX('TWS data'!F:F,MATCH(Table134[[#This Row],[Financial Instrument]],'TWS data'!C:C,0))</f>
        <v>611</v>
      </c>
      <c r="I26" s="34">
        <v>552</v>
      </c>
      <c r="J26" s="162">
        <f t="shared" si="0"/>
        <v>-59</v>
      </c>
      <c r="K26" s="39">
        <f>Table134[[#This Row],[Last price]]*Table134[[#This Row],[Current Quantity]]</f>
        <v>0</v>
      </c>
      <c r="L26" s="142" t="e">
        <f>Table134[[#This Row],[Current Value Allocation]]/$K$2</f>
        <v>#DIV/0!</v>
      </c>
      <c r="M26" s="40"/>
      <c r="Q26" s="42"/>
    </row>
    <row r="27" spans="1:17" ht="25.5" x14ac:dyDescent="0.25">
      <c r="A27" s="33" t="s">
        <v>128</v>
      </c>
      <c r="B27" s="33" t="s">
        <v>60</v>
      </c>
      <c r="C27" s="34" t="s">
        <v>61</v>
      </c>
      <c r="D27" s="35">
        <v>4.4443999999999997E-2</v>
      </c>
      <c r="E27" s="73">
        <f>Table134[[#This Row],[Target Allocation (%)]]*$C$2*$C$3</f>
        <v>1046521.7710776359</v>
      </c>
      <c r="F27" s="36">
        <f>INDEX('TWS data'!L:L,MATCH(Table134[[#This Row],[Financial Instrument]],'TWS data'!C:C,0))</f>
        <v>0</v>
      </c>
      <c r="G27" s="37" t="e">
        <f>Table134[[#This Row],[Target Value Allocation (USD)]]/Table134[[#This Row],[Last price]]</f>
        <v>#DIV/0!</v>
      </c>
      <c r="H27" s="34">
        <f>INDEX('TWS data'!F:F,MATCH(Table134[[#This Row],[Financial Instrument]],'TWS data'!C:C,0))</f>
        <v>7</v>
      </c>
      <c r="I27" s="34">
        <v>4</v>
      </c>
      <c r="J27" s="162">
        <f t="shared" si="0"/>
        <v>-3</v>
      </c>
      <c r="K27" s="39">
        <f>Table134[[#This Row],[Last price]]*Table134[[#This Row],[Current Quantity]]</f>
        <v>0</v>
      </c>
      <c r="L27" s="142" t="e">
        <f>Table134[[#This Row],[Current Value Allocation]]/$K$2</f>
        <v>#DIV/0!</v>
      </c>
      <c r="M27" s="40"/>
    </row>
    <row r="28" spans="1:17" ht="25.5" x14ac:dyDescent="0.25">
      <c r="A28" s="33" t="s">
        <v>128</v>
      </c>
      <c r="B28" s="33" t="s">
        <v>54</v>
      </c>
      <c r="C28" s="34" t="s">
        <v>55</v>
      </c>
      <c r="D28" s="35">
        <v>4.4443999999999997E-2</v>
      </c>
      <c r="E28" s="73">
        <f>Table134[[#This Row],[Target Allocation (%)]]*$C$2*$C$3</f>
        <v>1046521.7710776359</v>
      </c>
      <c r="F28" s="36">
        <f>INDEX('TWS data'!L:L,MATCH(Table134[[#This Row],[Financial Instrument]],'TWS data'!C:C,0))</f>
        <v>0</v>
      </c>
      <c r="G28" s="37" t="e">
        <f>Table134[[#This Row],[Target Value Allocation (USD)]]/Table134[[#This Row],[Last price]]</f>
        <v>#DIV/0!</v>
      </c>
      <c r="H28" s="34">
        <f>INDEX('TWS data'!F:F,MATCH(Table134[[#This Row],[Financial Instrument]],'TWS data'!C:C,0))</f>
        <v>7</v>
      </c>
      <c r="I28" s="34">
        <v>4</v>
      </c>
      <c r="J28" s="162">
        <f t="shared" si="0"/>
        <v>-3</v>
      </c>
      <c r="K28" s="39">
        <f>Table134[[#This Row],[Last price]]*Table134[[#This Row],[Current Quantity]]</f>
        <v>0</v>
      </c>
      <c r="L28" s="142" t="e">
        <f>Table134[[#This Row],[Current Value Allocation]]/$K$2</f>
        <v>#DIV/0!</v>
      </c>
      <c r="M28" s="40"/>
    </row>
    <row r="29" spans="1:17" ht="25.5" x14ac:dyDescent="0.25">
      <c r="A29" s="33" t="s">
        <v>128</v>
      </c>
      <c r="B29" s="33" t="s">
        <v>58</v>
      </c>
      <c r="C29" s="34" t="s">
        <v>59</v>
      </c>
      <c r="D29" s="35">
        <v>4.4443999999999997E-2</v>
      </c>
      <c r="E29" s="73">
        <f>Table134[[#This Row],[Target Allocation (%)]]*$C$2*$C$3</f>
        <v>1046521.7710776359</v>
      </c>
      <c r="F29" s="36">
        <f>INDEX('TWS data'!L:L,MATCH(Table134[[#This Row],[Financial Instrument]],'TWS data'!C:C,0))</f>
        <v>0</v>
      </c>
      <c r="G29" s="37" t="e">
        <f>Table134[[#This Row],[Target Value Allocation (USD)]]/Table134[[#This Row],[Last price]]</f>
        <v>#DIV/0!</v>
      </c>
      <c r="H29" s="34">
        <f>INDEX('TWS data'!F:F,MATCH(Table134[[#This Row],[Financial Instrument]],'TWS data'!C:C,0))</f>
        <v>5</v>
      </c>
      <c r="I29" s="34">
        <v>9</v>
      </c>
      <c r="J29" s="162">
        <f t="shared" si="0"/>
        <v>4</v>
      </c>
      <c r="K29" s="39">
        <f>Table134[[#This Row],[Last price]]*Table134[[#This Row],[Current Quantity]]</f>
        <v>0</v>
      </c>
      <c r="L29" s="142" t="e">
        <f>Table134[[#This Row],[Current Value Allocation]]/$K$2</f>
        <v>#DIV/0!</v>
      </c>
      <c r="M29" s="40"/>
    </row>
    <row r="30" spans="1:17" ht="25.5" x14ac:dyDescent="0.25">
      <c r="A30" s="33" t="s">
        <v>128</v>
      </c>
      <c r="B30" s="33" t="s">
        <v>62</v>
      </c>
      <c r="C30" s="34" t="s">
        <v>63</v>
      </c>
      <c r="D30" s="35">
        <v>4.4443999999999997E-2</v>
      </c>
      <c r="E30" s="73">
        <f>Table134[[#This Row],[Target Allocation (%)]]*$C$2*$C$3</f>
        <v>1046521.7710776359</v>
      </c>
      <c r="F30" s="36">
        <f>INDEX('TWS data'!L:L,MATCH(Table134[[#This Row],[Financial Instrument]],'TWS data'!C:C,0))</f>
        <v>0</v>
      </c>
      <c r="G30" s="37" t="e">
        <f>Table134[[#This Row],[Target Value Allocation (USD)]]/Table134[[#This Row],[Last price]]</f>
        <v>#DIV/0!</v>
      </c>
      <c r="H30" s="34">
        <f>INDEX('TWS data'!F:F,MATCH(Table134[[#This Row],[Financial Instrument]],'TWS data'!C:C,0))</f>
        <v>9</v>
      </c>
      <c r="I30" s="34">
        <v>6</v>
      </c>
      <c r="J30" s="162">
        <f t="shared" si="0"/>
        <v>-3</v>
      </c>
      <c r="K30" s="39">
        <f>Table134[[#This Row],[Last price]]*Table134[[#This Row],[Current Quantity]]</f>
        <v>0</v>
      </c>
      <c r="L30" s="142" t="e">
        <f>Table134[[#This Row],[Current Value Allocation]]/$K$2</f>
        <v>#DIV/0!</v>
      </c>
      <c r="M30" s="40"/>
    </row>
    <row r="31" spans="1:17" ht="25.5" x14ac:dyDescent="0.25">
      <c r="A31" s="33" t="s">
        <v>128</v>
      </c>
      <c r="B31" s="33" t="s">
        <v>39</v>
      </c>
      <c r="C31" s="34" t="s">
        <v>40</v>
      </c>
      <c r="D31" s="35">
        <v>4.4443999999999997E-2</v>
      </c>
      <c r="E31" s="73">
        <f>Table134[[#This Row],[Target Allocation (%)]]*$C$2*$C$3</f>
        <v>1046521.7710776359</v>
      </c>
      <c r="F31" s="36">
        <f>INDEX('TWS data'!L:L,MATCH(Table134[[#This Row],[Financial Instrument]],'TWS data'!C:C,0))</f>
        <v>0</v>
      </c>
      <c r="G31" s="37" t="e">
        <f>Table134[[#This Row],[Target Value Allocation (USD)]]/Table134[[#This Row],[Last price]]</f>
        <v>#DIV/0!</v>
      </c>
      <c r="H31" s="34">
        <f>INDEX('TWS data'!F:F,MATCH(Table134[[#This Row],[Financial Instrument]],'TWS data'!C:C,0))</f>
        <v>6</v>
      </c>
      <c r="I31" s="34">
        <v>11</v>
      </c>
      <c r="J31" s="162">
        <f t="shared" si="0"/>
        <v>5</v>
      </c>
      <c r="K31" s="39">
        <f>Table134[[#This Row],[Last price]]*Table134[[#This Row],[Current Quantity]]</f>
        <v>0</v>
      </c>
      <c r="L31" s="142" t="e">
        <f>Table134[[#This Row],[Current Value Allocation]]/$K$2</f>
        <v>#DIV/0!</v>
      </c>
      <c r="M31" s="40"/>
    </row>
    <row r="32" spans="1:17" ht="26.25" x14ac:dyDescent="0.25">
      <c r="A32" s="43" t="s">
        <v>128</v>
      </c>
      <c r="B32" s="82" t="s">
        <v>98</v>
      </c>
      <c r="C32" s="83" t="s">
        <v>99</v>
      </c>
      <c r="D32" s="84">
        <v>0.05</v>
      </c>
      <c r="E32" s="73">
        <f>Table134[[#This Row],[Target Allocation (%)]]*$C$2*$C$3</f>
        <v>1177348.7659500001</v>
      </c>
      <c r="F32" s="36">
        <f>INDEX('TWS data'!L:L,MATCH(Table134[[#This Row],[Financial Instrument]],'TWS data'!C:C,0))</f>
        <v>0</v>
      </c>
      <c r="G32" s="86" t="e">
        <f>Table134[[#This Row],[Target Value Allocation (USD)]]/Table134[[#This Row],[Last price]]</f>
        <v>#DIV/0!</v>
      </c>
      <c r="H32" s="34">
        <f>INDEX('TWS data'!F:F,MATCH(Table134[[#This Row],[Financial Instrument]],'TWS data'!C:C,0))</f>
        <v>5</v>
      </c>
      <c r="I32" s="83">
        <v>5</v>
      </c>
      <c r="J32" s="162">
        <f t="shared" si="0"/>
        <v>0</v>
      </c>
      <c r="K32" s="39">
        <f>Table134[[#This Row],[Last price]]*Table134[[#This Row],[Current Quantity]]</f>
        <v>0</v>
      </c>
      <c r="L32" s="142" t="e">
        <f>Table134[[#This Row],[Current Value Allocation]]/$K$2</f>
        <v>#DIV/0!</v>
      </c>
      <c r="M32" s="87"/>
    </row>
    <row r="33" spans="1:17" ht="26.25" x14ac:dyDescent="0.25">
      <c r="A33" s="34" t="s">
        <v>128</v>
      </c>
      <c r="B33" s="89" t="s">
        <v>94</v>
      </c>
      <c r="C33" s="90" t="s">
        <v>95</v>
      </c>
      <c r="D33" s="150">
        <v>0.05</v>
      </c>
      <c r="E33" s="73">
        <f>Table134[[#This Row],[Target Allocation (%)]]*$C$2*$C$3</f>
        <v>1177348.7659500001</v>
      </c>
      <c r="F33" s="36">
        <f>INDEX('TWS data'!L:L,MATCH(Table134[[#This Row],[Financial Instrument]],'TWS data'!C:C,0))</f>
        <v>0</v>
      </c>
      <c r="G33" s="93" t="e">
        <f>Table134[[#This Row],[Target Value Allocation (USD)]]/Table134[[#This Row],[Last price]]</f>
        <v>#DIV/0!</v>
      </c>
      <c r="H33" s="34">
        <f>INDEX('TWS data'!F:F,MATCH(Table134[[#This Row],[Financial Instrument]],'TWS data'!C:C,0))</f>
        <v>7</v>
      </c>
      <c r="I33" s="90">
        <v>7</v>
      </c>
      <c r="J33" s="162">
        <f t="shared" si="0"/>
        <v>0</v>
      </c>
      <c r="K33" s="39">
        <f>Table134[[#This Row],[Last price]]*Table134[[#This Row],[Current Quantity]]</f>
        <v>0</v>
      </c>
      <c r="L33" s="143" t="e">
        <f>Table134[[#This Row],[Current Value Allocation]]/$K$2</f>
        <v>#DIV/0!</v>
      </c>
      <c r="M33" s="94"/>
    </row>
    <row r="34" spans="1:17" s="100" customFormat="1" ht="25.5" x14ac:dyDescent="0.2">
      <c r="A34" s="52"/>
      <c r="B34" s="52" t="s">
        <v>68</v>
      </c>
      <c r="C34" s="52" t="s">
        <v>69</v>
      </c>
      <c r="D34" s="166">
        <v>4.4443999999999997E-2</v>
      </c>
      <c r="E34" s="54">
        <f>Table134[[#This Row],[Target Allocation (%)]]*$C$2*$C$3</f>
        <v>1046521.7710776359</v>
      </c>
      <c r="F34" s="36">
        <f>INDEX('TWS data'!L:L,MATCH(Table134[[#This Row],[Financial Instrument]],'TWS data'!C:C,0))</f>
        <v>0</v>
      </c>
      <c r="G34" s="55" t="e">
        <f>Table134[[#This Row],[Target Value Allocation (USD)]]/Table134[[#This Row],[Last price]]</f>
        <v>#DIV/0!</v>
      </c>
      <c r="H34" s="34">
        <f>INDEX('TWS data'!F:F,MATCH(Table134[[#This Row],[Financial Instrument]],'TWS data'!C:C,0))</f>
        <v>10</v>
      </c>
      <c r="I34" s="52">
        <v>7</v>
      </c>
      <c r="J34" s="167">
        <f t="shared" si="0"/>
        <v>-3</v>
      </c>
      <c r="K34" s="168">
        <f>Table134[[#This Row],[Last price]]*Table134[[#This Row],[Current Quantity]]</f>
        <v>0</v>
      </c>
      <c r="L34" s="148" t="e">
        <f>Table134[[#This Row],[Current Value Allocation]]/$K$2</f>
        <v>#DIV/0!</v>
      </c>
      <c r="M34" s="169"/>
    </row>
    <row r="35" spans="1:17" s="15" customFormat="1" ht="25.5" x14ac:dyDescent="0.2">
      <c r="A35" s="58" t="s">
        <v>159</v>
      </c>
      <c r="B35" s="186" t="s">
        <v>116</v>
      </c>
      <c r="C35" s="187" t="s">
        <v>117</v>
      </c>
      <c r="D35" s="188">
        <v>0.05</v>
      </c>
      <c r="E35" s="173">
        <f>Table134[[#This Row],[Target Allocation (%)]]*$C$2*$C$3</f>
        <v>1177348.7659500001</v>
      </c>
      <c r="F35" s="36">
        <f>INDEX('TWS data'!L:L,MATCH(Table134[[#This Row],[Financial Instrument]],'TWS data'!C:C,0))</f>
        <v>0</v>
      </c>
      <c r="G35" s="189" t="e">
        <f>Table134[[#This Row],[Target Value Allocation (USD)]]/Table134[[#This Row],[Last price]]</f>
        <v>#DIV/0!</v>
      </c>
      <c r="H35" s="34">
        <f>INDEX('TWS data'!F:F,MATCH(Table134[[#This Row],[Financial Instrument]],'TWS data'!C:C,0))</f>
        <v>5</v>
      </c>
      <c r="I35" s="187">
        <v>5</v>
      </c>
      <c r="J35" s="175">
        <f t="shared" si="0"/>
        <v>0</v>
      </c>
      <c r="K35" s="176">
        <f>Table134[[#This Row],[Last price]]*Table134[[#This Row],[Current Quantity]]</f>
        <v>0</v>
      </c>
      <c r="L35" s="177" t="e">
        <f>Table134[[#This Row],[Current Value Allocation]]/$K$2</f>
        <v>#DIV/0!</v>
      </c>
      <c r="M35" s="190"/>
    </row>
    <row r="36" spans="1:17" s="100" customFormat="1" ht="25.5" x14ac:dyDescent="0.2">
      <c r="A36" s="52"/>
      <c r="B36" s="95" t="s">
        <v>107</v>
      </c>
      <c r="C36" s="95" t="s">
        <v>108</v>
      </c>
      <c r="D36" s="191">
        <v>0.05</v>
      </c>
      <c r="E36" s="54">
        <f>Table134[[#This Row],[Target Allocation (%)]]*$C$2*$C$3</f>
        <v>1177348.7659500001</v>
      </c>
      <c r="F36" s="36">
        <f>INDEX('TWS data'!L:L,MATCH(Table134[[#This Row],[Financial Instrument]],'TWS data'!C:C,0))</f>
        <v>0</v>
      </c>
      <c r="G36" s="98" t="e">
        <f>Table134[[#This Row],[Target Value Allocation (USD)]]/Table134[[#This Row],[Last price]]</f>
        <v>#DIV/0!</v>
      </c>
      <c r="H36" s="34">
        <f>INDEX('TWS data'!F:F,MATCH(Table134[[#This Row],[Financial Instrument]],'TWS data'!C:C,0))</f>
        <v>8</v>
      </c>
      <c r="I36" s="95">
        <v>8</v>
      </c>
      <c r="J36" s="167">
        <f t="shared" si="0"/>
        <v>0</v>
      </c>
      <c r="K36" s="168">
        <f>Table134[[#This Row],[Last price]]*Table134[[#This Row],[Current Quantity]]</f>
        <v>0</v>
      </c>
      <c r="L36" s="148" t="e">
        <f>Table134[[#This Row],[Current Value Allocation]]/$K$2</f>
        <v>#DIV/0!</v>
      </c>
      <c r="M36" s="99"/>
    </row>
    <row r="37" spans="1:17" s="31" customFormat="1" ht="25.5" customHeight="1" x14ac:dyDescent="0.2">
      <c r="A37" s="34" t="s">
        <v>130</v>
      </c>
      <c r="B37" s="120" t="s">
        <v>104</v>
      </c>
      <c r="C37" s="121" t="s">
        <v>105</v>
      </c>
      <c r="D37" s="192">
        <v>0.05</v>
      </c>
      <c r="E37" s="73">
        <f>Table134[[#This Row],[Target Allocation (%)]]*$C$2*$C$3</f>
        <v>1177348.7659500001</v>
      </c>
      <c r="F37" s="36">
        <f>INDEX('TWS data'!L:L,MATCH(Table134[[#This Row],[Financial Instrument]],'TWS data'!C:C,0))</f>
        <v>0</v>
      </c>
      <c r="G37" s="124" t="e">
        <f>Table134[[#This Row],[Target Value Allocation (USD)]]/Table134[[#This Row],[Last price]]</f>
        <v>#DIV/0!</v>
      </c>
      <c r="H37" s="34">
        <f>INDEX('TWS data'!F:F,MATCH(Table134[[#This Row],[Financial Instrument]],'TWS data'!C:C,0))</f>
        <v>9</v>
      </c>
      <c r="I37" s="121">
        <v>9</v>
      </c>
      <c r="J37" s="162">
        <f t="shared" si="0"/>
        <v>0</v>
      </c>
      <c r="K37" s="39">
        <f>Table134[[#This Row],[Last price]]*Table134[[#This Row],[Current Quantity]]</f>
        <v>0</v>
      </c>
      <c r="L37" s="149" t="e">
        <f>Table134[[#This Row],[Current Value Allocation]]/$K$2</f>
        <v>#DIV/0!</v>
      </c>
      <c r="M37" s="126"/>
      <c r="N37" s="2"/>
      <c r="Q37" s="42"/>
    </row>
    <row r="38" spans="1:17" s="31" customFormat="1" ht="25.5" customHeight="1" x14ac:dyDescent="0.2">
      <c r="A38" s="70"/>
      <c r="B38" s="33" t="s">
        <v>50</v>
      </c>
      <c r="C38" s="34" t="s">
        <v>51</v>
      </c>
      <c r="D38" s="35">
        <v>0.05</v>
      </c>
      <c r="E38" s="73">
        <f>Table134[[#This Row],[Target Allocation (%)]]*$C$2*$C$3</f>
        <v>1177348.7659500001</v>
      </c>
      <c r="F38" s="36">
        <f>INDEX('TWS data'!L:L,MATCH(Table134[[#This Row],[Financial Instrument]],'TWS data'!C:C,0))</f>
        <v>0</v>
      </c>
      <c r="G38" s="37" t="e">
        <f>Table134[[#This Row],[Target Value Allocation (USD)]]/Table134[[#This Row],[Last price]]</f>
        <v>#DIV/0!</v>
      </c>
      <c r="H38" s="34">
        <f>INDEX('TWS data'!F:F,MATCH(Table134[[#This Row],[Financial Instrument]],'TWS data'!C:C,0))</f>
        <v>10</v>
      </c>
      <c r="I38" s="34">
        <v>10</v>
      </c>
      <c r="J38" s="162">
        <f t="shared" si="0"/>
        <v>0</v>
      </c>
      <c r="K38" s="39">
        <f>Table134[[#This Row],[Last price]]*Table134[[#This Row],[Current Quantity]]</f>
        <v>0</v>
      </c>
      <c r="L38" s="142" t="e">
        <f>Table134[[#This Row],[Current Value Allocation]]/$K$2</f>
        <v>#DIV/0!</v>
      </c>
      <c r="M38" s="40"/>
      <c r="N38" s="2"/>
    </row>
    <row r="39" spans="1:17" s="31" customFormat="1" ht="25.5" customHeight="1" x14ac:dyDescent="0.2">
      <c r="A39" s="33"/>
      <c r="B39" s="33" t="s">
        <v>253</v>
      </c>
      <c r="C39" s="34" t="s">
        <v>175</v>
      </c>
      <c r="D39" s="35">
        <v>4.4443999999999997E-2</v>
      </c>
      <c r="E39" s="73">
        <f>Table134[[#This Row],[Target Allocation (%)]]*$C$2*$C$3</f>
        <v>1046521.7710776359</v>
      </c>
      <c r="F39" s="36" t="e">
        <f>INDEX('TWS data'!L:L,MATCH(Table134[[#This Row],[Financial Instrument]],'TWS data'!C:C,0))</f>
        <v>#N/A</v>
      </c>
      <c r="G39" s="37" t="e">
        <f>Table134[[#This Row],[Target Value Allocation (USD)]]/Table134[[#This Row],[Last price]]</f>
        <v>#N/A</v>
      </c>
      <c r="H39" s="34" t="e">
        <f>INDEX('TWS data'!F:F,MATCH(Table134[[#This Row],[Financial Instrument]],'TWS data'!C:C,0))</f>
        <v>#N/A</v>
      </c>
      <c r="I39" s="34">
        <v>4</v>
      </c>
      <c r="J39" s="162" t="e">
        <f t="shared" si="0"/>
        <v>#N/A</v>
      </c>
      <c r="K39" s="39" t="e">
        <f>Table134[[#This Row],[Last price]]*Table134[[#This Row],[Current Quantity]]</f>
        <v>#N/A</v>
      </c>
      <c r="L39" s="142" t="e">
        <f>Table134[[#This Row],[Current Value Allocation]]/$K$2</f>
        <v>#N/A</v>
      </c>
      <c r="M39" s="40"/>
      <c r="N39" s="2"/>
    </row>
    <row r="40" spans="1:17" s="31" customFormat="1" ht="25.5" customHeight="1" x14ac:dyDescent="0.2">
      <c r="A40" s="33" t="s">
        <v>130</v>
      </c>
      <c r="B40" s="193" t="s">
        <v>5</v>
      </c>
      <c r="C40" s="58" t="s">
        <v>27</v>
      </c>
      <c r="D40" s="58">
        <v>0.05</v>
      </c>
      <c r="E40" s="194">
        <f>Table134[[#This Row],[Target Allocation (%)]]*$C$2*$C$3</f>
        <v>1177348.7659500001</v>
      </c>
      <c r="F40" s="195">
        <f>INDEX('TWS data'!L:L,MATCH(Table134[[#This Row],[Financial Instrument]],'TWS data'!C:C,0))</f>
        <v>0</v>
      </c>
      <c r="G40" s="196" t="e">
        <f>Table134[[#This Row],[Target Value Allocation (USD)]]/Table134[[#This Row],[Last price]]</f>
        <v>#DIV/0!</v>
      </c>
      <c r="H40" s="58">
        <f>INDEX('TWS data'!F:F,MATCH(Table134[[#This Row],[Financial Instrument]],'TWS data'!C:C,0))</f>
        <v>71085</v>
      </c>
      <c r="I40" s="58">
        <v>68016</v>
      </c>
      <c r="J40" s="197">
        <f t="shared" si="0"/>
        <v>-3069</v>
      </c>
      <c r="K40" s="198">
        <f>Table134[[#This Row],[Last price]]*Table134[[#This Row],[Current Quantity]]</f>
        <v>0</v>
      </c>
      <c r="L40" s="199" t="e">
        <f>Table134[[#This Row],[Current Value Allocation]]/$K$2</f>
        <v>#DIV/0!</v>
      </c>
      <c r="M40" s="200"/>
      <c r="N40" s="2"/>
    </row>
    <row r="41" spans="1:17" s="31" customFormat="1" ht="25.5" customHeight="1" x14ac:dyDescent="0.2">
      <c r="A41" s="33" t="s">
        <v>130</v>
      </c>
      <c r="B41" s="155"/>
      <c r="C41" s="156"/>
      <c r="D41" s="201">
        <f>SUM(D14:D40)</f>
        <v>0.82610800000000018</v>
      </c>
      <c r="E41" s="202">
        <f>SUM(E14:E40)</f>
        <v>19452344.686828453</v>
      </c>
      <c r="F41" s="36"/>
      <c r="G41" s="196"/>
      <c r="H41" s="34"/>
      <c r="I41" s="156"/>
      <c r="J41" s="197"/>
      <c r="K41" s="203" t="e">
        <f>SUM(K14:K40)</f>
        <v>#N/A</v>
      </c>
      <c r="L41" s="160" t="e">
        <f>Table134[[#This Row],[Current Value Allocation]]/$K$2</f>
        <v>#N/A</v>
      </c>
      <c r="M41" s="198"/>
      <c r="N41" s="2"/>
    </row>
    <row r="42" spans="1:17" s="31" customFormat="1" ht="25.5" customHeight="1" x14ac:dyDescent="0.2">
      <c r="A42" s="33" t="s">
        <v>130</v>
      </c>
      <c r="B42" s="82" t="s">
        <v>110</v>
      </c>
      <c r="C42" s="83" t="s">
        <v>111</v>
      </c>
      <c r="D42" s="84">
        <v>4.4443999999999997E-2</v>
      </c>
      <c r="E42" s="73">
        <f>Table134[[#This Row],[Target Allocation (%)]]*$C$2*$C$3</f>
        <v>1046521.7710776359</v>
      </c>
      <c r="F42" s="36">
        <f>INDEX('TWS data'!L:L,MATCH(Table134[[#This Row],[Financial Instrument]],'TWS data'!C:C,0))</f>
        <v>0</v>
      </c>
      <c r="G42" s="86" t="e">
        <f>Table134[[#This Row],[Target Value Allocation (USD)]]/Table134[[#This Row],[Last price]]</f>
        <v>#DIV/0!</v>
      </c>
      <c r="H42" s="34">
        <f>INDEX('TWS data'!F:F,MATCH(Table134[[#This Row],[Financial Instrument]],'TWS data'!C:C,0))</f>
        <v>4</v>
      </c>
      <c r="I42" s="83">
        <v>3</v>
      </c>
      <c r="J42" s="162">
        <f>I42-H42</f>
        <v>-1</v>
      </c>
      <c r="K42" s="39">
        <f>Table134[[#This Row],[Last price]]*Table134[[#This Row],[Current Quantity]]</f>
        <v>0</v>
      </c>
      <c r="L42" s="142" t="e">
        <f>Table134[[#This Row],[Current Value Allocation]]/$K$2</f>
        <v>#DIV/0!</v>
      </c>
      <c r="M42" s="87"/>
      <c r="N42" s="2"/>
    </row>
    <row r="43" spans="1:17" s="31" customFormat="1" ht="25.5" customHeight="1" x14ac:dyDescent="0.2">
      <c r="A43" s="33"/>
      <c r="B43" s="82" t="s">
        <v>101</v>
      </c>
      <c r="C43" s="83" t="s">
        <v>102</v>
      </c>
      <c r="D43" s="84">
        <v>0.05</v>
      </c>
      <c r="E43" s="73">
        <f>Table134[[#This Row],[Target Allocation (%)]]*$C$2*$C$3</f>
        <v>1177348.7659500001</v>
      </c>
      <c r="F43" s="36">
        <f>INDEX('TWS data'!L:L,MATCH(Table134[[#This Row],[Financial Instrument]],'TWS data'!C:C,0))</f>
        <v>0</v>
      </c>
      <c r="G43" s="86" t="e">
        <f>Table134[[#This Row],[Target Value Allocation (USD)]]/Table134[[#This Row],[Last price]]</f>
        <v>#DIV/0!</v>
      </c>
      <c r="H43" s="34">
        <f>INDEX('TWS data'!F:F,MATCH(Table134[[#This Row],[Financial Instrument]],'TWS data'!C:C,0))</f>
        <v>6</v>
      </c>
      <c r="I43" s="83">
        <v>7</v>
      </c>
      <c r="J43" s="162">
        <f>I43-H43</f>
        <v>1</v>
      </c>
      <c r="K43" s="39">
        <f>Table134[[#This Row],[Last price]]*Table134[[#This Row],[Current Quantity]]</f>
        <v>0</v>
      </c>
      <c r="L43" s="142" t="e">
        <f>Table134[[#This Row],[Current Value Allocation]]/$K$2</f>
        <v>#DIV/0!</v>
      </c>
      <c r="M43" s="87"/>
      <c r="N43" s="2"/>
    </row>
    <row r="44" spans="1:17" s="31" customFormat="1" ht="25.5" x14ac:dyDescent="0.2">
      <c r="A44" s="33"/>
      <c r="B44" s="33" t="s">
        <v>66</v>
      </c>
      <c r="C44" s="34" t="s">
        <v>67</v>
      </c>
      <c r="D44" s="35">
        <v>4.4443999999999997E-2</v>
      </c>
      <c r="E44" s="73">
        <f>Table134[[#This Row],[Target Allocation (%)]]*$C$2*$C$3</f>
        <v>1046521.7710776359</v>
      </c>
      <c r="F44" s="36">
        <f>INDEX('TWS data'!L:L,MATCH(Table134[[#This Row],[Financial Instrument]],'TWS data'!C:C,0))</f>
        <v>0</v>
      </c>
      <c r="G44" s="37" t="e">
        <f>Table134[[#This Row],[Target Value Allocation (USD)]]/Table134[[#This Row],[Last price]]</f>
        <v>#DIV/0!</v>
      </c>
      <c r="H44" s="34">
        <f>INDEX('TWS data'!F:F,MATCH(Table134[[#This Row],[Financial Instrument]],'TWS data'!C:C,0))</f>
        <v>2</v>
      </c>
      <c r="I44" s="34">
        <v>2</v>
      </c>
      <c r="J44" s="162">
        <f>I44-H44</f>
        <v>0</v>
      </c>
      <c r="K44" s="39">
        <f>Table134[[#This Row],[Last price]]*Table134[[#This Row],[Current Quantity]]</f>
        <v>0</v>
      </c>
      <c r="L44" s="142" t="e">
        <f>Table134[[#This Row],[Current Value Allocation]]/$K$2</f>
        <v>#DIV/0!</v>
      </c>
      <c r="M44" s="40"/>
      <c r="N44" s="2"/>
    </row>
    <row r="45" spans="1:17" s="31" customFormat="1" ht="25.5" customHeight="1" x14ac:dyDescent="0.2">
      <c r="A45" s="33"/>
      <c r="B45" s="193"/>
      <c r="C45" s="58"/>
      <c r="D45" s="204">
        <f>SUM(D28:D40)</f>
        <v>0.61666399999999999</v>
      </c>
      <c r="E45" s="202">
        <f>SUM(E28:E40)</f>
        <v>14520571.988115815</v>
      </c>
      <c r="F45" s="205"/>
      <c r="G45" s="205"/>
      <c r="H45" s="206"/>
      <c r="I45" s="206"/>
      <c r="J45" s="207"/>
      <c r="K45" s="203" t="e">
        <f>SUM(K28:K43)</f>
        <v>#N/A</v>
      </c>
      <c r="L45" s="160" t="e">
        <f>Table134[[#This Row],[Current Value Allocation]]/$K$2</f>
        <v>#N/A</v>
      </c>
      <c r="M45" s="200"/>
      <c r="N45" s="2"/>
    </row>
    <row r="46" spans="1:17" s="31" customFormat="1" ht="25.5" customHeight="1" x14ac:dyDescent="0.2">
      <c r="A46" s="33"/>
      <c r="B46" s="155"/>
      <c r="C46" s="156"/>
      <c r="D46" s="208">
        <f>SUM(D38:D44)</f>
        <v>1.1094400000000002</v>
      </c>
      <c r="E46" s="209">
        <f>SUM(E38:E44)</f>
        <v>26123956.297911365</v>
      </c>
      <c r="F46" s="36"/>
      <c r="G46" s="210"/>
      <c r="H46" s="34"/>
      <c r="I46" s="156"/>
      <c r="J46" s="197"/>
      <c r="K46" s="211" t="e">
        <f>SUM(K38:K44)</f>
        <v>#N/A</v>
      </c>
      <c r="L46" s="212" t="e">
        <f>Table134[[#This Row],[Current Value Allocation]]/$K$2</f>
        <v>#N/A</v>
      </c>
      <c r="M46" s="213"/>
      <c r="N46" s="2"/>
    </row>
    <row r="47" spans="1:17" s="31" customFormat="1" ht="12.75" x14ac:dyDescent="0.2">
      <c r="A47" s="33" t="s">
        <v>130</v>
      </c>
      <c r="B47" s="193"/>
      <c r="C47" s="58"/>
      <c r="D47" s="201">
        <f>SUM(D27:D45)</f>
        <v>2.2427679999999999</v>
      </c>
      <c r="E47" s="202">
        <f>SUM(E27:E45)</f>
        <v>52810402.742242992</v>
      </c>
      <c r="F47" s="36"/>
      <c r="G47" s="196"/>
      <c r="H47" s="34"/>
      <c r="I47" s="58"/>
      <c r="J47" s="197"/>
      <c r="K47" s="203" t="e">
        <f>SUM(K27:K45)</f>
        <v>#N/A</v>
      </c>
      <c r="L47" s="212" t="e">
        <f>Table134[[#This Row],[Current Value Allocation]]/$K$2</f>
        <v>#N/A</v>
      </c>
      <c r="M47" s="200"/>
      <c r="N47" s="2"/>
    </row>
    <row r="48" spans="1:17" s="31" customFormat="1" ht="12.75" x14ac:dyDescent="0.2">
      <c r="A48" s="33" t="s">
        <v>130</v>
      </c>
      <c r="B48" s="33"/>
      <c r="C48" s="34"/>
      <c r="D48" s="35"/>
      <c r="E48" s="73"/>
      <c r="F48" s="36"/>
      <c r="G48" s="37"/>
      <c r="H48" s="34"/>
      <c r="I48" s="34"/>
      <c r="J48" s="162"/>
      <c r="K48" s="39"/>
      <c r="L48" s="142"/>
      <c r="M48" s="40"/>
      <c r="N48" s="2"/>
    </row>
    <row r="49" spans="1:18" s="31" customFormat="1" ht="12.75" x14ac:dyDescent="0.2">
      <c r="A49" s="33" t="s">
        <v>130</v>
      </c>
      <c r="B49" s="33"/>
      <c r="C49" s="34"/>
      <c r="D49" s="35"/>
      <c r="E49" s="73"/>
      <c r="F49" s="36"/>
      <c r="G49" s="37"/>
      <c r="H49" s="34"/>
      <c r="I49" s="34"/>
      <c r="J49" s="162"/>
      <c r="K49" s="39"/>
      <c r="L49" s="142"/>
      <c r="M49" s="40"/>
      <c r="N49" s="2"/>
    </row>
    <row r="50" spans="1:18" s="31" customFormat="1" ht="12.75" x14ac:dyDescent="0.2">
      <c r="A50" s="33" t="s">
        <v>130</v>
      </c>
      <c r="B50" s="33"/>
      <c r="C50" s="34"/>
      <c r="D50" s="35"/>
      <c r="E50" s="73"/>
      <c r="F50" s="36"/>
      <c r="G50" s="37"/>
      <c r="H50" s="34"/>
      <c r="I50" s="34"/>
      <c r="J50" s="162"/>
      <c r="K50" s="39"/>
      <c r="L50" s="142"/>
      <c r="M50" s="40"/>
      <c r="N50" s="2"/>
    </row>
    <row r="51" spans="1:18" s="31" customFormat="1" ht="12.75" x14ac:dyDescent="0.2">
      <c r="A51" s="33"/>
      <c r="B51" s="33"/>
      <c r="C51" s="34"/>
      <c r="D51" s="79"/>
      <c r="E51" s="73"/>
      <c r="F51" s="36"/>
      <c r="G51" s="37"/>
      <c r="H51" s="37"/>
      <c r="I51" s="34"/>
      <c r="J51" s="214"/>
      <c r="K51" s="80"/>
      <c r="L51" s="144"/>
      <c r="M51" s="81"/>
      <c r="N51" s="2"/>
    </row>
    <row r="52" spans="1:18" s="31" customFormat="1" ht="12.75" x14ac:dyDescent="0.2">
      <c r="A52" s="33" t="s">
        <v>130</v>
      </c>
      <c r="B52" s="33"/>
      <c r="C52" s="34"/>
      <c r="D52" s="79"/>
      <c r="E52" s="73"/>
      <c r="F52" s="36"/>
      <c r="G52" s="37"/>
      <c r="H52" s="37"/>
      <c r="I52" s="34"/>
      <c r="J52" s="214"/>
      <c r="K52" s="80"/>
      <c r="L52" s="144"/>
      <c r="M52" s="81"/>
      <c r="N52" s="2"/>
    </row>
    <row r="53" spans="1:18" s="31" customFormat="1" ht="12.75" x14ac:dyDescent="0.2">
      <c r="A53" s="33"/>
      <c r="B53" s="33"/>
      <c r="C53" s="34"/>
      <c r="D53" s="79"/>
      <c r="E53" s="73"/>
      <c r="F53" s="36"/>
      <c r="G53" s="37"/>
      <c r="H53" s="37"/>
      <c r="I53" s="34"/>
      <c r="J53" s="214"/>
      <c r="K53" s="39"/>
      <c r="L53" s="144"/>
      <c r="M53" s="81"/>
      <c r="N53" s="2"/>
    </row>
    <row r="54" spans="1:18" s="31" customFormat="1" ht="12.75" x14ac:dyDescent="0.2">
      <c r="A54" s="43"/>
      <c r="B54" s="33"/>
      <c r="C54" s="34"/>
      <c r="D54" s="79"/>
      <c r="E54" s="73"/>
      <c r="F54" s="36"/>
      <c r="G54" s="37"/>
      <c r="H54" s="37"/>
      <c r="I54" s="34"/>
      <c r="J54" s="214"/>
      <c r="K54" s="80"/>
      <c r="L54" s="144"/>
      <c r="M54" s="81"/>
      <c r="N54" s="2"/>
    </row>
    <row r="55" spans="1:18" s="31" customFormat="1" ht="12.75" x14ac:dyDescent="0.2">
      <c r="A55" s="34"/>
      <c r="B55" s="43"/>
      <c r="C55" s="44"/>
      <c r="D55" s="215"/>
      <c r="E55" s="73"/>
      <c r="F55" s="37"/>
      <c r="G55" s="47"/>
      <c r="H55" s="34"/>
      <c r="I55" s="44"/>
      <c r="J55" s="214"/>
      <c r="K55" s="80"/>
      <c r="L55" s="143"/>
      <c r="M55" s="216"/>
      <c r="N55" s="2"/>
    </row>
    <row r="56" spans="1:18" s="57" customFormat="1" ht="12.75" x14ac:dyDescent="0.2">
      <c r="A56" s="52"/>
      <c r="B56" s="52"/>
      <c r="C56" s="52"/>
      <c r="D56" s="53"/>
      <c r="E56" s="54"/>
      <c r="F56" s="36"/>
      <c r="G56" s="55"/>
      <c r="H56" s="34"/>
      <c r="I56" s="52"/>
      <c r="J56" s="217"/>
      <c r="K56" s="168"/>
      <c r="L56" s="148"/>
      <c r="M56" s="52"/>
      <c r="N56" s="100"/>
    </row>
    <row r="57" spans="1:18" s="68" customFormat="1" ht="12.75" x14ac:dyDescent="0.2">
      <c r="A57" s="58" t="s">
        <v>185</v>
      </c>
      <c r="B57" s="186"/>
      <c r="C57" s="187"/>
      <c r="D57" s="218"/>
      <c r="E57" s="219"/>
      <c r="F57" s="36"/>
      <c r="G57" s="189"/>
      <c r="H57" s="34"/>
      <c r="I57" s="187"/>
      <c r="J57" s="220"/>
      <c r="K57" s="173"/>
      <c r="L57" s="221"/>
      <c r="M57" s="190"/>
      <c r="N57" s="15"/>
    </row>
    <row r="58" spans="1:18" s="57" customFormat="1" ht="12.75" x14ac:dyDescent="0.2">
      <c r="A58" s="52"/>
      <c r="B58" s="95"/>
      <c r="C58" s="95"/>
      <c r="D58" s="96"/>
      <c r="E58" s="97"/>
      <c r="F58" s="36"/>
      <c r="G58" s="98"/>
      <c r="H58" s="34"/>
      <c r="I58" s="95"/>
      <c r="J58" s="217"/>
      <c r="K58" s="54"/>
      <c r="L58" s="148"/>
      <c r="M58" s="99"/>
      <c r="N58" s="100"/>
    </row>
    <row r="59" spans="1:18" s="31" customFormat="1" ht="12.75" x14ac:dyDescent="0.2">
      <c r="A59" s="34"/>
      <c r="B59" s="70"/>
      <c r="C59" s="71"/>
      <c r="D59" s="72"/>
      <c r="E59" s="73"/>
      <c r="F59" s="36"/>
      <c r="G59" s="74"/>
      <c r="H59" s="34"/>
      <c r="I59" s="71"/>
      <c r="J59" s="162"/>
      <c r="K59" s="39"/>
      <c r="L59" s="149"/>
      <c r="M59" s="77"/>
      <c r="N59" s="2"/>
    </row>
    <row r="60" spans="1:18" s="31" customFormat="1" ht="12.75" x14ac:dyDescent="0.2">
      <c r="A60" s="70" t="s">
        <v>131</v>
      </c>
      <c r="B60" s="33"/>
      <c r="C60" s="34"/>
      <c r="D60" s="35"/>
      <c r="E60" s="73"/>
      <c r="F60" s="36"/>
      <c r="G60" s="37"/>
      <c r="H60" s="34"/>
      <c r="I60" s="34"/>
      <c r="J60" s="162"/>
      <c r="K60" s="39"/>
      <c r="L60" s="142"/>
      <c r="M60" s="40"/>
      <c r="N60" s="2"/>
    </row>
    <row r="61" spans="1:18" s="31" customFormat="1" ht="12.75" x14ac:dyDescent="0.2">
      <c r="A61" s="33" t="s">
        <v>131</v>
      </c>
      <c r="B61" s="33"/>
      <c r="C61" s="34"/>
      <c r="D61" s="35"/>
      <c r="E61" s="73"/>
      <c r="F61" s="36"/>
      <c r="G61" s="37"/>
      <c r="H61" s="34"/>
      <c r="I61" s="34"/>
      <c r="J61" s="162"/>
      <c r="K61" s="39"/>
      <c r="L61" s="142"/>
      <c r="M61" s="40"/>
      <c r="N61" s="2"/>
      <c r="R61" s="31" t="s">
        <v>188</v>
      </c>
    </row>
    <row r="62" spans="1:18" s="31" customFormat="1" ht="12.75" x14ac:dyDescent="0.2">
      <c r="A62" s="33"/>
      <c r="B62" s="33"/>
      <c r="C62" s="34"/>
      <c r="D62" s="35"/>
      <c r="E62" s="73"/>
      <c r="F62" s="36"/>
      <c r="G62" s="37"/>
      <c r="H62" s="34"/>
      <c r="I62" s="34"/>
      <c r="J62" s="162"/>
      <c r="K62" s="39"/>
      <c r="L62" s="142"/>
      <c r="M62" s="40"/>
      <c r="N62" s="2"/>
    </row>
    <row r="63" spans="1:18" s="31" customFormat="1" ht="12.75" x14ac:dyDescent="0.2">
      <c r="A63" s="33"/>
      <c r="B63" s="33"/>
      <c r="C63" s="34"/>
      <c r="D63" s="35"/>
      <c r="E63" s="73"/>
      <c r="F63" s="36"/>
      <c r="G63" s="37"/>
      <c r="H63" s="34"/>
      <c r="I63" s="34"/>
      <c r="J63" s="162"/>
      <c r="K63" s="39"/>
      <c r="L63" s="142"/>
      <c r="M63" s="40"/>
      <c r="N63" s="2"/>
    </row>
    <row r="64" spans="1:18" s="31" customFormat="1" ht="12.75" x14ac:dyDescent="0.2">
      <c r="A64" s="33"/>
      <c r="B64" s="33"/>
      <c r="C64" s="34"/>
      <c r="D64" s="35"/>
      <c r="E64" s="73"/>
      <c r="F64" s="36"/>
      <c r="G64" s="37"/>
      <c r="H64" s="34"/>
      <c r="I64" s="34"/>
      <c r="J64" s="162"/>
      <c r="K64" s="39"/>
      <c r="L64" s="142"/>
      <c r="M64" s="40"/>
      <c r="N64" s="2"/>
    </row>
    <row r="65" spans="1:14" s="31" customFormat="1" ht="12.75" x14ac:dyDescent="0.2">
      <c r="A65" s="33"/>
      <c r="B65" s="33"/>
      <c r="C65" s="34"/>
      <c r="D65" s="35"/>
      <c r="E65" s="73"/>
      <c r="F65" s="36"/>
      <c r="G65" s="37"/>
      <c r="H65" s="34"/>
      <c r="I65" s="34"/>
      <c r="J65" s="162"/>
      <c r="K65" s="39"/>
      <c r="L65" s="142"/>
      <c r="M65" s="40"/>
      <c r="N65" s="2"/>
    </row>
    <row r="66" spans="1:14" s="31" customFormat="1" ht="12.75" x14ac:dyDescent="0.2">
      <c r="A66" s="33"/>
      <c r="B66" s="33"/>
      <c r="C66" s="34"/>
      <c r="D66" s="35"/>
      <c r="E66" s="73"/>
      <c r="F66" s="36"/>
      <c r="G66" s="37"/>
      <c r="H66" s="34"/>
      <c r="I66" s="34"/>
      <c r="J66" s="162"/>
      <c r="K66" s="39"/>
      <c r="L66" s="142"/>
      <c r="M66" s="40"/>
      <c r="N66" s="2"/>
    </row>
    <row r="67" spans="1:14" s="31" customFormat="1" ht="12.75" x14ac:dyDescent="0.2">
      <c r="A67" s="33"/>
      <c r="B67" s="33"/>
      <c r="C67" s="34"/>
      <c r="D67" s="35"/>
      <c r="E67" s="73"/>
      <c r="F67" s="36"/>
      <c r="G67" s="37"/>
      <c r="H67" s="34"/>
      <c r="I67" s="34"/>
      <c r="J67" s="162"/>
      <c r="K67" s="39"/>
      <c r="L67" s="142"/>
      <c r="M67" s="40"/>
      <c r="N67" s="2"/>
    </row>
    <row r="68" spans="1:14" s="31" customFormat="1" ht="12.75" x14ac:dyDescent="0.2">
      <c r="A68" s="33" t="s">
        <v>131</v>
      </c>
      <c r="B68" s="33"/>
      <c r="C68" s="34"/>
      <c r="D68" s="35"/>
      <c r="E68" s="73"/>
      <c r="F68" s="36"/>
      <c r="G68" s="37"/>
      <c r="H68" s="34"/>
      <c r="I68" s="34"/>
      <c r="J68" s="162"/>
      <c r="K68" s="39"/>
      <c r="L68" s="142"/>
      <c r="M68" s="40"/>
      <c r="N68" s="2"/>
    </row>
    <row r="69" spans="1:14" s="31" customFormat="1" ht="12.75" x14ac:dyDescent="0.2">
      <c r="A69" s="33" t="s">
        <v>131</v>
      </c>
      <c r="B69" s="33"/>
      <c r="C69" s="34"/>
      <c r="D69" s="79"/>
      <c r="E69" s="73"/>
      <c r="F69" s="36"/>
      <c r="G69" s="37"/>
      <c r="H69" s="34"/>
      <c r="I69" s="34"/>
      <c r="J69" s="214"/>
      <c r="K69" s="80"/>
      <c r="L69" s="142"/>
      <c r="M69" s="81"/>
      <c r="N69" s="2"/>
    </row>
    <row r="70" spans="1:14" s="31" customFormat="1" ht="12.75" x14ac:dyDescent="0.2">
      <c r="A70" s="33" t="s">
        <v>131</v>
      </c>
      <c r="B70" s="33"/>
      <c r="C70" s="34"/>
      <c r="D70" s="79"/>
      <c r="E70" s="73"/>
      <c r="F70" s="36"/>
      <c r="G70" s="37"/>
      <c r="H70" s="34"/>
      <c r="I70" s="34"/>
      <c r="J70" s="214"/>
      <c r="K70" s="80"/>
      <c r="L70" s="142"/>
      <c r="M70" s="81"/>
      <c r="N70" s="2"/>
    </row>
    <row r="71" spans="1:14" s="31" customFormat="1" ht="12.75" x14ac:dyDescent="0.2">
      <c r="A71" s="33" t="s">
        <v>131</v>
      </c>
      <c r="B71" s="33"/>
      <c r="C71" s="34"/>
      <c r="D71" s="35"/>
      <c r="E71" s="73"/>
      <c r="F71" s="36"/>
      <c r="G71" s="116"/>
      <c r="H71" s="34"/>
      <c r="I71" s="34"/>
      <c r="J71" s="162"/>
      <c r="K71" s="39"/>
      <c r="L71" s="142"/>
      <c r="M71" s="40"/>
      <c r="N71" s="2"/>
    </row>
    <row r="72" spans="1:14" s="31" customFormat="1" ht="12.75" x14ac:dyDescent="0.2">
      <c r="A72" s="33"/>
      <c r="B72" s="33"/>
      <c r="C72" s="34"/>
      <c r="D72" s="35"/>
      <c r="E72" s="73"/>
      <c r="F72" s="36"/>
      <c r="G72" s="116"/>
      <c r="H72" s="34"/>
      <c r="I72" s="34"/>
      <c r="J72" s="162"/>
      <c r="K72" s="39"/>
      <c r="L72" s="142"/>
      <c r="M72" s="40"/>
      <c r="N72" s="2"/>
    </row>
    <row r="73" spans="1:14" s="31" customFormat="1" ht="12.75" x14ac:dyDescent="0.2">
      <c r="A73" s="33" t="s">
        <v>131</v>
      </c>
      <c r="B73" s="33"/>
      <c r="C73" s="34"/>
      <c r="D73" s="35"/>
      <c r="E73" s="73"/>
      <c r="F73" s="36"/>
      <c r="G73" s="116"/>
      <c r="H73" s="34"/>
      <c r="I73" s="34"/>
      <c r="J73" s="162"/>
      <c r="K73" s="39"/>
      <c r="L73" s="142"/>
      <c r="M73" s="40"/>
      <c r="N73" s="2"/>
    </row>
    <row r="74" spans="1:14" s="31" customFormat="1" ht="12.75" x14ac:dyDescent="0.2">
      <c r="A74" s="33"/>
      <c r="B74" s="33"/>
      <c r="C74" s="34"/>
      <c r="D74" s="35"/>
      <c r="E74" s="73"/>
      <c r="F74" s="36"/>
      <c r="G74" s="116"/>
      <c r="H74" s="34"/>
      <c r="I74" s="34"/>
      <c r="J74" s="162"/>
      <c r="K74" s="39"/>
      <c r="L74" s="142"/>
      <c r="M74" s="40"/>
      <c r="N74" s="2"/>
    </row>
    <row r="75" spans="1:14" s="31" customFormat="1" ht="12.75" x14ac:dyDescent="0.2">
      <c r="A75" s="33" t="s">
        <v>131</v>
      </c>
      <c r="B75" s="33"/>
      <c r="C75" s="34"/>
      <c r="D75" s="35"/>
      <c r="E75" s="73"/>
      <c r="F75" s="36"/>
      <c r="G75" s="116"/>
      <c r="H75" s="34"/>
      <c r="I75" s="34"/>
      <c r="J75" s="162"/>
      <c r="K75" s="39"/>
      <c r="L75" s="142"/>
      <c r="M75" s="40"/>
      <c r="N75" s="2"/>
    </row>
    <row r="76" spans="1:14" x14ac:dyDescent="0.25">
      <c r="A76" s="33"/>
      <c r="B76" s="33"/>
      <c r="C76" s="34"/>
      <c r="D76" s="35"/>
      <c r="E76" s="73"/>
      <c r="F76" s="36"/>
      <c r="G76" s="116"/>
      <c r="H76" s="34"/>
      <c r="I76" s="34"/>
      <c r="J76" s="162"/>
      <c r="K76" s="39"/>
      <c r="L76" s="142"/>
      <c r="M76" s="40"/>
    </row>
    <row r="77" spans="1:14" x14ac:dyDescent="0.25">
      <c r="A77" s="33" t="s">
        <v>131</v>
      </c>
      <c r="B77" s="33"/>
      <c r="C77" s="34"/>
      <c r="D77" s="35"/>
      <c r="E77" s="73"/>
      <c r="F77" s="36"/>
      <c r="G77" s="116"/>
      <c r="H77" s="34"/>
      <c r="I77" s="34"/>
      <c r="J77" s="162"/>
      <c r="K77" s="39"/>
      <c r="L77" s="142"/>
      <c r="M77" s="40"/>
    </row>
    <row r="78" spans="1:14" s="31" customFormat="1" ht="12.75" x14ac:dyDescent="0.2">
      <c r="A78" s="33" t="s">
        <v>131</v>
      </c>
      <c r="B78" s="33"/>
      <c r="C78" s="34"/>
      <c r="D78" s="35"/>
      <c r="E78" s="73"/>
      <c r="F78" s="36"/>
      <c r="G78" s="116"/>
      <c r="H78" s="34"/>
      <c r="I78" s="34"/>
      <c r="J78" s="162"/>
      <c r="K78" s="39"/>
      <c r="L78" s="142"/>
      <c r="M78" s="40"/>
      <c r="N78" s="2"/>
    </row>
    <row r="79" spans="1:14" s="31" customFormat="1" ht="12.75" x14ac:dyDescent="0.2">
      <c r="A79" s="33"/>
      <c r="B79" s="33"/>
      <c r="C79" s="34"/>
      <c r="D79" s="35"/>
      <c r="E79" s="73"/>
      <c r="F79" s="36"/>
      <c r="G79" s="116"/>
      <c r="H79" s="34"/>
      <c r="I79" s="34"/>
      <c r="J79" s="162"/>
      <c r="K79" s="39"/>
      <c r="L79" s="142"/>
      <c r="M79" s="40"/>
      <c r="N79" s="2"/>
    </row>
    <row r="80" spans="1:14" s="31" customFormat="1" ht="12.75" x14ac:dyDescent="0.2">
      <c r="A80" s="33"/>
      <c r="B80" s="82"/>
      <c r="C80" s="83"/>
      <c r="D80" s="35"/>
      <c r="E80" s="73"/>
      <c r="F80" s="36"/>
      <c r="G80" s="116"/>
      <c r="H80" s="34"/>
      <c r="I80" s="83"/>
      <c r="J80" s="162"/>
      <c r="K80" s="39"/>
      <c r="L80" s="142"/>
      <c r="M80" s="87"/>
      <c r="N80" s="2"/>
    </row>
    <row r="81" spans="1:14" s="31" customFormat="1" ht="12.75" x14ac:dyDescent="0.2">
      <c r="A81" s="33"/>
      <c r="B81" s="33"/>
      <c r="C81" s="34"/>
      <c r="D81" s="35"/>
      <c r="E81" s="73"/>
      <c r="F81" s="36"/>
      <c r="G81" s="37"/>
      <c r="H81" s="34"/>
      <c r="I81" s="34"/>
      <c r="J81" s="162"/>
      <c r="K81" s="39"/>
      <c r="L81" s="142"/>
      <c r="M81" s="40"/>
      <c r="N81" s="2"/>
    </row>
    <row r="82" spans="1:14" s="31" customFormat="1" ht="12.75" x14ac:dyDescent="0.2">
      <c r="A82" s="33"/>
      <c r="B82" s="33"/>
      <c r="C82" s="34"/>
      <c r="D82" s="35"/>
      <c r="E82" s="73"/>
      <c r="F82" s="36"/>
      <c r="G82" s="37"/>
      <c r="H82" s="34"/>
      <c r="I82" s="34"/>
      <c r="J82" s="162"/>
      <c r="K82" s="39"/>
      <c r="L82" s="142"/>
      <c r="M82" s="40"/>
      <c r="N82" s="2"/>
    </row>
    <row r="83" spans="1:14" s="31" customFormat="1" ht="12.75" x14ac:dyDescent="0.2">
      <c r="A83" s="33"/>
      <c r="B83" s="33"/>
      <c r="C83" s="34"/>
      <c r="D83" s="35"/>
      <c r="E83" s="73"/>
      <c r="F83" s="36"/>
      <c r="G83" s="37"/>
      <c r="H83" s="34"/>
      <c r="I83" s="34"/>
      <c r="J83" s="162"/>
      <c r="K83" s="39"/>
      <c r="L83" s="142"/>
      <c r="M83" s="40"/>
      <c r="N83" s="2"/>
    </row>
    <row r="84" spans="1:14" s="31" customFormat="1" ht="12.75" x14ac:dyDescent="0.2">
      <c r="A84" s="33"/>
      <c r="B84" s="33"/>
      <c r="C84" s="34"/>
      <c r="D84" s="35"/>
      <c r="E84" s="73"/>
      <c r="F84" s="36"/>
      <c r="G84" s="37"/>
      <c r="H84" s="34"/>
      <c r="I84" s="34"/>
      <c r="J84" s="162"/>
      <c r="K84" s="39"/>
      <c r="L84" s="142"/>
      <c r="M84" s="40"/>
      <c r="N84" s="2"/>
    </row>
    <row r="85" spans="1:14" s="31" customFormat="1" ht="12.75" x14ac:dyDescent="0.2">
      <c r="A85" s="33"/>
      <c r="B85" s="33"/>
      <c r="C85" s="34"/>
      <c r="D85" s="35"/>
      <c r="E85" s="73"/>
      <c r="F85" s="36"/>
      <c r="G85" s="37"/>
      <c r="H85" s="34"/>
      <c r="I85" s="34"/>
      <c r="J85" s="162">
        <f>COUNTIF(J9:J80,"&gt;0")</f>
        <v>8</v>
      </c>
      <c r="K85" s="39"/>
      <c r="L85" s="142"/>
      <c r="M85" s="40"/>
      <c r="N85" s="2"/>
    </row>
    <row r="86" spans="1:14" s="15" customFormat="1" ht="12.75" x14ac:dyDescent="0.2">
      <c r="A86" s="58" t="s">
        <v>242</v>
      </c>
      <c r="B86" s="170"/>
      <c r="C86" s="171"/>
      <c r="D86" s="172"/>
      <c r="E86" s="173"/>
      <c r="F86" s="36"/>
      <c r="G86" s="174"/>
      <c r="H86" s="34"/>
      <c r="I86" s="171"/>
      <c r="J86" s="175"/>
      <c r="K86" s="176"/>
      <c r="L86" s="177"/>
      <c r="M86" s="178"/>
    </row>
    <row r="87" spans="1:14" x14ac:dyDescent="0.25">
      <c r="A87" s="52"/>
      <c r="B87" s="52"/>
      <c r="C87" s="52"/>
      <c r="D87" s="166"/>
      <c r="E87" s="54"/>
      <c r="F87" s="36"/>
      <c r="G87" s="55"/>
      <c r="H87" s="34"/>
      <c r="I87" s="52"/>
      <c r="J87" s="167"/>
      <c r="K87" s="168"/>
      <c r="L87" s="148"/>
      <c r="M87" s="169"/>
    </row>
    <row r="88" spans="1:14" s="31" customFormat="1" ht="12.75" x14ac:dyDescent="0.2">
      <c r="A88" s="43"/>
      <c r="B88" s="82"/>
      <c r="C88" s="83"/>
      <c r="D88" s="79"/>
      <c r="E88" s="36"/>
      <c r="F88" s="36"/>
      <c r="G88" s="37"/>
      <c r="H88" s="34"/>
      <c r="I88" s="83"/>
      <c r="J88" s="214"/>
      <c r="K88" s="80"/>
      <c r="L88" s="142"/>
      <c r="M88" s="87"/>
      <c r="N88" s="2"/>
    </row>
    <row r="89" spans="1:14" x14ac:dyDescent="0.25">
      <c r="A89" s="33"/>
      <c r="B89" s="43"/>
      <c r="C89" s="44"/>
      <c r="D89" s="45"/>
      <c r="E89" s="48"/>
      <c r="F89" s="36"/>
      <c r="G89" s="163"/>
      <c r="H89" s="34"/>
      <c r="I89" s="44"/>
      <c r="J89" s="162"/>
      <c r="K89" s="39"/>
      <c r="L89" s="143"/>
      <c r="M89" s="50"/>
    </row>
    <row r="90" spans="1:14" s="100" customFormat="1" ht="12.75" x14ac:dyDescent="0.2">
      <c r="A90" s="127"/>
      <c r="B90" s="95"/>
      <c r="C90" s="95"/>
      <c r="D90" s="166"/>
      <c r="E90" s="95"/>
      <c r="F90" s="54"/>
      <c r="G90" s="98"/>
      <c r="H90" s="52"/>
      <c r="I90" s="95"/>
      <c r="J90" s="167"/>
      <c r="K90" s="168"/>
      <c r="L90" s="148"/>
      <c r="M90" s="99"/>
    </row>
    <row r="91" spans="1:14" s="15" customFormat="1" ht="12.75" x14ac:dyDescent="0.2">
      <c r="A91" s="58" t="s">
        <v>247</v>
      </c>
      <c r="B91" s="186"/>
      <c r="C91" s="187"/>
      <c r="D91" s="222"/>
      <c r="E91" s="187"/>
      <c r="F91" s="186"/>
      <c r="G91" s="189"/>
      <c r="H91" s="223"/>
      <c r="I91" s="187"/>
      <c r="J91" s="224"/>
      <c r="K91" s="180"/>
      <c r="L91" s="221"/>
      <c r="M91" s="225"/>
    </row>
    <row r="92" spans="1:14" s="100" customFormat="1" ht="12.75" x14ac:dyDescent="0.2">
      <c r="A92" s="52"/>
      <c r="B92" s="95"/>
      <c r="C92" s="95"/>
      <c r="D92" s="96"/>
      <c r="E92" s="97"/>
      <c r="F92" s="97"/>
      <c r="G92" s="98"/>
      <c r="H92" s="95"/>
      <c r="I92" s="95"/>
      <c r="J92" s="217"/>
      <c r="K92" s="54"/>
      <c r="L92" s="148"/>
      <c r="M92" s="99"/>
    </row>
    <row r="93" spans="1:14" x14ac:dyDescent="0.25">
      <c r="A93" s="34"/>
      <c r="B93" s="120"/>
      <c r="C93" s="121"/>
      <c r="D93" s="122"/>
      <c r="E93" s="123"/>
      <c r="F93" s="123"/>
      <c r="G93" s="124"/>
      <c r="H93" s="121"/>
      <c r="I93" s="121"/>
      <c r="J93" s="226"/>
      <c r="K93" s="227"/>
      <c r="L93" s="149"/>
      <c r="M93" s="126"/>
    </row>
    <row r="94" spans="1:14" x14ac:dyDescent="0.25">
      <c r="A94" s="127" t="s">
        <v>11</v>
      </c>
      <c r="B94" s="128"/>
      <c r="C94" s="129"/>
      <c r="D94" s="130">
        <f>SUM(D86,D57,D35,D23,D25)</f>
        <v>0.08</v>
      </c>
      <c r="E94" s="129"/>
      <c r="F94" s="129"/>
      <c r="G94" s="131"/>
      <c r="H94" s="129"/>
      <c r="I94" s="129"/>
      <c r="J94" s="228"/>
      <c r="K94" s="229"/>
      <c r="L94" s="142"/>
      <c r="M94" s="87"/>
    </row>
    <row r="95" spans="1:14" x14ac:dyDescent="0.25">
      <c r="A95" s="128"/>
      <c r="B95" s="128"/>
      <c r="C95" s="129"/>
      <c r="D95" s="130"/>
      <c r="E95" s="129"/>
      <c r="F95" s="129"/>
      <c r="G95" s="131"/>
      <c r="H95" s="129"/>
      <c r="I95" s="129"/>
      <c r="J95" s="228"/>
      <c r="K95" s="229"/>
      <c r="L95" s="142"/>
      <c r="M95" s="87"/>
    </row>
    <row r="96" spans="1:14" x14ac:dyDescent="0.25">
      <c r="A96" s="128"/>
      <c r="B96" s="128"/>
      <c r="C96" s="129"/>
      <c r="D96" s="130"/>
      <c r="E96" s="129"/>
      <c r="F96" s="129"/>
      <c r="G96" s="131"/>
      <c r="H96" s="129"/>
      <c r="I96" s="129"/>
      <c r="J96" s="228"/>
      <c r="K96" s="229"/>
      <c r="L96" s="142"/>
      <c r="M96" s="87"/>
    </row>
    <row r="97" spans="1:13" x14ac:dyDescent="0.25">
      <c r="A97" s="128"/>
      <c r="B97" s="128"/>
      <c r="C97" s="129"/>
      <c r="D97" s="130"/>
      <c r="E97" s="129"/>
      <c r="F97" s="129"/>
      <c r="G97" s="131"/>
      <c r="H97" s="129"/>
      <c r="I97" s="129"/>
      <c r="J97" s="228"/>
      <c r="K97" s="229"/>
      <c r="L97" s="142"/>
      <c r="M97" s="87"/>
    </row>
    <row r="98" spans="1:13" x14ac:dyDescent="0.25">
      <c r="A98" s="128"/>
      <c r="B98" s="128"/>
      <c r="C98" s="129"/>
      <c r="D98" s="130"/>
      <c r="E98" s="129"/>
      <c r="F98" s="129"/>
      <c r="G98" s="131"/>
      <c r="H98" s="129"/>
      <c r="I98" s="129"/>
      <c r="J98" s="228"/>
      <c r="K98" s="229"/>
      <c r="L98" s="142"/>
      <c r="M98" s="87"/>
    </row>
    <row r="99" spans="1:13" x14ac:dyDescent="0.25">
      <c r="A99" s="128"/>
      <c r="B99" s="128"/>
      <c r="C99" s="129"/>
      <c r="D99" s="130"/>
      <c r="E99" s="129"/>
      <c r="F99" s="129"/>
      <c r="G99" s="131"/>
      <c r="H99" s="129"/>
      <c r="I99" s="129"/>
      <c r="J99" s="228"/>
      <c r="K99" s="229"/>
      <c r="L99" s="142"/>
      <c r="M99" s="87"/>
    </row>
    <row r="100" spans="1:13" x14ac:dyDescent="0.25">
      <c r="A100" s="128"/>
      <c r="B100" s="128"/>
      <c r="C100" s="129"/>
      <c r="D100" s="130"/>
      <c r="E100" s="129"/>
      <c r="F100" s="129"/>
      <c r="G100" s="131"/>
      <c r="H100" s="129"/>
      <c r="I100" s="129"/>
      <c r="J100" s="228"/>
      <c r="K100" s="229"/>
      <c r="L100" s="142"/>
      <c r="M100" s="87"/>
    </row>
    <row r="101" spans="1:13" x14ac:dyDescent="0.25">
      <c r="A101" s="128"/>
      <c r="B101" s="128"/>
      <c r="C101" s="129"/>
      <c r="D101" s="130"/>
      <c r="E101" s="129"/>
      <c r="F101" s="129"/>
      <c r="G101" s="131"/>
      <c r="H101" s="129"/>
      <c r="I101" s="129"/>
      <c r="J101" s="228"/>
      <c r="K101" s="229"/>
      <c r="L101" s="142"/>
      <c r="M101" s="87"/>
    </row>
    <row r="102" spans="1:13" x14ac:dyDescent="0.25">
      <c r="A102" s="128"/>
      <c r="B102" s="128"/>
      <c r="C102" s="129"/>
      <c r="D102" s="130"/>
      <c r="E102" s="129"/>
      <c r="F102" s="129"/>
      <c r="G102" s="131"/>
      <c r="H102" s="129"/>
      <c r="I102" s="129"/>
      <c r="J102" s="228"/>
      <c r="K102" s="229"/>
      <c r="L102" s="142"/>
      <c r="M102" s="87"/>
    </row>
    <row r="103" spans="1:13" x14ac:dyDescent="0.25">
      <c r="A103" s="132"/>
      <c r="B103" s="132"/>
      <c r="C103" s="133"/>
      <c r="D103" s="134"/>
      <c r="E103" s="133"/>
      <c r="F103" s="133"/>
      <c r="G103" s="135"/>
      <c r="H103" s="133"/>
      <c r="I103" s="133"/>
      <c r="J103" s="230"/>
      <c r="K103" s="231"/>
      <c r="L103" s="142"/>
      <c r="M103" s="94"/>
    </row>
    <row r="104" spans="1:13" s="2" customFormat="1" ht="12.75" x14ac:dyDescent="0.2">
      <c r="J104" s="232"/>
    </row>
    <row r="105" spans="1:13" s="2" customFormat="1" ht="12.75" x14ac:dyDescent="0.2">
      <c r="J105" s="232"/>
    </row>
    <row r="107" spans="1:13" s="2" customFormat="1" ht="12.75" x14ac:dyDescent="0.2">
      <c r="A107" s="136"/>
      <c r="B107" s="136"/>
      <c r="E107" s="136"/>
      <c r="F107" s="136"/>
      <c r="G107" s="136"/>
      <c r="H107" s="137"/>
      <c r="J107" s="232"/>
      <c r="M107" s="136"/>
    </row>
    <row r="108" spans="1:13" s="2" customFormat="1" ht="12.75" x14ac:dyDescent="0.2">
      <c r="A108" s="136"/>
      <c r="B108" s="136"/>
      <c r="E108" s="136"/>
      <c r="F108" s="136"/>
      <c r="G108" s="136"/>
      <c r="H108" s="137"/>
      <c r="J108" s="232"/>
      <c r="M108" s="136"/>
    </row>
    <row r="109" spans="1:13" s="2" customFormat="1" ht="12.75" x14ac:dyDescent="0.2">
      <c r="A109" s="138"/>
      <c r="B109" s="138"/>
      <c r="J109" s="232"/>
    </row>
    <row r="110" spans="1:13" s="2" customFormat="1" ht="12.75" x14ac:dyDescent="0.2">
      <c r="A110" s="139"/>
      <c r="B110" s="139"/>
      <c r="E110" s="139"/>
      <c r="F110" s="138"/>
      <c r="G110" s="138"/>
      <c r="J110" s="232"/>
      <c r="M110" s="14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1"/>
  <sheetViews>
    <sheetView tabSelected="1" zoomScale="115" zoomScaleNormal="115" workbookViewId="0">
      <selection activeCell="I3" sqref="I3"/>
    </sheetView>
  </sheetViews>
  <sheetFormatPr defaultColWidth="9.140625" defaultRowHeight="15" x14ac:dyDescent="0.25"/>
  <cols>
    <col min="1" max="2" width="15.140625" style="2" customWidth="1"/>
    <col min="3" max="3" width="27.140625" style="2" customWidth="1"/>
    <col min="4" max="4" width="14.85546875" style="2" customWidth="1"/>
    <col min="5" max="5" width="19.710937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16.42578125" customWidth="1"/>
    <col min="12" max="12" width="13.42578125" customWidth="1"/>
    <col min="13" max="13" width="16.42578125" style="2" customWidth="1"/>
    <col min="14" max="14" width="10.5703125" style="2" customWidth="1"/>
    <col min="15" max="15" width="13" style="2" customWidth="1"/>
    <col min="16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119</v>
      </c>
      <c r="C1" s="4">
        <v>44021</v>
      </c>
      <c r="D1" s="5"/>
      <c r="E1" s="6" t="s">
        <v>121</v>
      </c>
      <c r="F1" s="7"/>
      <c r="G1" s="8"/>
      <c r="K1" s="9" t="s">
        <v>122</v>
      </c>
      <c r="L1" s="9" t="s">
        <v>248</v>
      </c>
      <c r="M1" s="10" t="s">
        <v>123</v>
      </c>
      <c r="O1" s="2" t="s">
        <v>124</v>
      </c>
      <c r="R1" s="2" t="s">
        <v>125</v>
      </c>
    </row>
    <row r="2" spans="1:19" x14ac:dyDescent="0.25">
      <c r="A2" s="3"/>
      <c r="B2" s="3" t="s">
        <v>126</v>
      </c>
      <c r="C2" s="153">
        <v>2.79</v>
      </c>
      <c r="D2" s="12"/>
      <c r="E2" s="13">
        <f>SUM(E24,E36,E58,E87,E26)</f>
        <v>23546881.131098725</v>
      </c>
      <c r="F2" s="14"/>
      <c r="G2" s="15"/>
      <c r="H2" s="12"/>
      <c r="I2" s="12"/>
      <c r="J2" s="12"/>
      <c r="K2" s="13">
        <f>SUM(K24,K36,K58,K87,K26,K92)</f>
        <v>23748620.711003948</v>
      </c>
      <c r="L2" s="141">
        <f>SUM(L92,L58,L87,L36,L24,L26)</f>
        <v>1</v>
      </c>
      <c r="M2" s="16">
        <f>K2/C3</f>
        <v>2.8138922679481921</v>
      </c>
      <c r="O2" s="2" t="s">
        <v>127</v>
      </c>
      <c r="P2" s="17">
        <v>0.26729999999999998</v>
      </c>
      <c r="R2" s="2" t="s">
        <v>128</v>
      </c>
      <c r="S2" s="2">
        <f>COUNTIF(A:A,"US Bond")</f>
        <v>7</v>
      </c>
    </row>
    <row r="3" spans="1:19" ht="39" x14ac:dyDescent="0.25">
      <c r="A3" s="3"/>
      <c r="B3" s="3" t="s">
        <v>129</v>
      </c>
      <c r="C3" s="18">
        <v>8439776.0999999996</v>
      </c>
      <c r="D3" s="19"/>
      <c r="E3" s="6" t="s">
        <v>281</v>
      </c>
      <c r="F3" s="14"/>
      <c r="G3" s="15"/>
      <c r="H3" s="12"/>
      <c r="I3" s="12"/>
      <c r="J3" s="12"/>
      <c r="K3" s="9" t="s">
        <v>122</v>
      </c>
      <c r="L3" s="12"/>
      <c r="M3" s="10" t="s">
        <v>282</v>
      </c>
      <c r="O3" s="2" t="s">
        <v>5</v>
      </c>
      <c r="P3" s="20">
        <v>0.08</v>
      </c>
      <c r="R3" s="2" t="s">
        <v>130</v>
      </c>
      <c r="S3" s="2">
        <f>COUNTIF(A:A,"Global Bond")</f>
        <v>9</v>
      </c>
    </row>
    <row r="4" spans="1:19" x14ac:dyDescent="0.25">
      <c r="A4" s="257"/>
      <c r="B4" s="257"/>
      <c r="C4" s="258"/>
      <c r="D4" s="19"/>
      <c r="E4" s="13">
        <f>SUM(E24,E87,E26)</f>
        <v>5886743.8297499996</v>
      </c>
      <c r="F4" s="14"/>
      <c r="G4" s="15"/>
      <c r="H4" s="12"/>
      <c r="I4" s="12"/>
      <c r="J4" s="12"/>
      <c r="K4" s="13">
        <f>SUM(K24,K87,K26)</f>
        <v>5850623.7776706135</v>
      </c>
      <c r="L4" s="12"/>
      <c r="M4" s="16">
        <f>K4/C3</f>
        <v>0.69322025944155241</v>
      </c>
      <c r="P4" s="20"/>
    </row>
    <row r="5" spans="1:19" x14ac:dyDescent="0.25">
      <c r="A5" s="21"/>
      <c r="B5" s="22"/>
      <c r="C5" s="22"/>
      <c r="D5" s="23"/>
      <c r="E5" s="24"/>
      <c r="F5" s="24"/>
      <c r="G5" s="24"/>
      <c r="H5" s="25"/>
      <c r="I5" s="25"/>
      <c r="J5" s="25"/>
      <c r="K5" s="12"/>
      <c r="L5" s="12"/>
      <c r="M5" s="12"/>
      <c r="O5" s="2" t="s">
        <v>131</v>
      </c>
      <c r="P5" s="20">
        <v>0.03</v>
      </c>
      <c r="R5" s="2" t="s">
        <v>131</v>
      </c>
      <c r="S5" s="2">
        <f>COUNTIF(A:A,"Commodity")</f>
        <v>10</v>
      </c>
    </row>
    <row r="6" spans="1:19" s="31" customFormat="1" ht="38.25" x14ac:dyDescent="0.2">
      <c r="A6" s="26" t="s">
        <v>132</v>
      </c>
      <c r="B6" s="27" t="s">
        <v>133</v>
      </c>
      <c r="C6" s="28" t="s">
        <v>13</v>
      </c>
      <c r="D6" s="28" t="s">
        <v>134</v>
      </c>
      <c r="E6" s="28" t="s">
        <v>135</v>
      </c>
      <c r="F6" s="28" t="s">
        <v>136</v>
      </c>
      <c r="G6" s="28" t="s">
        <v>137</v>
      </c>
      <c r="H6" s="29" t="s">
        <v>138</v>
      </c>
      <c r="I6" s="29" t="s">
        <v>139</v>
      </c>
      <c r="J6" s="29" t="s">
        <v>140</v>
      </c>
      <c r="K6" s="30" t="s">
        <v>142</v>
      </c>
      <c r="L6" s="30" t="s">
        <v>143</v>
      </c>
      <c r="M6" s="30" t="s">
        <v>144</v>
      </c>
      <c r="O6" s="31" t="s">
        <v>145</v>
      </c>
      <c r="P6" s="32">
        <f>100%-SUM(P2:P5)</f>
        <v>0.62270000000000003</v>
      </c>
      <c r="R6" s="31" t="s">
        <v>127</v>
      </c>
      <c r="S6" s="2">
        <f>COUNTIF(A:A,"Equity")</f>
        <v>10</v>
      </c>
    </row>
    <row r="7" spans="1:19" s="31" customFormat="1" ht="12.75" customHeight="1" x14ac:dyDescent="0.25">
      <c r="A7" s="33"/>
      <c r="B7" s="33"/>
      <c r="C7" s="34"/>
      <c r="D7" s="35"/>
      <c r="E7" s="36"/>
      <c r="F7" s="36"/>
      <c r="G7" s="37"/>
      <c r="H7" s="34"/>
      <c r="I7" s="71"/>
      <c r="J7" s="38"/>
      <c r="K7" s="40"/>
      <c r="L7" s="142"/>
      <c r="M7" s="40"/>
    </row>
    <row r="8" spans="1:19" s="31" customFormat="1" ht="12.75" customHeight="1" x14ac:dyDescent="0.2">
      <c r="A8" s="33" t="s">
        <v>127</v>
      </c>
      <c r="B8" s="33" t="s">
        <v>249</v>
      </c>
      <c r="C8" s="34" t="s">
        <v>250</v>
      </c>
      <c r="D8" s="35">
        <f>INDEX('July 7-14 - Second_old'!D:D,MATCH(Table138[[#This Row],[Financial Instrument]],'July 7-14 - Second_old'!C:C,0))</f>
        <v>1.4999999999999999E-2</v>
      </c>
      <c r="E8" s="36">
        <f>Table138[[#This Row],[Target Allocation (%)]]*$C$2*$C$3</f>
        <v>353204.629785</v>
      </c>
      <c r="F8" s="36">
        <v>333.8</v>
      </c>
      <c r="G8" s="37">
        <f>Table138[[#This Row],[Target Value Allocation (USD)]]/Table138[[#This Row],[Last price]]</f>
        <v>1058.1325038496104</v>
      </c>
      <c r="H8" s="34">
        <v>962</v>
      </c>
      <c r="I8" s="71">
        <f>INDEX('July 7-14 - Second_old'!I:I,MATCH(Table138[[#This Row],[Financial Instrument]],'July 7-14 - Second_old'!C:C,0))</f>
        <v>1058</v>
      </c>
      <c r="J8" s="38">
        <f t="shared" ref="J8:J14" si="0">I8-H8</f>
        <v>96</v>
      </c>
      <c r="K8" s="40">
        <f>Table138[[#This Row],[Last price]]*Table138[[#This Row],[Current Quantity]]</f>
        <v>353160.4</v>
      </c>
      <c r="L8" s="142">
        <f>Table138[[#This Row],[Current Value Allocation]]/$K$2</f>
        <v>1.4870775204067443E-2</v>
      </c>
      <c r="M8" s="40"/>
      <c r="R8" s="31" t="s">
        <v>151</v>
      </c>
      <c r="S8" s="2">
        <f>COUNTIF(A:A,"Others")</f>
        <v>0</v>
      </c>
    </row>
    <row r="9" spans="1:19" s="31" customFormat="1" ht="25.5" x14ac:dyDescent="0.2">
      <c r="A9" s="33" t="s">
        <v>127</v>
      </c>
      <c r="B9" s="33" t="s">
        <v>7</v>
      </c>
      <c r="C9" s="34" t="s">
        <v>31</v>
      </c>
      <c r="D9" s="35">
        <f>INDEX('July 7-14 - Second_old'!D:D,MATCH(Table138[[#This Row],[Financial Instrument]],'July 7-14 - Second_old'!C:C,0))</f>
        <v>1.4999999999999999E-2</v>
      </c>
      <c r="E9" s="36">
        <f>Table138[[#This Row],[Target Allocation (%)]]*$C$2*$C$3</f>
        <v>353204.629785</v>
      </c>
      <c r="F9" s="36">
        <v>413.10012210012212</v>
      </c>
      <c r="G9" s="37">
        <f>Table138[[#This Row],[Target Value Allocation (USD)]]/Table138[[#This Row],[Last price]]</f>
        <v>855.00974434327236</v>
      </c>
      <c r="H9" s="34">
        <v>819</v>
      </c>
      <c r="I9" s="71">
        <f>INDEX('July 7-14 - Second_old'!I:I,MATCH(Table138[[#This Row],[Financial Instrument]],'July 7-14 - Second_old'!C:C,0))</f>
        <v>855</v>
      </c>
      <c r="J9" s="38">
        <f t="shared" si="0"/>
        <v>36</v>
      </c>
      <c r="K9" s="40">
        <f>Table138[[#This Row],[Last price]]*Table138[[#This Row],[Current Quantity]]</f>
        <v>353200.6043956044</v>
      </c>
      <c r="L9" s="142">
        <f>Table138[[#This Row],[Current Value Allocation]]/$K$2</f>
        <v>1.4872468119041058E-2</v>
      </c>
      <c r="M9" s="40"/>
      <c r="O9" s="2" t="s">
        <v>152</v>
      </c>
      <c r="P9" s="42">
        <v>288492</v>
      </c>
      <c r="R9" s="31" t="s">
        <v>153</v>
      </c>
      <c r="S9" s="31">
        <f>SUM(S2:S8)</f>
        <v>36</v>
      </c>
    </row>
    <row r="10" spans="1:19" s="31" customFormat="1" ht="25.5" customHeight="1" x14ac:dyDescent="0.25">
      <c r="A10" s="33" t="s">
        <v>127</v>
      </c>
      <c r="B10" s="33" t="s">
        <v>8</v>
      </c>
      <c r="C10" s="34" t="s">
        <v>34</v>
      </c>
      <c r="D10" s="35">
        <f>INDEX('July 7-14 - Second_old'!D:D,MATCH(Table138[[#This Row],[Financial Instrument]],'July 7-14 - Second_old'!C:C,0))</f>
        <v>1.4999999999999999E-2</v>
      </c>
      <c r="E10" s="36">
        <f>Table138[[#This Row],[Target Allocation (%)]]*$C$2*$C$3</f>
        <v>353204.629785</v>
      </c>
      <c r="F10" s="36">
        <v>640.34046692607001</v>
      </c>
      <c r="G10" s="37">
        <f>Table138[[#This Row],[Target Value Allocation (USD)]]/Table138[[#This Row],[Last price]]</f>
        <v>551.58880006529239</v>
      </c>
      <c r="H10" s="34">
        <v>514</v>
      </c>
      <c r="I10" s="71">
        <f>INDEX('July 7-14 - Second_old'!I:I,MATCH(Table138[[#This Row],[Financial Instrument]],'July 7-14 - Second_old'!C:C,0))</f>
        <v>552</v>
      </c>
      <c r="J10" s="38">
        <f t="shared" si="0"/>
        <v>38</v>
      </c>
      <c r="K10" s="40">
        <f>Table138[[#This Row],[Last price]]*Table138[[#This Row],[Current Quantity]]</f>
        <v>353467.93774319062</v>
      </c>
      <c r="L10" s="142">
        <f>Table138[[#This Row],[Current Value Allocation]]/$K$2</f>
        <v>1.4883724913734081E-2</v>
      </c>
      <c r="M10" s="40"/>
      <c r="O10" s="31" t="s">
        <v>154</v>
      </c>
      <c r="P10" s="42">
        <v>79066</v>
      </c>
    </row>
    <row r="11" spans="1:19" s="31" customFormat="1" ht="12.75" customHeight="1" x14ac:dyDescent="0.25">
      <c r="A11" s="33" t="s">
        <v>127</v>
      </c>
      <c r="B11" s="33" t="s">
        <v>9</v>
      </c>
      <c r="C11" s="34" t="s">
        <v>35</v>
      </c>
      <c r="D11" s="35">
        <f>INDEX('July 7-14 - Second_old'!D:D,MATCH(Table138[[#This Row],[Financial Instrument]],'July 7-14 - Second_old'!C:C,0))</f>
        <v>1.4999999999999999E-2</v>
      </c>
      <c r="E11" s="36">
        <f>Table138[[#This Row],[Target Allocation (%)]]*$C$2*$C$3</f>
        <v>353204.629785</v>
      </c>
      <c r="F11" s="36">
        <v>175.53009503695881</v>
      </c>
      <c r="G11" s="37">
        <f>Table138[[#This Row],[Target Value Allocation (USD)]]/Table138[[#This Row],[Last price]]</f>
        <v>2012.2169347121408</v>
      </c>
      <c r="H11" s="34">
        <v>1894</v>
      </c>
      <c r="I11" s="71">
        <f>INDEX('July 7-14 - Second_old'!I:I,MATCH(Table138[[#This Row],[Financial Instrument]],'July 7-14 - Second_old'!C:C,0))</f>
        <v>2012</v>
      </c>
      <c r="J11" s="38">
        <f t="shared" si="0"/>
        <v>118</v>
      </c>
      <c r="K11" s="40">
        <f>Table138[[#This Row],[Last price]]*Table138[[#This Row],[Current Quantity]]</f>
        <v>353166.55121436116</v>
      </c>
      <c r="L11" s="142">
        <f>Table138[[#This Row],[Current Value Allocation]]/$K$2</f>
        <v>1.4871034217609155E-2</v>
      </c>
      <c r="M11" s="40"/>
      <c r="O11" s="31" t="s">
        <v>155</v>
      </c>
      <c r="P11" s="42">
        <v>896127</v>
      </c>
    </row>
    <row r="12" spans="1:19" s="31" customFormat="1" ht="12.75" customHeight="1" x14ac:dyDescent="0.25">
      <c r="A12" s="33" t="s">
        <v>127</v>
      </c>
      <c r="B12" s="33" t="s">
        <v>10</v>
      </c>
      <c r="C12" s="34" t="s">
        <v>36</v>
      </c>
      <c r="D12" s="35">
        <f>INDEX('July 7-14 - Second_old'!D:D,MATCH(Table138[[#This Row],[Financial Instrument]],'July 7-14 - Second_old'!C:C,0))</f>
        <v>1.4999999999999999E-2</v>
      </c>
      <c r="E12" s="36">
        <f>Table138[[#This Row],[Target Allocation (%)]]*$C$2*$C$3</f>
        <v>353204.629785</v>
      </c>
      <c r="F12" s="36">
        <v>1375</v>
      </c>
      <c r="G12" s="37">
        <f>Table138[[#This Row],[Target Value Allocation (USD)]]/Table138[[#This Row],[Last price]]</f>
        <v>256.87609438909089</v>
      </c>
      <c r="H12" s="34">
        <v>225</v>
      </c>
      <c r="I12" s="71">
        <f>INDEX('July 7-14 - Second_old'!I:I,MATCH(Table138[[#This Row],[Financial Instrument]],'July 7-14 - Second_old'!C:C,0))</f>
        <v>257</v>
      </c>
      <c r="J12" s="38">
        <f t="shared" si="0"/>
        <v>32</v>
      </c>
      <c r="K12" s="40">
        <f>Table138[[#This Row],[Last price]]*Table138[[#This Row],[Current Quantity]]</f>
        <v>353375</v>
      </c>
      <c r="L12" s="142">
        <f>Table138[[#This Row],[Current Value Allocation]]/$K$2</f>
        <v>1.4879811518328024E-2</v>
      </c>
      <c r="M12" s="40"/>
      <c r="O12" s="31" t="s">
        <v>131</v>
      </c>
    </row>
    <row r="13" spans="1:19" s="31" customFormat="1" ht="12.75" customHeight="1" x14ac:dyDescent="0.25">
      <c r="A13" s="33" t="s">
        <v>127</v>
      </c>
      <c r="B13" s="33" t="s">
        <v>0</v>
      </c>
      <c r="C13" s="34" t="s">
        <v>23</v>
      </c>
      <c r="D13" s="35">
        <f>INDEX('July 7-14 - Second_old'!D:D,MATCH(Table138[[#This Row],[Financial Instrument]],'July 7-14 - Second_old'!C:C,0))</f>
        <v>1.4999999999999999E-2</v>
      </c>
      <c r="E13" s="36">
        <f>Table138[[#This Row],[Target Allocation (%)]]*$C$2*$C$3</f>
        <v>353204.629785</v>
      </c>
      <c r="F13" s="36">
        <v>383</v>
      </c>
      <c r="G13" s="37">
        <f>Table138[[#This Row],[Target Value Allocation (USD)]]/Table138[[#This Row],[Last price]]</f>
        <v>922.20529969973893</v>
      </c>
      <c r="H13" s="34">
        <v>860</v>
      </c>
      <c r="I13" s="71">
        <f>INDEX('July 7-14 - Second_old'!I:I,MATCH(Table138[[#This Row],[Financial Instrument]],'July 7-14 - Second_old'!C:C,0))</f>
        <v>922</v>
      </c>
      <c r="J13" s="38">
        <f t="shared" si="0"/>
        <v>62</v>
      </c>
      <c r="K13" s="40">
        <f>Table138[[#This Row],[Last price]]*Table138[[#This Row],[Current Quantity]]</f>
        <v>353126</v>
      </c>
      <c r="L13" s="142">
        <f>Table138[[#This Row],[Current Value Allocation]]/$K$2</f>
        <v>1.4869326698892399E-2</v>
      </c>
      <c r="M13" s="40"/>
    </row>
    <row r="14" spans="1:19" s="31" customFormat="1" ht="12.75" customHeight="1" x14ac:dyDescent="0.25">
      <c r="A14" s="33" t="s">
        <v>127</v>
      </c>
      <c r="B14" s="33" t="s">
        <v>3</v>
      </c>
      <c r="C14" s="34" t="s">
        <v>26</v>
      </c>
      <c r="D14" s="35">
        <f>INDEX('July 7-14 - Second_old'!D:D,MATCH(Table138[[#This Row],[Financial Instrument]],'July 7-14 - Second_old'!C:C,0))</f>
        <v>1.4999999999999999E-2</v>
      </c>
      <c r="E14" s="36">
        <f>Table138[[#This Row],[Target Allocation (%)]]*$C$2*$C$3</f>
        <v>353204.629785</v>
      </c>
      <c r="F14" s="36">
        <v>435.11038107752955</v>
      </c>
      <c r="G14" s="37">
        <f>Table138[[#This Row],[Target Value Allocation (USD)]]/Table138[[#This Row],[Last price]]</f>
        <v>811.75868272852063</v>
      </c>
      <c r="H14" s="34">
        <v>761</v>
      </c>
      <c r="I14" s="71">
        <f>INDEX('July 7-14 - Second_old'!I:I,MATCH(Table138[[#This Row],[Financial Instrument]],'July 7-14 - Second_old'!C:C,0))</f>
        <v>812</v>
      </c>
      <c r="J14" s="38">
        <f t="shared" si="0"/>
        <v>51</v>
      </c>
      <c r="K14" s="40">
        <f>Table138[[#This Row],[Last price]]*Table138[[#This Row],[Current Quantity]]</f>
        <v>353309.62943495403</v>
      </c>
      <c r="L14" s="142">
        <f>Table138[[#This Row],[Current Value Allocation]]/$K$2</f>
        <v>1.4877058913625566E-2</v>
      </c>
      <c r="M14" s="40"/>
    </row>
    <row r="15" spans="1:19" s="31" customFormat="1" ht="12.75" customHeight="1" x14ac:dyDescent="0.25">
      <c r="A15" s="33"/>
      <c r="B15" s="33"/>
      <c r="C15" s="34"/>
      <c r="D15" s="35"/>
      <c r="E15" s="36"/>
      <c r="F15" s="36"/>
      <c r="G15" s="37"/>
      <c r="H15" s="34"/>
      <c r="I15" s="71"/>
      <c r="J15" s="38"/>
      <c r="K15" s="40"/>
      <c r="L15" s="142"/>
      <c r="M15" s="40"/>
    </row>
    <row r="16" spans="1:19" s="31" customFormat="1" ht="12.75" customHeight="1" x14ac:dyDescent="0.25">
      <c r="A16" s="33" t="s">
        <v>127</v>
      </c>
      <c r="B16" s="33" t="s">
        <v>2</v>
      </c>
      <c r="C16" s="34" t="s">
        <v>157</v>
      </c>
      <c r="D16" s="35">
        <f>INDEX('July 7-14 - Second_old'!D:D,MATCH(Table138[[#This Row],[Financial Instrument]],'July 7-14 - Second_old'!C:C,0))</f>
        <v>1.4999999999999999E-2</v>
      </c>
      <c r="E16" s="36">
        <f>Table138[[#This Row],[Target Allocation (%)]]*$C$2*$C$3</f>
        <v>353204.629785</v>
      </c>
      <c r="F16" s="36">
        <v>392.71957040572795</v>
      </c>
      <c r="G16" s="37">
        <f>Table138[[#This Row],[Target Value Allocation (USD)]]/Table138[[#This Row],[Last price]]</f>
        <v>899.38127967520404</v>
      </c>
      <c r="H16" s="34">
        <v>838</v>
      </c>
      <c r="I16" s="71">
        <f>INDEX('July 7-14 - Second_old'!I:I,MATCH(Table138[[#This Row],[Financial Instrument]],'July 7-14 - Second_old'!C:C,0))</f>
        <v>899</v>
      </c>
      <c r="J16" s="38">
        <f>I16-H16</f>
        <v>61</v>
      </c>
      <c r="K16" s="40">
        <f>Table138[[#This Row],[Last price]]*Table138[[#This Row],[Current Quantity]]</f>
        <v>353054.89379474946</v>
      </c>
      <c r="L16" s="142">
        <f>Table138[[#This Row],[Current Value Allocation]]/$K$2</f>
        <v>1.4866332579523706E-2</v>
      </c>
      <c r="M16" s="40"/>
    </row>
    <row r="17" spans="1:17" s="31" customFormat="1" ht="12.75" customHeight="1" x14ac:dyDescent="0.25">
      <c r="A17" s="33" t="s">
        <v>127</v>
      </c>
      <c r="B17" s="43" t="s">
        <v>6</v>
      </c>
      <c r="C17" s="44" t="s">
        <v>28</v>
      </c>
      <c r="D17" s="35">
        <f>INDEX('July 7-14 - Second_old'!D:D,MATCH(Table138[[#This Row],[Financial Instrument]],'July 7-14 - Second_old'!C:C,0))</f>
        <v>1.4999999999999999E-2</v>
      </c>
      <c r="E17" s="46">
        <f>Table138[[#This Row],[Target Allocation (%)]]*$C$2*$C$3</f>
        <v>353204.629785</v>
      </c>
      <c r="F17" s="36">
        <v>68.099900891972254</v>
      </c>
      <c r="G17" s="47">
        <f>Table138[[#This Row],[Target Value Allocation (USD)]]/Table138[[#This Row],[Last price]]</f>
        <v>5186.5659884776196</v>
      </c>
      <c r="H17" s="34">
        <v>5045</v>
      </c>
      <c r="I17" s="71">
        <f>INDEX('July 7-14 - Second_old'!I:I,MATCH(Table138[[#This Row],[Financial Instrument]],'July 7-14 - Second_old'!C:C,0))</f>
        <v>5187</v>
      </c>
      <c r="J17" s="48">
        <f>I17-H17</f>
        <v>142</v>
      </c>
      <c r="K17" s="40">
        <f>Table138[[#This Row],[Last price]]*Table138[[#This Row],[Current Quantity]]</f>
        <v>353234.18592666008</v>
      </c>
      <c r="L17" s="143">
        <f>Table138[[#This Row],[Current Value Allocation]]/$K$2</f>
        <v>1.4873882160364314E-2</v>
      </c>
      <c r="M17" s="50"/>
    </row>
    <row r="18" spans="1:17" s="31" customFormat="1" ht="12.75" customHeight="1" x14ac:dyDescent="0.25">
      <c r="A18" s="33"/>
      <c r="B18" s="33"/>
      <c r="C18" s="34"/>
      <c r="D18" s="35"/>
      <c r="E18" s="46"/>
      <c r="F18" s="36"/>
      <c r="G18" s="47"/>
      <c r="H18" s="34"/>
      <c r="I18" s="71"/>
      <c r="J18" s="38"/>
      <c r="K18" s="40"/>
      <c r="L18" s="143"/>
      <c r="M18" s="50"/>
    </row>
    <row r="19" spans="1:17" s="31" customFormat="1" ht="12.75" customHeight="1" x14ac:dyDescent="0.25">
      <c r="A19" s="33" t="s">
        <v>127</v>
      </c>
      <c r="B19" s="33" t="s">
        <v>37</v>
      </c>
      <c r="C19" s="34" t="s">
        <v>38</v>
      </c>
      <c r="D19" s="35">
        <f>INDEX('July 7-14 - Second_old'!D:D,MATCH(Table138[[#This Row],[Financial Instrument]],'July 7-14 - Second_old'!C:C,0))</f>
        <v>1.4999999999999999E-2</v>
      </c>
      <c r="E19" s="46">
        <f>Table138[[#This Row],[Target Allocation (%)]]*$C$2*$C$3</f>
        <v>353204.629785</v>
      </c>
      <c r="F19" s="36">
        <v>232.30021754894852</v>
      </c>
      <c r="G19" s="47">
        <f>Table138[[#This Row],[Target Value Allocation (USD)]]/Table138[[#This Row],[Last price]]</f>
        <v>1520.4662032250376</v>
      </c>
      <c r="H19" s="34">
        <v>1379</v>
      </c>
      <c r="I19" s="71">
        <f>INDEX('July 7-14 - Second_old'!I:I,MATCH(Table138[[#This Row],[Financial Instrument]],'July 7-14 - Second_old'!C:C,0))</f>
        <v>1520</v>
      </c>
      <c r="J19" s="38">
        <f>I19-H19</f>
        <v>141</v>
      </c>
      <c r="K19" s="40">
        <f>Table138[[#This Row],[Last price]]*Table138[[#This Row],[Current Quantity]]</f>
        <v>353096.33067440178</v>
      </c>
      <c r="L19" s="143">
        <f>Table138[[#This Row],[Current Value Allocation]]/$K$2</f>
        <v>1.4868077391576438E-2</v>
      </c>
      <c r="M19" s="50"/>
    </row>
    <row r="20" spans="1:17" s="31" customFormat="1" ht="12.75" customHeight="1" x14ac:dyDescent="0.25">
      <c r="A20" s="33"/>
      <c r="B20" s="33"/>
      <c r="C20" s="34"/>
      <c r="D20" s="35"/>
      <c r="E20" s="36"/>
      <c r="F20" s="36"/>
      <c r="G20" s="37"/>
      <c r="H20" s="34"/>
      <c r="I20" s="71"/>
      <c r="J20" s="34"/>
      <c r="K20" s="34"/>
      <c r="L20" s="144"/>
      <c r="M20" s="145"/>
    </row>
    <row r="21" spans="1:17" s="31" customFormat="1" ht="12.75" customHeight="1" x14ac:dyDescent="0.25">
      <c r="A21" s="33"/>
      <c r="B21" s="33"/>
      <c r="C21" s="34"/>
      <c r="D21" s="35"/>
      <c r="E21" s="36"/>
      <c r="F21" s="36"/>
      <c r="G21" s="37"/>
      <c r="H21" s="34"/>
      <c r="I21" s="71"/>
      <c r="J21" s="34"/>
      <c r="K21" s="34"/>
      <c r="L21" s="144"/>
      <c r="M21" s="145"/>
    </row>
    <row r="22" spans="1:17" s="31" customFormat="1" ht="12.75" customHeight="1" x14ac:dyDescent="0.25">
      <c r="A22" s="33"/>
      <c r="B22" s="33"/>
      <c r="C22" s="34"/>
      <c r="D22" s="35"/>
      <c r="E22" s="36"/>
      <c r="F22" s="36"/>
      <c r="G22" s="37"/>
      <c r="H22" s="34"/>
      <c r="I22" s="71"/>
      <c r="J22" s="34"/>
      <c r="K22" s="40"/>
      <c r="L22" s="144"/>
      <c r="M22" s="145"/>
    </row>
    <row r="23" spans="1:17" s="57" customFormat="1" ht="12.75" customHeight="1" x14ac:dyDescent="0.25">
      <c r="A23" s="52"/>
      <c r="B23" s="52"/>
      <c r="C23" s="52"/>
      <c r="D23" s="35"/>
      <c r="E23" s="54"/>
      <c r="F23" s="36"/>
      <c r="G23" s="55"/>
      <c r="H23" s="34"/>
      <c r="I23" s="71"/>
      <c r="J23" s="52"/>
      <c r="K23" s="52"/>
      <c r="L23" s="146"/>
      <c r="M23" s="52"/>
    </row>
    <row r="24" spans="1:17" s="68" customFormat="1" ht="12.75" customHeight="1" x14ac:dyDescent="0.25">
      <c r="A24" s="58" t="s">
        <v>158</v>
      </c>
      <c r="B24" s="59"/>
      <c r="C24" s="60"/>
      <c r="D24" s="35">
        <f>SUM(D8:D23)</f>
        <v>0.15000000000000002</v>
      </c>
      <c r="E24" s="62">
        <f>SUM(E7:E19)</f>
        <v>3532046.2978499993</v>
      </c>
      <c r="F24" s="36"/>
      <c r="G24" s="63"/>
      <c r="H24" s="34"/>
      <c r="I24" s="71"/>
      <c r="J24" s="64"/>
      <c r="K24" s="62">
        <f>SUM(K7:K22)</f>
        <v>3532191.5331839216</v>
      </c>
      <c r="L24" s="147">
        <f>Table138[[#This Row],[Current Value Allocation]]/$K$2</f>
        <v>0.1487324917167622</v>
      </c>
      <c r="M24" s="67"/>
    </row>
    <row r="25" spans="1:17" s="57" customFormat="1" ht="12.75" customHeight="1" x14ac:dyDescent="0.25">
      <c r="A25" s="52"/>
      <c r="B25" s="52"/>
      <c r="C25" s="52"/>
      <c r="D25" s="35"/>
      <c r="E25" s="54"/>
      <c r="F25" s="36"/>
      <c r="G25" s="55"/>
      <c r="H25" s="34"/>
      <c r="I25" s="71"/>
      <c r="J25" s="52"/>
      <c r="K25" s="52"/>
      <c r="L25" s="148"/>
      <c r="M25" s="52"/>
    </row>
    <row r="26" spans="1:17" s="31" customFormat="1" ht="12.75" customHeight="1" x14ac:dyDescent="0.25">
      <c r="A26" s="34"/>
      <c r="B26" s="70" t="s">
        <v>5</v>
      </c>
      <c r="C26" s="71" t="s">
        <v>27</v>
      </c>
      <c r="D26" s="35">
        <f>INDEX('July 7-14 - Second_old'!D:D,MATCH(Table138[[#This Row],[Financial Instrument]],'July 7-14 - Second_old'!C:C,0))</f>
        <v>0.05</v>
      </c>
      <c r="E26" s="73">
        <f>Table138[[#This Row],[Target Allocation (%)]]*$C$2*$C$3</f>
        <v>1177348.7659500001</v>
      </c>
      <c r="F26" s="36">
        <v>17.309996831432194</v>
      </c>
      <c r="G26" s="74">
        <f>Table138[[#This Row],[Target Value Allocation (USD)]]/Table138[[#This Row],[Last price]]</f>
        <v>68015.539079251743</v>
      </c>
      <c r="H26" s="34">
        <v>63120</v>
      </c>
      <c r="I26" s="71">
        <f>INDEX('July 7-14 - Second_old'!I:I,MATCH(Table138[[#This Row],[Financial Instrument]],'July 7-14 - Second_old'!C:C,0))</f>
        <v>68016</v>
      </c>
      <c r="J26" s="75">
        <f>I26-H26</f>
        <v>4896</v>
      </c>
      <c r="K26" s="40">
        <f>Table138[[#This Row],[Last price]]*Table138[[#This Row],[Current Quantity]]</f>
        <v>1177356.7444866921</v>
      </c>
      <c r="L26" s="149">
        <f>Table138[[#This Row],[Current Value Allocation]]/$K$2</f>
        <v>4.957579468778002E-2</v>
      </c>
      <c r="M26" s="77"/>
      <c r="Q26" s="42"/>
    </row>
    <row r="27" spans="1:17" s="31" customFormat="1" ht="12.75" customHeight="1" x14ac:dyDescent="0.25">
      <c r="A27" s="33"/>
      <c r="B27" s="33"/>
      <c r="C27" s="34"/>
      <c r="D27" s="35"/>
      <c r="E27" s="73"/>
      <c r="F27" s="36"/>
      <c r="G27" s="37"/>
      <c r="H27" s="34"/>
      <c r="I27" s="71"/>
      <c r="J27" s="34"/>
      <c r="K27" s="40"/>
      <c r="L27" s="142"/>
      <c r="M27" s="81"/>
      <c r="Q27" s="42"/>
    </row>
    <row r="28" spans="1:17" ht="26.25" x14ac:dyDescent="0.25">
      <c r="A28" s="33" t="s">
        <v>128</v>
      </c>
      <c r="B28" s="82" t="s">
        <v>94</v>
      </c>
      <c r="C28" s="83" t="s">
        <v>95</v>
      </c>
      <c r="D28" s="35">
        <f>INDEX('July 7-14 - Second_old'!D:D,MATCH(Table138[[#This Row],[Financial Instrument]],'July 7-14 - Second_old'!C:C,0))</f>
        <v>0.05</v>
      </c>
      <c r="E28" s="73">
        <f>Table138[[#This Row],[Target Allocation (%)]]*$C$2*$C$3</f>
        <v>1177348.7659500001</v>
      </c>
      <c r="F28" s="36">
        <v>157514.57142857142</v>
      </c>
      <c r="G28" s="86">
        <f>Table138[[#This Row],[Target Value Allocation (USD)]]/Table138[[#This Row],[Last price]]</f>
        <v>7.474538738048726</v>
      </c>
      <c r="H28" s="34">
        <v>7</v>
      </c>
      <c r="I28" s="71">
        <f>INDEX('July 7-14 - Second_old'!I:I,MATCH(Table138[[#This Row],[Financial Instrument]],'July 7-14 - Second_old'!C:C,0))</f>
        <v>7</v>
      </c>
      <c r="J28" s="38">
        <f t="shared" ref="J28:J34" si="1">I28-H28</f>
        <v>0</v>
      </c>
      <c r="K28" s="40">
        <f>Table138[[#This Row],[Last price]]*Table138[[#This Row],[Current Quantity]]</f>
        <v>1102602</v>
      </c>
      <c r="L28" s="142">
        <f>Table138[[#This Row],[Current Value Allocation]]/$K$2</f>
        <v>4.6428043692200965E-2</v>
      </c>
      <c r="M28" s="87"/>
    </row>
    <row r="29" spans="1:17" ht="26.25" x14ac:dyDescent="0.25">
      <c r="A29" s="33" t="s">
        <v>128</v>
      </c>
      <c r="B29" s="82" t="s">
        <v>98</v>
      </c>
      <c r="C29" s="83" t="s">
        <v>99</v>
      </c>
      <c r="D29" s="35">
        <f>INDEX('July 7-14 - Second_old'!D:D,MATCH(Table138[[#This Row],[Financial Instrument]],'July 7-14 - Second_old'!C:C,0))</f>
        <v>0.05</v>
      </c>
      <c r="E29" s="73">
        <f>Table138[[#This Row],[Target Allocation (%)]]*$C$2*$C$3</f>
        <v>1177348.7659500001</v>
      </c>
      <c r="F29" s="36">
        <v>219394.4</v>
      </c>
      <c r="G29" s="86">
        <f>Table138[[#This Row],[Target Value Allocation (USD)]]/Table138[[#This Row],[Last price]]</f>
        <v>5.3663574181929903</v>
      </c>
      <c r="H29" s="34">
        <v>5</v>
      </c>
      <c r="I29" s="71">
        <f>INDEX('July 7-14 - Second_old'!I:I,MATCH(Table138[[#This Row],[Financial Instrument]],'July 7-14 - Second_old'!C:C,0))</f>
        <v>5</v>
      </c>
      <c r="J29" s="38">
        <f t="shared" si="1"/>
        <v>0</v>
      </c>
      <c r="K29" s="40">
        <f>Table138[[#This Row],[Last price]]*Table138[[#This Row],[Current Quantity]]</f>
        <v>1096972</v>
      </c>
      <c r="L29" s="142">
        <f>Table138[[#This Row],[Current Value Allocation]]/$K$2</f>
        <v>4.6190977292913556E-2</v>
      </c>
      <c r="M29" s="87"/>
    </row>
    <row r="30" spans="1:17" ht="26.25" x14ac:dyDescent="0.25">
      <c r="A30" s="33" t="s">
        <v>128</v>
      </c>
      <c r="B30" s="82" t="s">
        <v>101</v>
      </c>
      <c r="C30" s="83" t="s">
        <v>102</v>
      </c>
      <c r="D30" s="35">
        <f>INDEX('July 7-14 - Second_old'!D:D,MATCH(Table138[[#This Row],[Financial Instrument]],'July 7-14 - Second_old'!C:C,0))</f>
        <v>0.05</v>
      </c>
      <c r="E30" s="73">
        <f>Table138[[#This Row],[Target Allocation (%)]]*$C$2*$C$3</f>
        <v>1177348.7659500001</v>
      </c>
      <c r="F30" s="36">
        <v>178980</v>
      </c>
      <c r="G30" s="86">
        <f>Table138[[#This Row],[Target Value Allocation (USD)]]/Table138[[#This Row],[Last price]]</f>
        <v>6.5781023910492804</v>
      </c>
      <c r="H30" s="34">
        <v>6</v>
      </c>
      <c r="I30" s="71">
        <f>INDEX('July 7-14 - Second_old'!I:I,MATCH(Table138[[#This Row],[Financial Instrument]],'July 7-14 - Second_old'!C:C,0))</f>
        <v>7</v>
      </c>
      <c r="J30" s="38">
        <f t="shared" si="1"/>
        <v>1</v>
      </c>
      <c r="K30" s="40">
        <f>Table138[[#This Row],[Last price]]*Table138[[#This Row],[Current Quantity]]</f>
        <v>1252860</v>
      </c>
      <c r="L30" s="142">
        <f>Table138[[#This Row],[Current Value Allocation]]/$K$2</f>
        <v>5.275506376753434E-2</v>
      </c>
      <c r="M30" s="87"/>
    </row>
    <row r="31" spans="1:17" ht="26.25" x14ac:dyDescent="0.25">
      <c r="A31" s="33" t="s">
        <v>128</v>
      </c>
      <c r="B31" s="82" t="s">
        <v>104</v>
      </c>
      <c r="C31" s="83" t="s">
        <v>105</v>
      </c>
      <c r="D31" s="35">
        <f>INDEX('July 7-14 - Second_old'!D:D,MATCH(Table138[[#This Row],[Financial Instrument]],'July 7-14 - Second_old'!C:C,0))</f>
        <v>0.05</v>
      </c>
      <c r="E31" s="73">
        <f>Table138[[#This Row],[Target Allocation (%)]]*$C$2*$C$3</f>
        <v>1177348.7659500001</v>
      </c>
      <c r="F31" s="36">
        <v>125710.77777777778</v>
      </c>
      <c r="G31" s="86">
        <f>Table138[[#This Row],[Target Value Allocation (USD)]]/Table138[[#This Row],[Last price]]</f>
        <v>9.365535610886365</v>
      </c>
      <c r="H31" s="34">
        <v>9</v>
      </c>
      <c r="I31" s="71">
        <f>INDEX('July 7-14 - Second_old'!I:I,MATCH(Table138[[#This Row],[Financial Instrument]],'July 7-14 - Second_old'!C:C,0))</f>
        <v>9</v>
      </c>
      <c r="J31" s="38">
        <f t="shared" si="1"/>
        <v>0</v>
      </c>
      <c r="K31" s="40">
        <f>Table138[[#This Row],[Last price]]*Table138[[#This Row],[Current Quantity]]</f>
        <v>1131397</v>
      </c>
      <c r="L31" s="142">
        <f>Table138[[#This Row],[Current Value Allocation]]/$K$2</f>
        <v>4.7640535160670024E-2</v>
      </c>
      <c r="M31" s="87"/>
    </row>
    <row r="32" spans="1:17" ht="26.25" x14ac:dyDescent="0.25">
      <c r="A32" s="33" t="s">
        <v>128</v>
      </c>
      <c r="B32" s="82" t="s">
        <v>107</v>
      </c>
      <c r="C32" s="83" t="s">
        <v>108</v>
      </c>
      <c r="D32" s="35">
        <f>INDEX('July 7-14 - Second_old'!D:D,MATCH(Table138[[#This Row],[Financial Instrument]],'July 7-14 - Second_old'!C:C,0))</f>
        <v>0.05</v>
      </c>
      <c r="E32" s="73">
        <f>Table138[[#This Row],[Target Allocation (%)]]*$C$2*$C$3</f>
        <v>1177348.7659500001</v>
      </c>
      <c r="F32" s="36">
        <v>139165.875</v>
      </c>
      <c r="G32" s="86">
        <f>Table138[[#This Row],[Target Value Allocation (USD)]]/Table138[[#This Row],[Last price]]</f>
        <v>8.460039258546681</v>
      </c>
      <c r="H32" s="34">
        <v>8</v>
      </c>
      <c r="I32" s="71">
        <f>INDEX('July 7-14 - Second_old'!I:I,MATCH(Table138[[#This Row],[Financial Instrument]],'July 7-14 - Second_old'!C:C,0))</f>
        <v>8</v>
      </c>
      <c r="J32" s="38">
        <f t="shared" si="1"/>
        <v>0</v>
      </c>
      <c r="K32" s="40">
        <f>Table138[[#This Row],[Last price]]*Table138[[#This Row],[Current Quantity]]</f>
        <v>1113327</v>
      </c>
      <c r="L32" s="142">
        <f>Table138[[#This Row],[Current Value Allocation]]/$K$2</f>
        <v>4.6879648866687183E-2</v>
      </c>
      <c r="M32" s="87"/>
    </row>
    <row r="33" spans="1:17" ht="26.25" x14ac:dyDescent="0.25">
      <c r="A33" s="43" t="s">
        <v>128</v>
      </c>
      <c r="B33" s="82" t="s">
        <v>110</v>
      </c>
      <c r="C33" s="83" t="s">
        <v>111</v>
      </c>
      <c r="D33" s="35">
        <f>INDEX('July 7-14 - Second_old'!D:D,MATCH(Table138[[#This Row],[Financial Instrument]],'July 7-14 - Second_old'!C:C,0))</f>
        <v>4.4443999999999997E-2</v>
      </c>
      <c r="E33" s="73">
        <f>Table138[[#This Row],[Target Allocation (%)]]*$C$2*$C$3</f>
        <v>1046521.7710776359</v>
      </c>
      <c r="F33" s="36">
        <v>416347.5</v>
      </c>
      <c r="G33" s="86">
        <f>Table138[[#This Row],[Target Value Allocation (USD)]]/Table138[[#This Row],[Last price]]</f>
        <v>2.5135776510670436</v>
      </c>
      <c r="H33" s="34">
        <v>2</v>
      </c>
      <c r="I33" s="71">
        <f>INDEX('July 7-14 - Second_old'!I:I,MATCH(Table138[[#This Row],[Financial Instrument]],'July 7-14 - Second_old'!C:C,0))</f>
        <v>3</v>
      </c>
      <c r="J33" s="38">
        <f t="shared" si="1"/>
        <v>1</v>
      </c>
      <c r="K33" s="40">
        <f>Table138[[#This Row],[Last price]]*Table138[[#This Row],[Current Quantity]]</f>
        <v>1249042.5</v>
      </c>
      <c r="L33" s="142">
        <f>Table138[[#This Row],[Current Value Allocation]]/$K$2</f>
        <v>5.2594317590042391E-2</v>
      </c>
      <c r="M33" s="87"/>
    </row>
    <row r="34" spans="1:17" ht="26.25" x14ac:dyDescent="0.25">
      <c r="A34" s="34" t="s">
        <v>128</v>
      </c>
      <c r="B34" s="89" t="s">
        <v>116</v>
      </c>
      <c r="C34" s="90" t="s">
        <v>117</v>
      </c>
      <c r="D34" s="35">
        <f>INDEX('July 7-14 - Second_old'!D:D,MATCH(Table138[[#This Row],[Financial Instrument]],'July 7-14 - Second_old'!C:C,0))</f>
        <v>0.05</v>
      </c>
      <c r="E34" s="73">
        <f>Table138[[#This Row],[Target Allocation (%)]]*$C$2*$C$3</f>
        <v>1177348.7659500001</v>
      </c>
      <c r="F34" s="36">
        <v>220796.79999999999</v>
      </c>
      <c r="G34" s="93">
        <f>Table138[[#This Row],[Target Value Allocation (USD)]]/Table138[[#This Row],[Last price]]</f>
        <v>5.33227277727757</v>
      </c>
      <c r="H34" s="34">
        <v>5</v>
      </c>
      <c r="I34" s="71">
        <f>INDEX('July 7-14 - Second_old'!I:I,MATCH(Table138[[#This Row],[Financial Instrument]],'July 7-14 - Second_old'!C:C,0))</f>
        <v>5</v>
      </c>
      <c r="J34" s="38">
        <f t="shared" si="1"/>
        <v>0</v>
      </c>
      <c r="K34" s="40">
        <f>Table138[[#This Row],[Last price]]*Table138[[#This Row],[Current Quantity]]</f>
        <v>1103984</v>
      </c>
      <c r="L34" s="143">
        <f>Table138[[#This Row],[Current Value Allocation]]/$K$2</f>
        <v>4.6486236545454106E-2</v>
      </c>
      <c r="M34" s="94"/>
    </row>
    <row r="35" spans="1:17" s="100" customFormat="1" ht="12.75" x14ac:dyDescent="0.2">
      <c r="A35" s="52"/>
      <c r="B35" s="95"/>
      <c r="C35" s="95"/>
      <c r="D35" s="35"/>
      <c r="E35" s="97"/>
      <c r="F35" s="36"/>
      <c r="G35" s="98"/>
      <c r="H35" s="34"/>
      <c r="I35" s="71"/>
      <c r="J35" s="52"/>
      <c r="K35" s="52"/>
      <c r="L35" s="146"/>
      <c r="M35" s="99"/>
    </row>
    <row r="36" spans="1:17" s="15" customFormat="1" ht="12.75" x14ac:dyDescent="0.2">
      <c r="A36" s="58" t="s">
        <v>159</v>
      </c>
      <c r="B36" s="101"/>
      <c r="C36" s="102"/>
      <c r="D36" s="35"/>
      <c r="E36" s="104">
        <f>SUM(E28:E34)</f>
        <v>8110614.3667776361</v>
      </c>
      <c r="F36" s="36"/>
      <c r="G36" s="106"/>
      <c r="H36" s="34"/>
      <c r="I36" s="71"/>
      <c r="J36" s="60"/>
      <c r="K36" s="104">
        <f>SUM(K28:K34)</f>
        <v>8050184.5</v>
      </c>
      <c r="L36" s="151">
        <f>Table138[[#This Row],[Current Value Allocation]]/$K$2</f>
        <v>0.33897482291550257</v>
      </c>
      <c r="M36" s="109"/>
    </row>
    <row r="37" spans="1:17" s="100" customFormat="1" ht="12.75" x14ac:dyDescent="0.2">
      <c r="A37" s="52"/>
      <c r="B37" s="95"/>
      <c r="C37" s="95"/>
      <c r="D37" s="35"/>
      <c r="E37" s="97"/>
      <c r="F37" s="36"/>
      <c r="G37" s="98"/>
      <c r="H37" s="34"/>
      <c r="I37" s="71"/>
      <c r="J37" s="52"/>
      <c r="K37" s="52"/>
      <c r="L37" s="148"/>
      <c r="M37" s="99"/>
    </row>
    <row r="38" spans="1:17" s="31" customFormat="1" ht="25.5" customHeight="1" x14ac:dyDescent="0.2">
      <c r="A38" s="34" t="s">
        <v>130</v>
      </c>
      <c r="B38" s="70" t="s">
        <v>39</v>
      </c>
      <c r="C38" s="71" t="s">
        <v>40</v>
      </c>
      <c r="D38" s="35">
        <f>INDEX('July 7-14 - Second_old'!D:D,MATCH(Table138[[#This Row],[Financial Instrument]],'July 7-14 - Second_old'!C:C,0))</f>
        <v>4.4443999999999997E-2</v>
      </c>
      <c r="E38" s="73">
        <f>Table138[[#This Row],[Target Allocation (%)]]*$C$2*$C$3</f>
        <v>1046521.7710776359</v>
      </c>
      <c r="F38" s="36">
        <v>93965.1</v>
      </c>
      <c r="G38" s="74">
        <f>Table138[[#This Row],[Target Value Allocation (USD)]]/Table138[[#This Row],[Last price]]</f>
        <v>11.137345366286375</v>
      </c>
      <c r="H38" s="34">
        <v>10</v>
      </c>
      <c r="I38" s="71">
        <f>INDEX('July 7-14 - Second_old'!I:I,MATCH(Table138[[#This Row],[Financial Instrument]],'July 7-14 - Second_old'!C:C,0))</f>
        <v>11</v>
      </c>
      <c r="J38" s="38">
        <f>I38-H38</f>
        <v>1</v>
      </c>
      <c r="K38" s="40">
        <f>Table138[[#This Row],[Last price]]*Table138[[#This Row],[Current Quantity]]</f>
        <v>1033616.1000000001</v>
      </c>
      <c r="L38" s="149">
        <f>Table138[[#This Row],[Current Value Allocation]]/$K$2</f>
        <v>4.3523205519092445E-2</v>
      </c>
      <c r="M38" s="77"/>
      <c r="N38" s="2"/>
      <c r="Q38" s="42"/>
    </row>
    <row r="39" spans="1:17" s="31" customFormat="1" ht="25.5" customHeight="1" x14ac:dyDescent="0.2">
      <c r="A39" s="70"/>
      <c r="B39" s="33"/>
      <c r="C39" s="34"/>
      <c r="D39" s="35"/>
      <c r="E39" s="73"/>
      <c r="F39" s="36"/>
      <c r="G39" s="37"/>
      <c r="H39" s="34"/>
      <c r="I39" s="71"/>
      <c r="J39" s="38"/>
      <c r="K39" s="40"/>
      <c r="L39" s="142"/>
      <c r="M39" s="40"/>
      <c r="N39" s="2"/>
    </row>
    <row r="40" spans="1:17" s="31" customFormat="1" ht="25.5" customHeight="1" x14ac:dyDescent="0.2">
      <c r="A40" s="33"/>
      <c r="B40" s="33"/>
      <c r="C40" s="34"/>
      <c r="D40" s="35"/>
      <c r="E40" s="73"/>
      <c r="F40" s="36"/>
      <c r="G40" s="37"/>
      <c r="H40" s="34"/>
      <c r="I40" s="71"/>
      <c r="J40" s="38"/>
      <c r="K40" s="40"/>
      <c r="L40" s="142"/>
      <c r="M40" s="40"/>
      <c r="N40" s="2"/>
    </row>
    <row r="41" spans="1:17" s="31" customFormat="1" ht="25.5" customHeight="1" x14ac:dyDescent="0.2">
      <c r="A41" s="33" t="s">
        <v>130</v>
      </c>
      <c r="B41" s="33" t="s">
        <v>50</v>
      </c>
      <c r="C41" s="34" t="s">
        <v>51</v>
      </c>
      <c r="D41" s="35">
        <f>INDEX('July 7-14 - Second_old'!D:D,MATCH(Table138[[#This Row],[Financial Instrument]],'July 7-14 - Second_old'!C:C,0))</f>
        <v>0.05</v>
      </c>
      <c r="E41" s="73">
        <f>Table138[[#This Row],[Target Allocation (%)]]*$C$2*$C$3</f>
        <v>1177348.7659500001</v>
      </c>
      <c r="F41" s="36">
        <v>113706.66666666667</v>
      </c>
      <c r="G41" s="37">
        <f>Table138[[#This Row],[Target Value Allocation (USD)]]/Table138[[#This Row],[Last price]]</f>
        <v>10.354263302796671</v>
      </c>
      <c r="H41" s="34">
        <v>9</v>
      </c>
      <c r="I41" s="71">
        <f>INDEX('July 7-14 - Second_old'!I:I,MATCH(Table138[[#This Row],[Financial Instrument]],'July 7-14 - Second_old'!C:C,0))</f>
        <v>10</v>
      </c>
      <c r="J41" s="38">
        <f>I41-H41</f>
        <v>1</v>
      </c>
      <c r="K41" s="40">
        <f>Table138[[#This Row],[Last price]]*Table138[[#This Row],[Current Quantity]]</f>
        <v>1137066.6666666667</v>
      </c>
      <c r="L41" s="142">
        <f>Table138[[#This Row],[Current Value Allocation]]/$K$2</f>
        <v>4.7879271832397652E-2</v>
      </c>
      <c r="M41" s="40"/>
      <c r="N41" s="2"/>
    </row>
    <row r="42" spans="1:17" s="31" customFormat="1" ht="25.5" customHeight="1" x14ac:dyDescent="0.2">
      <c r="A42" s="33" t="s">
        <v>130</v>
      </c>
      <c r="B42" s="259" t="s">
        <v>54</v>
      </c>
      <c r="C42" s="34" t="s">
        <v>55</v>
      </c>
      <c r="D42" s="35">
        <f>INDEX('July 7-14 - Second_old'!D:D,MATCH(Table138[[#This Row],[Financial Instrument]],'July 7-14 - Second_old'!C:C,0))</f>
        <v>4.4443999999999997E-2</v>
      </c>
      <c r="E42" s="73">
        <f>Table138[[#This Row],[Target Allocation (%)]]*$C$2*$C$3</f>
        <v>1046521.7710776359</v>
      </c>
      <c r="F42" s="36">
        <v>249570.5</v>
      </c>
      <c r="G42" s="37">
        <f>Table138[[#This Row],[Target Value Allocation (USD)]]/Table138[[#This Row],[Last price]]</f>
        <v>4.193291158520883</v>
      </c>
      <c r="H42" s="34">
        <v>4</v>
      </c>
      <c r="I42" s="71">
        <f>INDEX('July 7-14 - Second_old'!I:I,MATCH(Table138[[#This Row],[Financial Instrument]],'July 7-14 - Second_old'!C:C,0))</f>
        <v>4</v>
      </c>
      <c r="J42" s="38">
        <f>I42-H42</f>
        <v>0</v>
      </c>
      <c r="K42" s="40">
        <f>Table138[[#This Row],[Last price]]*Table138[[#This Row],[Current Quantity]]</f>
        <v>998282</v>
      </c>
      <c r="L42" s="142">
        <f>Table138[[#This Row],[Current Value Allocation]]/$K$2</f>
        <v>4.2035367533468794E-2</v>
      </c>
      <c r="M42" s="40"/>
      <c r="N42" s="2"/>
    </row>
    <row r="43" spans="1:17" s="31" customFormat="1" ht="25.5" customHeight="1" x14ac:dyDescent="0.2">
      <c r="A43" s="33" t="s">
        <v>130</v>
      </c>
      <c r="B43" s="33" t="s">
        <v>58</v>
      </c>
      <c r="C43" s="34" t="s">
        <v>59</v>
      </c>
      <c r="D43" s="35">
        <f>INDEX('July 7-14 - Second_old'!D:D,MATCH(Table138[[#This Row],[Financial Instrument]],'July 7-14 - Second_old'!C:C,0))</f>
        <v>4.4443999999999997E-2</v>
      </c>
      <c r="E43" s="73">
        <f>Table138[[#This Row],[Target Allocation (%)]]*$C$2*$C$3</f>
        <v>1046521.7710776359</v>
      </c>
      <c r="F43" s="36">
        <v>111854.22222222222</v>
      </c>
      <c r="G43" s="37">
        <f>Table138[[#This Row],[Target Value Allocation (USD)]]/Table138[[#This Row],[Last price]]</f>
        <v>9.3561221944621611</v>
      </c>
      <c r="H43" s="34">
        <v>9</v>
      </c>
      <c r="I43" s="71">
        <f>INDEX('July 7-14 - Second_old'!I:I,MATCH(Table138[[#This Row],[Financial Instrument]],'July 7-14 - Second_old'!C:C,0))</f>
        <v>9</v>
      </c>
      <c r="J43" s="38">
        <f>I43-H43</f>
        <v>0</v>
      </c>
      <c r="K43" s="40">
        <f>Table138[[#This Row],[Last price]]*Table138[[#This Row],[Current Quantity]]</f>
        <v>1006688</v>
      </c>
      <c r="L43" s="142">
        <f>Table138[[#This Row],[Current Value Allocation]]/$K$2</f>
        <v>4.2389324931765407E-2</v>
      </c>
      <c r="M43" s="40"/>
      <c r="N43" s="2"/>
    </row>
    <row r="44" spans="1:17" s="31" customFormat="1" ht="25.5" customHeight="1" x14ac:dyDescent="0.2">
      <c r="A44" s="33"/>
      <c r="B44" s="33"/>
      <c r="C44" s="34"/>
      <c r="D44" s="35"/>
      <c r="E44" s="73"/>
      <c r="F44" s="36"/>
      <c r="G44" s="37"/>
      <c r="H44" s="34"/>
      <c r="I44" s="71"/>
      <c r="J44" s="38"/>
      <c r="K44" s="40"/>
      <c r="L44" s="142"/>
      <c r="M44" s="40"/>
      <c r="N44" s="2"/>
    </row>
    <row r="45" spans="1:17" s="31" customFormat="1" ht="12.75" x14ac:dyDescent="0.2">
      <c r="A45" s="33"/>
      <c r="B45" s="33"/>
      <c r="C45" s="34"/>
      <c r="D45" s="35"/>
      <c r="E45" s="73"/>
      <c r="F45" s="36"/>
      <c r="G45" s="37"/>
      <c r="H45" s="34"/>
      <c r="I45" s="71"/>
      <c r="J45" s="38"/>
      <c r="K45" s="40"/>
      <c r="L45" s="142"/>
      <c r="M45" s="40"/>
      <c r="N45" s="2"/>
    </row>
    <row r="46" spans="1:17" s="31" customFormat="1" ht="25.5" customHeight="1" x14ac:dyDescent="0.2">
      <c r="A46" s="33"/>
      <c r="B46" s="33"/>
      <c r="C46" s="34"/>
      <c r="D46" s="35"/>
      <c r="E46" s="73"/>
      <c r="F46" s="36"/>
      <c r="G46" s="37"/>
      <c r="H46" s="34"/>
      <c r="I46" s="71"/>
      <c r="J46" s="38"/>
      <c r="K46" s="40"/>
      <c r="L46" s="142"/>
      <c r="M46" s="40"/>
      <c r="N46" s="2"/>
    </row>
    <row r="47" spans="1:17" s="31" customFormat="1" ht="25.5" customHeight="1" x14ac:dyDescent="0.2">
      <c r="A47" s="33"/>
      <c r="B47" s="33"/>
      <c r="C47" s="34"/>
      <c r="D47" s="35"/>
      <c r="E47" s="73"/>
      <c r="F47" s="36"/>
      <c r="G47" s="37"/>
      <c r="H47" s="34"/>
      <c r="I47" s="71"/>
      <c r="J47" s="38"/>
      <c r="K47" s="40"/>
      <c r="L47" s="142"/>
      <c r="M47" s="40"/>
      <c r="N47" s="2"/>
    </row>
    <row r="48" spans="1:17" s="31" customFormat="1" ht="25.5" x14ac:dyDescent="0.2">
      <c r="A48" s="33" t="s">
        <v>130</v>
      </c>
      <c r="B48" s="259" t="s">
        <v>60</v>
      </c>
      <c r="C48" s="34" t="s">
        <v>61</v>
      </c>
      <c r="D48" s="35">
        <f>INDEX('July 7-14 - Second_old'!D:D,MATCH(Table138[[#This Row],[Financial Instrument]],'July 7-14 - Second_old'!C:C,0))</f>
        <v>4.4443999999999997E-2</v>
      </c>
      <c r="E48" s="73">
        <f>Table138[[#This Row],[Target Allocation (%)]]*$C$2*$C$3</f>
        <v>1046521.7710776359</v>
      </c>
      <c r="F48" s="36">
        <v>249331.25</v>
      </c>
      <c r="G48" s="37">
        <f>Table138[[#This Row],[Target Value Allocation (USD)]]/Table138[[#This Row],[Last price]]</f>
        <v>4.1973149016725175</v>
      </c>
      <c r="H48" s="34">
        <v>4</v>
      </c>
      <c r="I48" s="71">
        <f>INDEX('July 7-14 - Second_old'!I:I,MATCH(Table138[[#This Row],[Financial Instrument]],'July 7-14 - Second_old'!C:C,0))</f>
        <v>4</v>
      </c>
      <c r="J48" s="38">
        <f>I48-H48</f>
        <v>0</v>
      </c>
      <c r="K48" s="40">
        <f>Table138[[#This Row],[Last price]]*Table138[[#This Row],[Current Quantity]]</f>
        <v>997325</v>
      </c>
      <c r="L48" s="142">
        <f>Table138[[#This Row],[Current Value Allocation]]/$K$2</f>
        <v>4.1995070456360792E-2</v>
      </c>
      <c r="M48" s="40"/>
      <c r="N48" s="2"/>
    </row>
    <row r="49" spans="1:18" s="31" customFormat="1" ht="25.5" x14ac:dyDescent="0.2">
      <c r="A49" s="33" t="s">
        <v>130</v>
      </c>
      <c r="B49" s="259" t="s">
        <v>253</v>
      </c>
      <c r="C49" s="34" t="s">
        <v>175</v>
      </c>
      <c r="D49" s="35">
        <f>INDEX('July 7-14 - Second_old'!D:D,MATCH(Table138[[#This Row],[Financial Instrument]],'July 7-14 - Second_old'!C:C,0))</f>
        <v>4.4443999999999997E-2</v>
      </c>
      <c r="E49" s="73">
        <f>Table138[[#This Row],[Target Allocation (%)]]*$C$2*$C$3</f>
        <v>1046521.7710776359</v>
      </c>
      <c r="F49" s="36">
        <v>285331.33333333331</v>
      </c>
      <c r="G49" s="37">
        <f>Table138[[#This Row],[Target Value Allocation (USD)]]/Table138[[#This Row],[Last price]]</f>
        <v>3.6677421958949572</v>
      </c>
      <c r="H49" s="34">
        <v>3</v>
      </c>
      <c r="I49" s="71">
        <f>INDEX('July 7-14 - Second_old'!I:I,MATCH(Table138[[#This Row],[Financial Instrument]],'July 7-14 - Second_old'!C:C,0))</f>
        <v>4</v>
      </c>
      <c r="J49" s="38">
        <f>I49-H49</f>
        <v>1</v>
      </c>
      <c r="K49" s="40">
        <f>Table138[[#This Row],[Last price]]*Table138[[#This Row],[Current Quantity]]</f>
        <v>1141325.3333333333</v>
      </c>
      <c r="L49" s="142">
        <f>Table138[[#This Row],[Current Value Allocation]]/$K$2</f>
        <v>4.8058594527323389E-2</v>
      </c>
      <c r="M49" s="40"/>
      <c r="N49" s="2"/>
    </row>
    <row r="50" spans="1:18" s="31" customFormat="1" ht="25.5" x14ac:dyDescent="0.2">
      <c r="A50" s="33" t="s">
        <v>130</v>
      </c>
      <c r="B50" s="33" t="s">
        <v>62</v>
      </c>
      <c r="C50" s="34" t="s">
        <v>63</v>
      </c>
      <c r="D50" s="35">
        <f>INDEX('July 7-14 - Second_old'!D:D,MATCH(Table138[[#This Row],[Financial Instrument]],'July 7-14 - Second_old'!C:C,0))</f>
        <v>4.4443999999999997E-2</v>
      </c>
      <c r="E50" s="73">
        <f>Table138[[#This Row],[Target Allocation (%)]]*$C$2*$C$3</f>
        <v>1046521.7710776359</v>
      </c>
      <c r="F50" s="36">
        <v>172095.83333333334</v>
      </c>
      <c r="G50" s="37">
        <f>Table138[[#This Row],[Target Value Allocation (USD)]]/Table138[[#This Row],[Last price]]</f>
        <v>6.0810407248537057</v>
      </c>
      <c r="H50" s="34">
        <v>6</v>
      </c>
      <c r="I50" s="71">
        <f>INDEX('July 7-14 - Second_old'!I:I,MATCH(Table138[[#This Row],[Financial Instrument]],'July 7-14 - Second_old'!C:C,0))</f>
        <v>6</v>
      </c>
      <c r="J50" s="38">
        <f>I50-H50</f>
        <v>0</v>
      </c>
      <c r="K50" s="40">
        <f>Table138[[#This Row],[Last price]]*Table138[[#This Row],[Current Quantity]]</f>
        <v>1032575</v>
      </c>
      <c r="L50" s="142">
        <f>Table138[[#This Row],[Current Value Allocation]]/$K$2</f>
        <v>4.3479367183693128E-2</v>
      </c>
      <c r="M50" s="40"/>
      <c r="N50" s="2"/>
    </row>
    <row r="51" spans="1:18" s="31" customFormat="1" ht="25.5" x14ac:dyDescent="0.2">
      <c r="A51" s="33" t="s">
        <v>130</v>
      </c>
      <c r="B51" s="33" t="s">
        <v>66</v>
      </c>
      <c r="C51" s="34" t="s">
        <v>67</v>
      </c>
      <c r="D51" s="35">
        <f>INDEX('July 7-14 - Second_old'!D:D,MATCH(Table138[[#This Row],[Financial Instrument]],'July 7-14 - Second_old'!C:C,0))</f>
        <v>4.4443999999999997E-2</v>
      </c>
      <c r="E51" s="73">
        <f>Table138[[#This Row],[Target Allocation (%)]]*$C$2*$C$3</f>
        <v>1046521.7710776359</v>
      </c>
      <c r="F51" s="36">
        <v>698600</v>
      </c>
      <c r="G51" s="37">
        <f>Table138[[#This Row],[Target Value Allocation (USD)]]/Table138[[#This Row],[Last price]]</f>
        <v>1.4980271558511822</v>
      </c>
      <c r="H51" s="34">
        <v>1</v>
      </c>
      <c r="I51" s="71">
        <f>INDEX('July 7-14 - Second_old'!I:I,MATCH(Table138[[#This Row],[Financial Instrument]],'July 7-14 - Second_old'!C:C,0))</f>
        <v>2</v>
      </c>
      <c r="J51" s="38">
        <f>I51-H51</f>
        <v>1</v>
      </c>
      <c r="K51" s="40">
        <f>Table138[[#This Row],[Last price]]*Table138[[#This Row],[Current Quantity]]</f>
        <v>1397200</v>
      </c>
      <c r="L51" s="142">
        <f>Table138[[#This Row],[Current Value Allocation]]/$K$2</f>
        <v>5.8832890423510191E-2</v>
      </c>
      <c r="M51" s="40"/>
      <c r="N51" s="2"/>
    </row>
    <row r="52" spans="1:18" s="31" customFormat="1" ht="12.75" x14ac:dyDescent="0.2">
      <c r="A52" s="33"/>
      <c r="B52" s="33"/>
      <c r="C52" s="34"/>
      <c r="D52" s="35"/>
      <c r="E52" s="73"/>
      <c r="F52" s="36"/>
      <c r="G52" s="37"/>
      <c r="H52" s="34"/>
      <c r="I52" s="71"/>
      <c r="J52" s="38"/>
      <c r="K52" s="40"/>
      <c r="L52" s="142"/>
      <c r="M52" s="40"/>
      <c r="N52" s="2"/>
    </row>
    <row r="53" spans="1:18" s="31" customFormat="1" ht="25.5" x14ac:dyDescent="0.2">
      <c r="A53" s="33" t="s">
        <v>130</v>
      </c>
      <c r="B53" s="259" t="s">
        <v>68</v>
      </c>
      <c r="C53" s="34" t="s">
        <v>69</v>
      </c>
      <c r="D53" s="35">
        <f>INDEX('July 7-14 - Second_old'!D:D,MATCH(Table138[[#This Row],[Financial Instrument]],'July 7-14 - Second_old'!C:C,0))</f>
        <v>4.4443999999999997E-2</v>
      </c>
      <c r="E53" s="73">
        <f>Table138[[#This Row],[Target Allocation (%)]]*$C$2*$C$3</f>
        <v>1046521.7710776359</v>
      </c>
      <c r="F53" s="36">
        <v>157676.33333333334</v>
      </c>
      <c r="G53" s="37">
        <f>Table138[[#This Row],[Target Value Allocation (USD)]]/Table138[[#This Row],[Last price]]</f>
        <v>6.6371518727877312</v>
      </c>
      <c r="H53" s="34">
        <v>6</v>
      </c>
      <c r="I53" s="71">
        <f>INDEX('July 7-14 - Second_old'!I:I,MATCH(Table138[[#This Row],[Financial Instrument]],'July 7-14 - Second_old'!C:C,0))</f>
        <v>7</v>
      </c>
      <c r="J53" s="38">
        <f>I53-H53</f>
        <v>1</v>
      </c>
      <c r="K53" s="40">
        <f>Table138[[#This Row],[Last price]]*Table138[[#This Row],[Current Quantity]]</f>
        <v>1103734.3333333335</v>
      </c>
      <c r="L53" s="142">
        <f>Table138[[#This Row],[Current Value Allocation]]/$K$2</f>
        <v>4.6475723654212771E-2</v>
      </c>
      <c r="M53" s="40"/>
      <c r="N53" s="2"/>
    </row>
    <row r="54" spans="1:18" s="31" customFormat="1" ht="12.75" x14ac:dyDescent="0.2">
      <c r="A54" s="33"/>
      <c r="B54" s="33"/>
      <c r="C54" s="34"/>
      <c r="D54" s="35"/>
      <c r="E54" s="73"/>
      <c r="F54" s="36"/>
      <c r="G54" s="37"/>
      <c r="H54" s="34"/>
      <c r="I54" s="71"/>
      <c r="J54" s="38"/>
      <c r="K54" s="40"/>
      <c r="L54" s="142"/>
      <c r="M54" s="40"/>
      <c r="N54" s="2"/>
    </row>
    <row r="55" spans="1:18" s="31" customFormat="1" ht="12.75" x14ac:dyDescent="0.2">
      <c r="A55" s="43"/>
      <c r="B55" s="33"/>
      <c r="C55" s="34"/>
      <c r="D55" s="35"/>
      <c r="E55" s="73"/>
      <c r="F55" s="36"/>
      <c r="G55" s="37"/>
      <c r="H55" s="34"/>
      <c r="I55" s="71"/>
      <c r="J55" s="38"/>
      <c r="K55" s="40"/>
      <c r="L55" s="142"/>
      <c r="M55" s="40"/>
      <c r="N55" s="2"/>
    </row>
    <row r="56" spans="1:18" s="31" customFormat="1" ht="12.75" x14ac:dyDescent="0.2">
      <c r="A56" s="34"/>
      <c r="B56" s="43"/>
      <c r="C56" s="44"/>
      <c r="D56" s="35"/>
      <c r="E56" s="73"/>
      <c r="F56" s="36"/>
      <c r="G56" s="47"/>
      <c r="H56" s="34"/>
      <c r="I56" s="71"/>
      <c r="J56" s="38"/>
      <c r="K56" s="40"/>
      <c r="L56" s="143"/>
      <c r="M56" s="50"/>
      <c r="N56" s="2"/>
    </row>
    <row r="57" spans="1:18" s="57" customFormat="1" ht="12.75" x14ac:dyDescent="0.2">
      <c r="A57" s="52"/>
      <c r="B57" s="52"/>
      <c r="C57" s="52"/>
      <c r="D57" s="35"/>
      <c r="E57" s="54"/>
      <c r="F57" s="36"/>
      <c r="G57" s="55"/>
      <c r="H57" s="34"/>
      <c r="I57" s="71"/>
      <c r="J57" s="52"/>
      <c r="K57" s="52"/>
      <c r="L57" s="148"/>
      <c r="M57" s="52"/>
      <c r="N57" s="100"/>
    </row>
    <row r="58" spans="1:18" s="68" customFormat="1" ht="12.75" x14ac:dyDescent="0.2">
      <c r="A58" s="58" t="s">
        <v>185</v>
      </c>
      <c r="B58" s="59"/>
      <c r="C58" s="60"/>
      <c r="D58" s="35"/>
      <c r="E58" s="62">
        <f>SUM(E38:E56)</f>
        <v>9549522.9345710874</v>
      </c>
      <c r="F58" s="36"/>
      <c r="G58" s="112"/>
      <c r="H58" s="34"/>
      <c r="I58" s="71"/>
      <c r="J58" s="60"/>
      <c r="K58" s="62">
        <f>SUM(K38:K56)</f>
        <v>9847812.4333333336</v>
      </c>
      <c r="L58" s="151">
        <f>Table138[[#This Row],[Current Value Allocation]]/$K$2</f>
        <v>0.4146688160618246</v>
      </c>
      <c r="M58" s="67"/>
      <c r="N58" s="15"/>
    </row>
    <row r="59" spans="1:18" s="57" customFormat="1" ht="12.75" x14ac:dyDescent="0.2">
      <c r="A59" s="52"/>
      <c r="B59" s="52"/>
      <c r="C59" s="52"/>
      <c r="D59" s="35"/>
      <c r="E59" s="54"/>
      <c r="F59" s="36"/>
      <c r="G59" s="55"/>
      <c r="H59" s="34"/>
      <c r="I59" s="71"/>
      <c r="J59" s="52"/>
      <c r="K59" s="52"/>
      <c r="L59" s="148"/>
      <c r="M59" s="52"/>
      <c r="N59" s="100"/>
    </row>
    <row r="60" spans="1:18" s="31" customFormat="1" ht="12.75" x14ac:dyDescent="0.2">
      <c r="A60" s="34"/>
      <c r="B60" s="70"/>
      <c r="C60" s="71"/>
      <c r="D60" s="35"/>
      <c r="E60" s="73"/>
      <c r="F60" s="36"/>
      <c r="G60" s="114"/>
      <c r="H60" s="34"/>
      <c r="I60" s="71"/>
      <c r="J60" s="38"/>
      <c r="K60" s="40"/>
      <c r="L60" s="149"/>
      <c r="M60" s="77"/>
      <c r="N60" s="2"/>
    </row>
    <row r="61" spans="1:18" s="31" customFormat="1" ht="25.5" x14ac:dyDescent="0.2">
      <c r="A61" s="70" t="s">
        <v>131</v>
      </c>
      <c r="B61" s="33" t="s">
        <v>43</v>
      </c>
      <c r="C61" s="34" t="s">
        <v>44</v>
      </c>
      <c r="D61" s="35">
        <f>INDEX('July 7-14 - Second_old'!D:D,MATCH(Table138[[#This Row],[Financial Instrument]],'July 7-14 - Second_old'!C:C,0))</f>
        <v>5.0000000000000001E-3</v>
      </c>
      <c r="E61" s="73">
        <f>Table138[[#This Row],[Target Allocation (%)]]*$C$2*$C$3</f>
        <v>117734.87659499999</v>
      </c>
      <c r="F61" s="36">
        <v>41912.666666666664</v>
      </c>
      <c r="G61" s="116">
        <f>Table138[[#This Row],[Target Value Allocation (USD)]]/Table138[[#This Row],[Last price]]</f>
        <v>2.8090523929520113</v>
      </c>
      <c r="H61" s="34">
        <v>3</v>
      </c>
      <c r="I61" s="71">
        <f>INDEX('July 7-14 - Second_old'!I:I,MATCH(Table138[[#This Row],[Financial Instrument]],'July 7-14 - Second_old'!C:C,0))</f>
        <v>3</v>
      </c>
      <c r="J61" s="38">
        <f>I61-H61</f>
        <v>0</v>
      </c>
      <c r="K61" s="40">
        <f>Table138[[#This Row],[Last price]]*Table138[[#This Row],[Current Quantity]]</f>
        <v>125738</v>
      </c>
      <c r="L61" s="142">
        <f>Table138[[#This Row],[Current Value Allocation]]/$K$2</f>
        <v>5.2945390610301497E-3</v>
      </c>
      <c r="M61" s="40"/>
      <c r="N61" s="2"/>
    </row>
    <row r="62" spans="1:18" s="31" customFormat="1" ht="25.5" x14ac:dyDescent="0.2">
      <c r="A62" s="33" t="s">
        <v>131</v>
      </c>
      <c r="B62" s="33" t="s">
        <v>47</v>
      </c>
      <c r="C62" s="34" t="s">
        <v>48</v>
      </c>
      <c r="D62" s="35">
        <f>INDEX('July 7-14 - Second_old'!D:D,MATCH(Table138[[#This Row],[Financial Instrument]],'July 7-14 - Second_old'!C:C,0))</f>
        <v>5.0000000000000001E-3</v>
      </c>
      <c r="E62" s="73">
        <f>Table138[[#This Row],[Target Allocation (%)]]*$C$2*$C$3</f>
        <v>117734.87659499999</v>
      </c>
      <c r="F62" s="36">
        <v>158791</v>
      </c>
      <c r="G62" s="116">
        <f>Table138[[#This Row],[Target Value Allocation (USD)]]/Table138[[#This Row],[Last price]]</f>
        <v>0.74144552647820083</v>
      </c>
      <c r="H62" s="34">
        <v>1</v>
      </c>
      <c r="I62" s="71">
        <f>INDEX('July 7-14 - Second_old'!I:I,MATCH(Table138[[#This Row],[Financial Instrument]],'July 7-14 - Second_old'!C:C,0))</f>
        <v>1</v>
      </c>
      <c r="J62" s="38">
        <f>I62-H62</f>
        <v>0</v>
      </c>
      <c r="K62" s="40">
        <f>Table138[[#This Row],[Last price]]*Table138[[#This Row],[Current Quantity]]</f>
        <v>158791</v>
      </c>
      <c r="L62" s="142">
        <f>Table138[[#This Row],[Current Value Allocation]]/$K$2</f>
        <v>6.6863251526192435E-3</v>
      </c>
      <c r="M62" s="40"/>
      <c r="N62" s="2"/>
      <c r="R62" s="31" t="s">
        <v>188</v>
      </c>
    </row>
    <row r="63" spans="1:18" s="31" customFormat="1" ht="12.75" x14ac:dyDescent="0.2">
      <c r="A63" s="33"/>
      <c r="B63" s="33"/>
      <c r="C63" s="34"/>
      <c r="D63" s="35"/>
      <c r="E63" s="73"/>
      <c r="F63" s="36"/>
      <c r="G63" s="116"/>
      <c r="H63" s="34"/>
      <c r="I63" s="71"/>
      <c r="J63" s="38"/>
      <c r="K63" s="40"/>
      <c r="L63" s="142"/>
      <c r="M63" s="40"/>
      <c r="N63" s="2"/>
    </row>
    <row r="64" spans="1:18" s="31" customFormat="1" ht="12.75" x14ac:dyDescent="0.2">
      <c r="A64" s="33"/>
      <c r="B64" s="33"/>
      <c r="C64" s="34"/>
      <c r="D64" s="35"/>
      <c r="E64" s="73"/>
      <c r="F64" s="36"/>
      <c r="G64" s="116"/>
      <c r="H64" s="34"/>
      <c r="I64" s="71"/>
      <c r="J64" s="38"/>
      <c r="K64" s="40"/>
      <c r="L64" s="142"/>
      <c r="M64" s="40"/>
      <c r="N64" s="2"/>
    </row>
    <row r="65" spans="1:14" s="31" customFormat="1" ht="12.75" x14ac:dyDescent="0.2">
      <c r="A65" s="33"/>
      <c r="B65" s="33"/>
      <c r="C65" s="34"/>
      <c r="D65" s="35"/>
      <c r="E65" s="73"/>
      <c r="F65" s="36"/>
      <c r="G65" s="116"/>
      <c r="H65" s="34"/>
      <c r="I65" s="71"/>
      <c r="J65" s="38"/>
      <c r="K65" s="40"/>
      <c r="L65" s="142"/>
      <c r="M65" s="40"/>
      <c r="N65" s="2"/>
    </row>
    <row r="66" spans="1:14" s="31" customFormat="1" ht="12.75" x14ac:dyDescent="0.2">
      <c r="A66" s="33"/>
      <c r="B66" s="33"/>
      <c r="C66" s="34"/>
      <c r="D66" s="35"/>
      <c r="E66" s="73"/>
      <c r="F66" s="36"/>
      <c r="G66" s="116"/>
      <c r="H66" s="34"/>
      <c r="I66" s="71"/>
      <c r="J66" s="38"/>
      <c r="K66" s="40"/>
      <c r="L66" s="142"/>
      <c r="M66" s="40"/>
      <c r="N66" s="2"/>
    </row>
    <row r="67" spans="1:14" s="31" customFormat="1" ht="12.75" x14ac:dyDescent="0.2">
      <c r="A67" s="33"/>
      <c r="B67" s="33"/>
      <c r="C67" s="34"/>
      <c r="D67" s="35"/>
      <c r="E67" s="73"/>
      <c r="F67" s="36"/>
      <c r="G67" s="116"/>
      <c r="H67" s="34"/>
      <c r="I67" s="71"/>
      <c r="J67" s="38"/>
      <c r="K67" s="40"/>
      <c r="L67" s="142"/>
      <c r="M67" s="40"/>
      <c r="N67" s="2"/>
    </row>
    <row r="68" spans="1:14" s="31" customFormat="1" ht="12.75" x14ac:dyDescent="0.2">
      <c r="A68" s="33"/>
      <c r="B68" s="33"/>
      <c r="C68" s="34"/>
      <c r="D68" s="35"/>
      <c r="E68" s="73"/>
      <c r="F68" s="36"/>
      <c r="G68" s="116"/>
      <c r="H68" s="34"/>
      <c r="I68" s="71"/>
      <c r="J68" s="38"/>
      <c r="K68" s="40"/>
      <c r="L68" s="142"/>
      <c r="M68" s="40"/>
      <c r="N68" s="2"/>
    </row>
    <row r="69" spans="1:14" s="31" customFormat="1" ht="25.5" x14ac:dyDescent="0.2">
      <c r="A69" s="33" t="s">
        <v>131</v>
      </c>
      <c r="B69" s="33" t="s">
        <v>73</v>
      </c>
      <c r="C69" s="34" t="s">
        <v>74</v>
      </c>
      <c r="D69" s="35">
        <f>INDEX('July 7-14 - Second_old'!D:D,MATCH(Table138[[#This Row],[Financial Instrument]],'July 7-14 - Second_old'!C:C,0))</f>
        <v>5.0000000000000001E-3</v>
      </c>
      <c r="E69" s="73">
        <f>Table138[[#This Row],[Target Allocation (%)]]*$C$2*$C$3</f>
        <v>117734.87659499999</v>
      </c>
      <c r="F69" s="36">
        <v>80881</v>
      </c>
      <c r="G69" s="116">
        <f>Table138[[#This Row],[Target Value Allocation (USD)]]/Table138[[#This Row],[Last price]]</f>
        <v>1.4556555506855751</v>
      </c>
      <c r="H69" s="34">
        <v>1</v>
      </c>
      <c r="I69" s="71">
        <f>INDEX('July 7-14 - Second_old'!I:I,MATCH(Table138[[#This Row],[Financial Instrument]],'July 7-14 - Second_old'!C:C,0))</f>
        <v>1</v>
      </c>
      <c r="J69" s="38">
        <f>I69-H69</f>
        <v>0</v>
      </c>
      <c r="K69" s="40">
        <f>Table138[[#This Row],[Last price]]*Table138[[#This Row],[Current Quantity]]</f>
        <v>80881</v>
      </c>
      <c r="L69" s="142">
        <f>Table138[[#This Row],[Current Value Allocation]]/$K$2</f>
        <v>3.4057135774004637E-3</v>
      </c>
      <c r="M69" s="40"/>
      <c r="N69" s="2"/>
    </row>
    <row r="70" spans="1:14" s="31" customFormat="1" ht="25.5" x14ac:dyDescent="0.2">
      <c r="A70" s="33" t="s">
        <v>131</v>
      </c>
      <c r="B70" s="33" t="s">
        <v>76</v>
      </c>
      <c r="C70" s="34" t="s">
        <v>77</v>
      </c>
      <c r="D70" s="35">
        <f>INDEX('July 7-14 - Second_old'!D:D,MATCH(Table138[[#This Row],[Financial Instrument]],'July 7-14 - Second_old'!C:C,0))</f>
        <v>5.0000000000000001E-3</v>
      </c>
      <c r="E70" s="73">
        <f>Table138[[#This Row],[Target Allocation (%)]]*$C$2*$C$3</f>
        <v>117734.87659499999</v>
      </c>
      <c r="F70" s="36">
        <v>196693</v>
      </c>
      <c r="G70" s="116">
        <f>Table138[[#This Row],[Target Value Allocation (USD)]]/Table138[[#This Row],[Last price]]</f>
        <v>0.59857176714473825</v>
      </c>
      <c r="H70" s="34">
        <v>1</v>
      </c>
      <c r="I70" s="71">
        <f>INDEX('July 7-14 - Second_old'!I:I,MATCH(Table138[[#This Row],[Financial Instrument]],'July 7-14 - Second_old'!C:C,0))</f>
        <v>1</v>
      </c>
      <c r="J70" s="38">
        <f>I70-H70</f>
        <v>0</v>
      </c>
      <c r="K70" s="40">
        <f>Table138[[#This Row],[Last price]]*Table138[[#This Row],[Current Quantity]]</f>
        <v>196693</v>
      </c>
      <c r="L70" s="142">
        <f>Table138[[#This Row],[Current Value Allocation]]/$K$2</f>
        <v>8.2822915230972589E-3</v>
      </c>
      <c r="M70" s="40"/>
      <c r="N70" s="2"/>
    </row>
    <row r="71" spans="1:14" s="31" customFormat="1" ht="25.5" x14ac:dyDescent="0.2">
      <c r="A71" s="33" t="s">
        <v>131</v>
      </c>
      <c r="B71" s="33" t="s">
        <v>79</v>
      </c>
      <c r="C71" s="34" t="s">
        <v>80</v>
      </c>
      <c r="D71" s="35">
        <f>INDEX('July 7-14 - Second_old'!D:D,MATCH(Table138[[#This Row],[Financial Instrument]],'July 7-14 - Second_old'!C:C,0))</f>
        <v>5.0000000000000001E-3</v>
      </c>
      <c r="E71" s="73">
        <f>Table138[[#This Row],[Target Allocation (%)]]*$C$2*$C$3</f>
        <v>117734.87659499999</v>
      </c>
      <c r="F71" s="36">
        <v>45562.5</v>
      </c>
      <c r="G71" s="116">
        <f>Table138[[#This Row],[Target Value Allocation (USD)]]/Table138[[#This Row],[Last price]]</f>
        <v>2.584030213333333</v>
      </c>
      <c r="H71" s="34">
        <v>2</v>
      </c>
      <c r="I71" s="71">
        <f>INDEX('July 7-14 - Second_old'!I:I,MATCH(Table138[[#This Row],[Financial Instrument]],'July 7-14 - Second_old'!C:C,0))</f>
        <v>3</v>
      </c>
      <c r="J71" s="38">
        <f>I71-H71</f>
        <v>1</v>
      </c>
      <c r="K71" s="40">
        <f>Table138[[#This Row],[Last price]]*Table138[[#This Row],[Current Quantity]]</f>
        <v>136687.5</v>
      </c>
      <c r="L71" s="142">
        <f>Table138[[#This Row],[Current Value Allocation]]/$K$2</f>
        <v>5.7555974160918618E-3</v>
      </c>
      <c r="M71" s="40"/>
      <c r="N71" s="2"/>
    </row>
    <row r="72" spans="1:14" s="31" customFormat="1" ht="25.5" x14ac:dyDescent="0.2">
      <c r="A72" s="33" t="s">
        <v>131</v>
      </c>
      <c r="B72" s="33" t="s">
        <v>82</v>
      </c>
      <c r="C72" s="34" t="s">
        <v>83</v>
      </c>
      <c r="D72" s="35">
        <f>INDEX('July 7-14 - Second_old'!D:D,MATCH(Table138[[#This Row],[Financial Instrument]],'July 7-14 - Second_old'!C:C,0))</f>
        <v>5.0000000000000001E-3</v>
      </c>
      <c r="E72" s="73">
        <f>Table138[[#This Row],[Target Allocation (%)]]*$C$2*$C$3</f>
        <v>117734.87659499999</v>
      </c>
      <c r="F72" s="36">
        <v>44459.666666666664</v>
      </c>
      <c r="G72" s="116">
        <f>Table138[[#This Row],[Target Value Allocation (USD)]]/Table138[[#This Row],[Last price]]</f>
        <v>2.6481277396366742</v>
      </c>
      <c r="H72" s="34">
        <v>3</v>
      </c>
      <c r="I72" s="71">
        <f>INDEX('July 7-14 - Second_old'!I:I,MATCH(Table138[[#This Row],[Financial Instrument]],'July 7-14 - Second_old'!C:C,0))</f>
        <v>3</v>
      </c>
      <c r="J72" s="38">
        <f>I72-H72</f>
        <v>0</v>
      </c>
      <c r="K72" s="40">
        <f>Table138[[#This Row],[Last price]]*Table138[[#This Row],[Current Quantity]]</f>
        <v>133379</v>
      </c>
      <c r="L72" s="142">
        <f>Table138[[#This Row],[Current Value Allocation]]/$K$2</f>
        <v>5.616284062265507E-3</v>
      </c>
      <c r="M72" s="40"/>
      <c r="N72" s="2"/>
    </row>
    <row r="73" spans="1:14" s="31" customFormat="1" ht="12.75" x14ac:dyDescent="0.2">
      <c r="A73" s="33"/>
      <c r="B73" s="33"/>
      <c r="C73" s="34"/>
      <c r="D73" s="35"/>
      <c r="E73" s="73"/>
      <c r="F73" s="36"/>
      <c r="G73" s="116"/>
      <c r="H73" s="34"/>
      <c r="I73" s="71"/>
      <c r="J73" s="38"/>
      <c r="K73" s="40"/>
      <c r="L73" s="142"/>
      <c r="M73" s="40"/>
      <c r="N73" s="2"/>
    </row>
    <row r="74" spans="1:14" s="31" customFormat="1" ht="25.5" x14ac:dyDescent="0.2">
      <c r="A74" s="33" t="s">
        <v>131</v>
      </c>
      <c r="B74" s="33" t="s">
        <v>84</v>
      </c>
      <c r="C74" s="34" t="s">
        <v>85</v>
      </c>
      <c r="D74" s="35">
        <f>INDEX('July 7-14 - Second_old'!D:D,MATCH(Table138[[#This Row],[Financial Instrument]],'July 7-14 - Second_old'!C:C,0))</f>
        <v>5.0000000000000001E-3</v>
      </c>
      <c r="E74" s="73">
        <f>Table138[[#This Row],[Target Allocation (%)]]*$C$2*$C$3</f>
        <v>117734.87659499999</v>
      </c>
      <c r="F74" s="36">
        <v>10518.363636363636</v>
      </c>
      <c r="G74" s="116">
        <f>Table138[[#This Row],[Target Value Allocation (USD)]]/Table138[[#This Row],[Last price]]</f>
        <v>11.193269282683099</v>
      </c>
      <c r="H74" s="34">
        <v>11</v>
      </c>
      <c r="I74" s="71">
        <f>INDEX('July 7-14 - Second_old'!I:I,MATCH(Table138[[#This Row],[Financial Instrument]],'July 7-14 - Second_old'!C:C,0))</f>
        <v>11</v>
      </c>
      <c r="J74" s="38">
        <f>I74-H74</f>
        <v>0</v>
      </c>
      <c r="K74" s="40">
        <f>Table138[[#This Row],[Last price]]*Table138[[#This Row],[Current Quantity]]</f>
        <v>115702</v>
      </c>
      <c r="L74" s="142">
        <f>Table138[[#This Row],[Current Value Allocation]]/$K$2</f>
        <v>4.8719460977533473E-3</v>
      </c>
      <c r="M74" s="40"/>
      <c r="N74" s="2"/>
    </row>
    <row r="75" spans="1:14" s="31" customFormat="1" ht="12.75" x14ac:dyDescent="0.2">
      <c r="A75" s="33"/>
      <c r="B75" s="33"/>
      <c r="C75" s="34"/>
      <c r="D75" s="35"/>
      <c r="E75" s="73"/>
      <c r="F75" s="36"/>
      <c r="G75" s="116"/>
      <c r="H75" s="34"/>
      <c r="I75" s="71"/>
      <c r="J75" s="38"/>
      <c r="K75" s="40"/>
      <c r="L75" s="142"/>
      <c r="M75" s="40"/>
      <c r="N75" s="2"/>
    </row>
    <row r="76" spans="1:14" s="31" customFormat="1" ht="25.5" x14ac:dyDescent="0.2">
      <c r="A76" s="33" t="s">
        <v>131</v>
      </c>
      <c r="B76" s="33" t="s">
        <v>91</v>
      </c>
      <c r="C76" s="34" t="s">
        <v>92</v>
      </c>
      <c r="D76" s="35">
        <f>INDEX('July 7-14 - Second_old'!D:D,MATCH(Table138[[#This Row],[Financial Instrument]],'July 7-14 - Second_old'!C:C,0))</f>
        <v>5.0000000000000001E-3</v>
      </c>
      <c r="E76" s="73">
        <f>Table138[[#This Row],[Target Allocation (%)]]*$C$2*$C$3</f>
        <v>117734.87659499999</v>
      </c>
      <c r="F76" s="36">
        <v>85744</v>
      </c>
      <c r="G76" s="116">
        <f>Table138[[#This Row],[Target Value Allocation (USD)]]/Table138[[#This Row],[Last price]]</f>
        <v>1.3730975531232505</v>
      </c>
      <c r="H76" s="34">
        <v>1</v>
      </c>
      <c r="I76" s="71">
        <f>INDEX('July 7-14 - Second_old'!I:I,MATCH(Table138[[#This Row],[Financial Instrument]],'July 7-14 - Second_old'!C:C,0))</f>
        <v>1</v>
      </c>
      <c r="J76" s="38">
        <f>I76-H76</f>
        <v>0</v>
      </c>
      <c r="K76" s="40">
        <f>Table138[[#This Row],[Last price]]*Table138[[#This Row],[Current Quantity]]</f>
        <v>85744</v>
      </c>
      <c r="L76" s="142">
        <f>Table138[[#This Row],[Current Value Allocation]]/$K$2</f>
        <v>3.6104833642094602E-3</v>
      </c>
      <c r="M76" s="40"/>
      <c r="N76" s="2"/>
    </row>
    <row r="77" spans="1:14" x14ac:dyDescent="0.25">
      <c r="A77" s="33"/>
      <c r="B77" s="82"/>
      <c r="C77" s="83"/>
      <c r="D77" s="35"/>
      <c r="E77" s="73"/>
      <c r="F77" s="36"/>
      <c r="G77" s="116"/>
      <c r="H77" s="34"/>
      <c r="I77" s="71"/>
      <c r="J77" s="38"/>
      <c r="K77" s="40"/>
      <c r="L77" s="142"/>
      <c r="M77" s="87"/>
    </row>
    <row r="78" spans="1:14" ht="26.25" x14ac:dyDescent="0.25">
      <c r="A78" s="33" t="s">
        <v>131</v>
      </c>
      <c r="B78" s="82" t="s">
        <v>113</v>
      </c>
      <c r="C78" s="83" t="s">
        <v>114</v>
      </c>
      <c r="D78" s="35">
        <f>INDEX('July 7-14 - Second_old'!D:D,MATCH(Table138[[#This Row],[Financial Instrument]],'July 7-14 - Second_old'!C:C,0))</f>
        <v>5.0000000000000001E-3</v>
      </c>
      <c r="E78" s="73">
        <f>Table138[[#This Row],[Target Allocation (%)]]*$C$2*$C$3</f>
        <v>117734.87659499999</v>
      </c>
      <c r="F78" s="36">
        <v>53730</v>
      </c>
      <c r="G78" s="116">
        <f>Table138[[#This Row],[Target Value Allocation (USD)]]/Table138[[#This Row],[Last price]]</f>
        <v>2.1912316507537688</v>
      </c>
      <c r="H78" s="34">
        <v>2</v>
      </c>
      <c r="I78" s="71">
        <f>INDEX('July 7-14 - Second_old'!I:I,MATCH(Table138[[#This Row],[Financial Instrument]],'July 7-14 - Second_old'!C:C,0))</f>
        <v>2</v>
      </c>
      <c r="J78" s="38">
        <f>I78-H78</f>
        <v>0</v>
      </c>
      <c r="K78" s="40">
        <f>Table138[[#This Row],[Last price]]*Table138[[#This Row],[Current Quantity]]</f>
        <v>107460</v>
      </c>
      <c r="L78" s="142">
        <f>Table138[[#This Row],[Current Value Allocation]]/$K$2</f>
        <v>4.5248943636633301E-3</v>
      </c>
      <c r="M78" s="87"/>
    </row>
    <row r="79" spans="1:14" s="31" customFormat="1" ht="25.5" x14ac:dyDescent="0.2">
      <c r="A79" s="33" t="s">
        <v>131</v>
      </c>
      <c r="B79" s="33" t="s">
        <v>251</v>
      </c>
      <c r="C79" s="34" t="s">
        <v>90</v>
      </c>
      <c r="D79" s="35">
        <f>INDEX('July 7-14 - Second_old'!D:D,MATCH(Table138[[#This Row],[Financial Instrument]],'July 7-14 - Second_old'!C:C,0))</f>
        <v>5.0000000000000001E-3</v>
      </c>
      <c r="E79" s="73">
        <f>Table138[[#This Row],[Target Allocation (%)]]*$C$2*$C$3</f>
        <v>117734.87659499999</v>
      </c>
      <c r="F79" s="36"/>
      <c r="G79" s="116" t="e">
        <f>Table138[[#This Row],[Target Value Allocation (USD)]]/Table138[[#This Row],[Last price]]</f>
        <v>#DIV/0!</v>
      </c>
      <c r="H79" s="34">
        <v>1</v>
      </c>
      <c r="I79" s="71">
        <f>INDEX('July 7-14 - Second_old'!I:I,MATCH(Table138[[#This Row],[Financial Instrument]],'July 7-14 - Second_old'!C:C,0))</f>
        <v>1</v>
      </c>
      <c r="J79" s="38">
        <f>I79-H79</f>
        <v>0</v>
      </c>
      <c r="K79" s="40">
        <f>Table138[[#This Row],[Last price]]*Table138[[#This Row],[Current Quantity]]</f>
        <v>0</v>
      </c>
      <c r="L79" s="142">
        <f>Table138[[#This Row],[Current Value Allocation]]/$K$2</f>
        <v>0</v>
      </c>
      <c r="M79" s="40"/>
      <c r="N79" s="2"/>
    </row>
    <row r="80" spans="1:14" s="31" customFormat="1" ht="12.75" x14ac:dyDescent="0.2">
      <c r="A80" s="33"/>
      <c r="B80" s="33"/>
      <c r="C80" s="34"/>
      <c r="D80" s="35"/>
      <c r="E80" s="73"/>
      <c r="F80" s="36"/>
      <c r="G80" s="37"/>
      <c r="H80" s="34"/>
      <c r="I80" s="71"/>
      <c r="J80" s="38"/>
      <c r="K80" s="40"/>
      <c r="L80" s="142"/>
      <c r="M80" s="40"/>
      <c r="N80" s="2"/>
    </row>
    <row r="81" spans="1:14" s="31" customFormat="1" ht="12.75" x14ac:dyDescent="0.2">
      <c r="A81" s="33"/>
      <c r="B81" s="33"/>
      <c r="C81" s="34"/>
      <c r="D81" s="35"/>
      <c r="E81" s="73"/>
      <c r="F81" s="36"/>
      <c r="G81" s="37"/>
      <c r="H81" s="34"/>
      <c r="I81" s="71"/>
      <c r="J81" s="38"/>
      <c r="K81" s="40"/>
      <c r="L81" s="142"/>
      <c r="M81" s="40"/>
      <c r="N81" s="2"/>
    </row>
    <row r="82" spans="1:14" s="31" customFormat="1" ht="12.75" x14ac:dyDescent="0.2">
      <c r="A82" s="33"/>
      <c r="B82" s="33"/>
      <c r="C82" s="34"/>
      <c r="D82" s="35"/>
      <c r="E82" s="73"/>
      <c r="F82" s="36"/>
      <c r="G82" s="37"/>
      <c r="H82" s="34"/>
      <c r="I82" s="71"/>
      <c r="J82" s="38"/>
      <c r="K82" s="40"/>
      <c r="L82" s="142"/>
      <c r="M82" s="40"/>
      <c r="N82" s="2"/>
    </row>
    <row r="83" spans="1:14" s="31" customFormat="1" ht="12.75" x14ac:dyDescent="0.2">
      <c r="A83" s="33"/>
      <c r="B83" s="33"/>
      <c r="C83" s="34"/>
      <c r="D83" s="35"/>
      <c r="E83" s="73"/>
      <c r="F83" s="36"/>
      <c r="G83" s="37"/>
      <c r="H83" s="34"/>
      <c r="I83" s="71"/>
      <c r="J83" s="38"/>
      <c r="K83" s="40"/>
      <c r="L83" s="142"/>
      <c r="M83" s="40"/>
      <c r="N83" s="2"/>
    </row>
    <row r="84" spans="1:14" s="31" customFormat="1" ht="12.75" x14ac:dyDescent="0.2">
      <c r="A84" s="33"/>
      <c r="B84" s="33"/>
      <c r="C84" s="34"/>
      <c r="D84" s="35"/>
      <c r="E84" s="73"/>
      <c r="F84" s="36"/>
      <c r="G84" s="37"/>
      <c r="H84" s="34"/>
      <c r="I84" s="71"/>
      <c r="J84" s="38"/>
      <c r="K84" s="40"/>
      <c r="L84" s="142"/>
      <c r="M84" s="40"/>
      <c r="N84" s="2"/>
    </row>
    <row r="85" spans="1:14" s="31" customFormat="1" ht="12.75" x14ac:dyDescent="0.2">
      <c r="A85" s="33"/>
      <c r="B85" s="33"/>
      <c r="C85" s="34"/>
      <c r="D85" s="35"/>
      <c r="E85" s="73"/>
      <c r="F85" s="36"/>
      <c r="G85" s="37"/>
      <c r="H85" s="34"/>
      <c r="I85" s="71"/>
      <c r="J85" s="38"/>
      <c r="K85" s="40"/>
      <c r="L85" s="142"/>
      <c r="M85" s="40"/>
      <c r="N85" s="2"/>
    </row>
    <row r="86" spans="1:14" s="31" customFormat="1" ht="12.75" x14ac:dyDescent="0.2">
      <c r="A86" s="33"/>
      <c r="B86" s="33"/>
      <c r="C86" s="34"/>
      <c r="D86" s="35"/>
      <c r="E86" s="73"/>
      <c r="F86" s="36"/>
      <c r="G86" s="37"/>
      <c r="H86" s="34"/>
      <c r="I86" s="71"/>
      <c r="J86" s="38"/>
      <c r="K86" s="40"/>
      <c r="L86" s="142"/>
      <c r="M86" s="40"/>
      <c r="N86" s="2"/>
    </row>
    <row r="87" spans="1:14" s="15" customFormat="1" ht="12.75" x14ac:dyDescent="0.2">
      <c r="A87" s="58" t="s">
        <v>242</v>
      </c>
      <c r="B87" s="101"/>
      <c r="C87" s="102"/>
      <c r="D87" s="110">
        <f>SUM(D60:D86)</f>
        <v>4.9999999999999996E-2</v>
      </c>
      <c r="E87" s="62">
        <f>SUM(E60:E86)</f>
        <v>1177348.7659500001</v>
      </c>
      <c r="F87" s="111"/>
      <c r="G87" s="112"/>
      <c r="H87" s="102"/>
      <c r="I87" s="102"/>
      <c r="J87" s="60"/>
      <c r="K87" s="62">
        <f>SUM(K60:K86)</f>
        <v>1141075.5</v>
      </c>
      <c r="L87" s="147">
        <f>Table138[[#This Row],[Current Value Allocation]]/$K$2</f>
        <v>4.8048074618130619E-2</v>
      </c>
      <c r="M87" s="107"/>
    </row>
    <row r="88" spans="1:14" x14ac:dyDescent="0.25">
      <c r="A88" s="52"/>
      <c r="B88" s="95"/>
      <c r="C88" s="95"/>
      <c r="D88" s="53"/>
      <c r="E88" s="54"/>
      <c r="F88" s="54"/>
      <c r="G88" s="55"/>
      <c r="H88" s="95"/>
      <c r="I88" s="95"/>
      <c r="J88" s="52"/>
      <c r="K88" s="52"/>
      <c r="L88" s="148"/>
      <c r="M88" s="99"/>
    </row>
    <row r="89" spans="1:14" s="31" customFormat="1" ht="12.75" x14ac:dyDescent="0.2">
      <c r="A89" s="43"/>
      <c r="B89" s="33"/>
      <c r="C89" s="34"/>
      <c r="D89" s="35"/>
      <c r="E89" s="38"/>
      <c r="F89" s="36"/>
      <c r="G89" s="116"/>
      <c r="H89" s="34"/>
      <c r="I89" s="34"/>
      <c r="J89" s="38"/>
      <c r="K89" s="40"/>
      <c r="L89" s="142"/>
      <c r="M89" s="40"/>
      <c r="N89" s="2"/>
    </row>
    <row r="90" spans="1:14" x14ac:dyDescent="0.25">
      <c r="A90" s="33"/>
      <c r="B90" s="89"/>
      <c r="C90" s="90"/>
      <c r="D90" s="45"/>
      <c r="E90" s="90"/>
      <c r="F90" s="36"/>
      <c r="G90" s="93"/>
      <c r="H90" s="34"/>
      <c r="I90" s="90"/>
      <c r="J90" s="38"/>
      <c r="K90" s="40"/>
      <c r="L90" s="143"/>
      <c r="M90" s="94"/>
    </row>
    <row r="91" spans="1:14" s="100" customFormat="1" ht="12.75" x14ac:dyDescent="0.2">
      <c r="A91" s="127"/>
      <c r="B91" s="95"/>
      <c r="C91" s="95"/>
      <c r="D91" s="53"/>
      <c r="E91" s="95"/>
      <c r="F91" s="95"/>
      <c r="G91" s="98"/>
      <c r="H91" s="98"/>
      <c r="I91" s="95"/>
      <c r="J91" s="52"/>
      <c r="K91" s="54"/>
      <c r="L91" s="146"/>
      <c r="M91" s="99"/>
    </row>
    <row r="92" spans="1:14" s="15" customFormat="1" ht="12.75" x14ac:dyDescent="0.2">
      <c r="A92" s="58" t="s">
        <v>247</v>
      </c>
      <c r="B92" s="101"/>
      <c r="C92" s="102"/>
      <c r="D92" s="101"/>
      <c r="E92" s="102"/>
      <c r="F92" s="101"/>
      <c r="G92" s="102"/>
      <c r="H92" s="101"/>
      <c r="I92" s="102"/>
      <c r="J92" s="101"/>
      <c r="K92" s="119">
        <f>SUM(K89:K90)</f>
        <v>0</v>
      </c>
      <c r="L92" s="147">
        <f>Table138[[#This Row],[Current Value Allocation]]/$K$2</f>
        <v>0</v>
      </c>
      <c r="M92" s="102"/>
    </row>
    <row r="93" spans="1:14" s="100" customFormat="1" ht="12.75" x14ac:dyDescent="0.2">
      <c r="A93" s="52"/>
      <c r="B93" s="95"/>
      <c r="C93" s="95"/>
      <c r="D93" s="96"/>
      <c r="E93" s="97"/>
      <c r="F93" s="97"/>
      <c r="G93" s="98"/>
      <c r="H93" s="95"/>
      <c r="I93" s="95"/>
      <c r="J93" s="52"/>
      <c r="K93" s="52"/>
      <c r="L93" s="148"/>
      <c r="M93" s="99"/>
    </row>
    <row r="94" spans="1:14" x14ac:dyDescent="0.25">
      <c r="A94" s="34"/>
      <c r="B94" s="120"/>
      <c r="C94" s="121"/>
      <c r="D94" s="122"/>
      <c r="E94" s="123"/>
      <c r="F94" s="123"/>
      <c r="G94" s="124"/>
      <c r="H94" s="121"/>
      <c r="I94" s="121"/>
      <c r="J94" s="71"/>
      <c r="K94" s="125"/>
      <c r="L94" s="149"/>
      <c r="M94" s="126"/>
    </row>
    <row r="95" spans="1:14" x14ac:dyDescent="0.25">
      <c r="A95" s="127"/>
      <c r="B95" s="128"/>
      <c r="C95" s="129"/>
      <c r="D95" s="130"/>
      <c r="E95" s="129"/>
      <c r="F95" s="129"/>
      <c r="G95" s="131"/>
      <c r="H95" s="129"/>
      <c r="I95" s="129"/>
      <c r="J95" s="129"/>
      <c r="K95" s="87"/>
      <c r="L95" s="142"/>
      <c r="M95" s="87"/>
    </row>
    <row r="96" spans="1:14" x14ac:dyDescent="0.25">
      <c r="A96" s="128"/>
      <c r="B96" s="128"/>
      <c r="C96" s="129"/>
      <c r="D96" s="130"/>
      <c r="E96" s="129"/>
      <c r="F96" s="129"/>
      <c r="G96" s="131"/>
      <c r="H96" s="129"/>
      <c r="I96" s="129"/>
      <c r="J96" s="129"/>
      <c r="K96" s="87"/>
      <c r="L96" s="142"/>
      <c r="M96" s="87"/>
    </row>
    <row r="97" spans="1:13" x14ac:dyDescent="0.25">
      <c r="A97" s="128"/>
      <c r="B97" s="128"/>
      <c r="C97" s="129"/>
      <c r="D97" s="130"/>
      <c r="E97" s="129"/>
      <c r="F97" s="129"/>
      <c r="G97" s="131"/>
      <c r="H97" s="129"/>
      <c r="I97" s="129"/>
      <c r="J97" s="129"/>
      <c r="K97" s="87"/>
      <c r="L97" s="142"/>
      <c r="M97" s="87"/>
    </row>
    <row r="98" spans="1:13" x14ac:dyDescent="0.25">
      <c r="A98" s="128"/>
      <c r="B98" s="128"/>
      <c r="C98" s="129"/>
      <c r="D98" s="130"/>
      <c r="E98" s="129"/>
      <c r="F98" s="129"/>
      <c r="G98" s="131"/>
      <c r="H98" s="129"/>
      <c r="I98" s="129"/>
      <c r="J98" s="129"/>
      <c r="K98" s="87"/>
      <c r="L98" s="142"/>
      <c r="M98" s="87"/>
    </row>
    <row r="99" spans="1:13" x14ac:dyDescent="0.25">
      <c r="A99" s="128"/>
      <c r="B99" s="128"/>
      <c r="C99" s="129"/>
      <c r="D99" s="130"/>
      <c r="E99" s="129"/>
      <c r="F99" s="129"/>
      <c r="G99" s="131"/>
      <c r="H99" s="129"/>
      <c r="I99" s="129"/>
      <c r="J99" s="129"/>
      <c r="K99" s="87"/>
      <c r="L99" s="142"/>
      <c r="M99" s="87"/>
    </row>
    <row r="100" spans="1:13" x14ac:dyDescent="0.25">
      <c r="A100" s="128"/>
      <c r="B100" s="128"/>
      <c r="C100" s="129"/>
      <c r="D100" s="130"/>
      <c r="E100" s="129"/>
      <c r="F100" s="129"/>
      <c r="G100" s="131"/>
      <c r="H100" s="129"/>
      <c r="I100" s="129"/>
      <c r="J100" s="129"/>
      <c r="K100" s="87"/>
      <c r="L100" s="142"/>
      <c r="M100" s="87"/>
    </row>
    <row r="101" spans="1:13" x14ac:dyDescent="0.25">
      <c r="A101" s="128"/>
      <c r="B101" s="128"/>
      <c r="C101" s="129"/>
      <c r="D101" s="130"/>
      <c r="E101" s="129"/>
      <c r="F101" s="129"/>
      <c r="G101" s="131"/>
      <c r="H101" s="129"/>
      <c r="I101" s="129"/>
      <c r="J101" s="129"/>
      <c r="K101" s="87"/>
      <c r="L101" s="142"/>
      <c r="M101" s="87"/>
    </row>
    <row r="102" spans="1:13" x14ac:dyDescent="0.25">
      <c r="A102" s="128"/>
      <c r="B102" s="128"/>
      <c r="C102" s="129"/>
      <c r="D102" s="130"/>
      <c r="E102" s="129"/>
      <c r="F102" s="129"/>
      <c r="G102" s="131"/>
      <c r="H102" s="129"/>
      <c r="I102" s="129"/>
      <c r="J102" s="129"/>
      <c r="K102" s="87"/>
      <c r="L102" s="142"/>
      <c r="M102" s="87"/>
    </row>
    <row r="103" spans="1:13" x14ac:dyDescent="0.25">
      <c r="A103" s="128"/>
      <c r="B103" s="128"/>
      <c r="C103" s="129"/>
      <c r="D103" s="130"/>
      <c r="E103" s="129"/>
      <c r="F103" s="129"/>
      <c r="G103" s="131"/>
      <c r="H103" s="129"/>
      <c r="I103" s="129"/>
      <c r="J103" s="129"/>
      <c r="K103" s="87"/>
      <c r="L103" s="142"/>
      <c r="M103" s="87"/>
    </row>
    <row r="104" spans="1:13" x14ac:dyDescent="0.25">
      <c r="A104" s="132"/>
      <c r="B104" s="132"/>
      <c r="C104" s="133"/>
      <c r="D104" s="134"/>
      <c r="E104" s="133"/>
      <c r="F104" s="133"/>
      <c r="G104" s="135"/>
      <c r="H104" s="133"/>
      <c r="I104" s="133"/>
      <c r="J104" s="133"/>
      <c r="K104" s="94"/>
      <c r="L104" s="142"/>
      <c r="M104" s="94"/>
    </row>
    <row r="105" spans="1:13" s="2" customFormat="1" ht="12.75" x14ac:dyDescent="0.2"/>
    <row r="106" spans="1:13" s="2" customFormat="1" ht="12.75" x14ac:dyDescent="0.2"/>
    <row r="108" spans="1:13" s="2" customFormat="1" ht="12.75" x14ac:dyDescent="0.2">
      <c r="A108" s="136"/>
      <c r="B108" s="136"/>
      <c r="E108" s="136"/>
      <c r="F108" s="136"/>
      <c r="G108" s="136"/>
      <c r="H108" s="137"/>
      <c r="M108" s="136"/>
    </row>
    <row r="109" spans="1:13" s="2" customFormat="1" ht="12.75" x14ac:dyDescent="0.2">
      <c r="A109" s="136"/>
      <c r="B109" s="136"/>
      <c r="E109" s="136"/>
      <c r="F109" s="136"/>
      <c r="G109" s="136"/>
      <c r="H109" s="137"/>
      <c r="M109" s="136"/>
    </row>
    <row r="110" spans="1:13" s="2" customFormat="1" ht="12.75" x14ac:dyDescent="0.2">
      <c r="A110" s="138"/>
      <c r="B110" s="138"/>
    </row>
    <row r="111" spans="1:13" s="2" customFormat="1" ht="12.75" x14ac:dyDescent="0.2">
      <c r="A111" s="139"/>
      <c r="B111" s="139"/>
      <c r="E111" s="139"/>
      <c r="F111" s="138"/>
      <c r="G111" s="138"/>
      <c r="M111" s="140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4"/>
  <sheetViews>
    <sheetView zoomScaleNormal="100" workbookViewId="0">
      <selection activeCell="E3" sqref="E3:M4"/>
    </sheetView>
  </sheetViews>
  <sheetFormatPr defaultColWidth="9.140625" defaultRowHeight="15" x14ac:dyDescent="0.25"/>
  <cols>
    <col min="1" max="2" width="15.140625" style="2" customWidth="1"/>
    <col min="3" max="3" width="29" style="2" customWidth="1"/>
    <col min="4" max="4" width="14.85546875" style="2" customWidth="1"/>
    <col min="5" max="5" width="19.710937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16.42578125" customWidth="1"/>
    <col min="12" max="12" width="13.42578125" customWidth="1"/>
    <col min="13" max="13" width="18.42578125" style="2" customWidth="1"/>
    <col min="14" max="14" width="10.5703125" style="2" customWidth="1"/>
    <col min="15" max="15" width="13" style="2" customWidth="1"/>
    <col min="16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119</v>
      </c>
      <c r="C1" s="4">
        <v>44027</v>
      </c>
      <c r="D1" s="5"/>
      <c r="E1" s="6" t="s">
        <v>121</v>
      </c>
      <c r="F1" s="7"/>
      <c r="G1" s="8"/>
      <c r="K1" s="9" t="s">
        <v>122</v>
      </c>
      <c r="L1" s="9" t="s">
        <v>248</v>
      </c>
      <c r="M1" s="10" t="s">
        <v>123</v>
      </c>
      <c r="O1" s="2" t="s">
        <v>124</v>
      </c>
      <c r="R1" s="2" t="s">
        <v>125</v>
      </c>
    </row>
    <row r="2" spans="1:19" x14ac:dyDescent="0.25">
      <c r="A2" s="3"/>
      <c r="B2" s="3" t="s">
        <v>126</v>
      </c>
      <c r="C2" s="153">
        <v>3.3</v>
      </c>
      <c r="D2" s="12"/>
      <c r="E2" s="13">
        <f>SUM(E23,E35,E50,E70,E25)</f>
        <v>28019079.952728014</v>
      </c>
      <c r="F2" s="14"/>
      <c r="G2" s="15"/>
      <c r="H2" s="12"/>
      <c r="I2" s="12"/>
      <c r="J2" s="12"/>
      <c r="K2" s="13">
        <f>SUM(K23,K35,K50,K70,K25,K75)</f>
        <v>28252804.585808706</v>
      </c>
      <c r="L2" s="141">
        <f>SUM(L75,L50,L70,L35,L23,L25)</f>
        <v>1</v>
      </c>
      <c r="M2" s="16">
        <f>K2/C3</f>
        <v>3.32752070453266</v>
      </c>
      <c r="O2" s="2" t="s">
        <v>127</v>
      </c>
      <c r="P2" s="17">
        <v>0.26729999999999998</v>
      </c>
      <c r="R2" s="2" t="s">
        <v>128</v>
      </c>
      <c r="S2" s="2">
        <f>COUNTIF(A:A,"US Bond")</f>
        <v>7</v>
      </c>
    </row>
    <row r="3" spans="1:19" ht="39" x14ac:dyDescent="0.25">
      <c r="A3" s="3"/>
      <c r="B3" s="3" t="s">
        <v>129</v>
      </c>
      <c r="C3" s="18">
        <v>8490647.2699999996</v>
      </c>
      <c r="D3" s="19"/>
      <c r="E3" s="6" t="s">
        <v>281</v>
      </c>
      <c r="F3" s="14"/>
      <c r="G3" s="15"/>
      <c r="H3" s="12"/>
      <c r="I3" s="12"/>
      <c r="J3" s="12"/>
      <c r="K3" s="9" t="s">
        <v>122</v>
      </c>
      <c r="L3" s="12"/>
      <c r="M3" s="10" t="s">
        <v>282</v>
      </c>
      <c r="O3" s="2" t="s">
        <v>5</v>
      </c>
      <c r="P3" s="20">
        <v>0.08</v>
      </c>
      <c r="R3" s="2" t="s">
        <v>130</v>
      </c>
      <c r="S3" s="2">
        <f>COUNTIF(A:A,"Global Bond")</f>
        <v>9</v>
      </c>
    </row>
    <row r="4" spans="1:19" x14ac:dyDescent="0.25">
      <c r="A4" s="257"/>
      <c r="B4" s="257"/>
      <c r="C4" s="258"/>
      <c r="D4" s="19"/>
      <c r="E4" s="13">
        <f>SUM(E23,E70,E25)</f>
        <v>6444401.277929998</v>
      </c>
      <c r="F4" s="14"/>
      <c r="G4" s="15"/>
      <c r="H4" s="12"/>
      <c r="I4" s="12"/>
      <c r="J4" s="12"/>
      <c r="K4" s="13">
        <f>SUM(K23,K70,K25)</f>
        <v>6650298.289235834</v>
      </c>
      <c r="L4" s="12"/>
      <c r="M4" s="16">
        <f>K4/C3</f>
        <v>0.78324986043565015</v>
      </c>
      <c r="P4" s="20"/>
    </row>
    <row r="5" spans="1:19" x14ac:dyDescent="0.25">
      <c r="A5" s="21"/>
      <c r="B5" s="22"/>
      <c r="C5" s="22"/>
      <c r="D5" s="23"/>
      <c r="E5" s="24"/>
      <c r="F5" s="24"/>
      <c r="G5" s="24"/>
      <c r="H5" s="25"/>
      <c r="I5" s="25"/>
      <c r="J5" s="25"/>
      <c r="K5" s="12"/>
      <c r="L5" s="12"/>
      <c r="M5" s="12"/>
      <c r="O5" s="2" t="s">
        <v>131</v>
      </c>
      <c r="P5" s="20">
        <v>0.03</v>
      </c>
      <c r="R5" s="2" t="s">
        <v>131</v>
      </c>
      <c r="S5" s="2">
        <f>COUNTIF(A:A,"Commodity")</f>
        <v>10</v>
      </c>
    </row>
    <row r="6" spans="1:19" s="31" customFormat="1" ht="38.25" x14ac:dyDescent="0.2">
      <c r="A6" s="26" t="s">
        <v>132</v>
      </c>
      <c r="B6" s="27" t="s">
        <v>133</v>
      </c>
      <c r="C6" s="28" t="s">
        <v>13</v>
      </c>
      <c r="D6" s="28" t="s">
        <v>134</v>
      </c>
      <c r="E6" s="28" t="s">
        <v>135</v>
      </c>
      <c r="F6" s="28" t="s">
        <v>136</v>
      </c>
      <c r="G6" s="28" t="s">
        <v>137</v>
      </c>
      <c r="H6" s="29" t="s">
        <v>138</v>
      </c>
      <c r="I6" s="29" t="s">
        <v>139</v>
      </c>
      <c r="J6" s="29" t="s">
        <v>140</v>
      </c>
      <c r="K6" s="30" t="s">
        <v>142</v>
      </c>
      <c r="L6" s="30" t="s">
        <v>143</v>
      </c>
      <c r="M6" s="30" t="s">
        <v>144</v>
      </c>
      <c r="O6" s="31" t="s">
        <v>145</v>
      </c>
      <c r="P6" s="32">
        <f>100%-SUM(P2:P5)</f>
        <v>0.62270000000000003</v>
      </c>
      <c r="R6" s="31" t="s">
        <v>127</v>
      </c>
      <c r="S6" s="2">
        <f>COUNTIF(A:A,"Equity")</f>
        <v>15</v>
      </c>
    </row>
    <row r="7" spans="1:19" s="31" customFormat="1" ht="12.75" customHeight="1" x14ac:dyDescent="0.2">
      <c r="A7" s="34" t="s">
        <v>127</v>
      </c>
      <c r="B7" s="34" t="s">
        <v>249</v>
      </c>
      <c r="C7" s="34" t="s">
        <v>250</v>
      </c>
      <c r="D7" s="35">
        <v>0</v>
      </c>
      <c r="E7" s="36">
        <f>Table1389[[#This Row],[Target Allocation (%)]]*$C$2*$C$3</f>
        <v>0</v>
      </c>
      <c r="F7" s="36">
        <v>346.08034026464998</v>
      </c>
      <c r="G7" s="37">
        <f>Table1389[[#This Row],[Target Value Allocation (USD)]]/Table1389[[#This Row],[Last price]]</f>
        <v>0</v>
      </c>
      <c r="H7" s="34">
        <v>1058</v>
      </c>
      <c r="I7" s="34">
        <v>0</v>
      </c>
      <c r="J7" s="162">
        <f t="shared" ref="J7:J21" si="0">I7-H7</f>
        <v>-1058</v>
      </c>
      <c r="K7" s="115">
        <f>Table1389[[#This Row],[Last price]]*Table1389[[#This Row],[Current Quantity]]</f>
        <v>0</v>
      </c>
      <c r="L7" s="233">
        <f>Table1389[[#This Row],[Current Value Allocation]]/$K$2</f>
        <v>0</v>
      </c>
      <c r="M7" s="38"/>
      <c r="R7" s="31" t="s">
        <v>151</v>
      </c>
      <c r="S7" s="2">
        <f>COUNTIF(A:A,"Others")</f>
        <v>0</v>
      </c>
    </row>
    <row r="8" spans="1:19" s="31" customFormat="1" ht="25.5" x14ac:dyDescent="0.2">
      <c r="A8" s="34" t="s">
        <v>127</v>
      </c>
      <c r="B8" s="34" t="s">
        <v>7</v>
      </c>
      <c r="C8" s="34" t="s">
        <v>31</v>
      </c>
      <c r="D8" s="35">
        <v>1.2999999999999999E-2</v>
      </c>
      <c r="E8" s="36">
        <f>Table1389[[#This Row],[Target Allocation (%)]]*$C$2*$C$3</f>
        <v>364248.76788299991</v>
      </c>
      <c r="F8" s="36">
        <v>417.89941520467801</v>
      </c>
      <c r="G8" s="37">
        <f>Table1389[[#This Row],[Target Value Allocation (USD)]]/Table1389[[#This Row],[Last price]]</f>
        <v>871.61827614570552</v>
      </c>
      <c r="H8" s="34">
        <v>855</v>
      </c>
      <c r="I8" s="34">
        <v>872</v>
      </c>
      <c r="J8" s="162">
        <f t="shared" si="0"/>
        <v>17</v>
      </c>
      <c r="K8" s="115">
        <f>Table1389[[#This Row],[Last price]]*Table1389[[#This Row],[Current Quantity]]</f>
        <v>364408.29005847924</v>
      </c>
      <c r="L8" s="233">
        <f>Table1389[[#This Row],[Current Value Allocation]]/$K$2</f>
        <v>1.2898128005370496E-2</v>
      </c>
      <c r="M8" s="38"/>
      <c r="O8" s="2" t="s">
        <v>152</v>
      </c>
      <c r="P8" s="42">
        <v>288492</v>
      </c>
      <c r="R8" s="31" t="s">
        <v>153</v>
      </c>
      <c r="S8" s="31">
        <f>SUM(S2:S7)</f>
        <v>41</v>
      </c>
    </row>
    <row r="9" spans="1:19" s="31" customFormat="1" ht="25.5" customHeight="1" x14ac:dyDescent="0.25">
      <c r="A9" s="34" t="s">
        <v>127</v>
      </c>
      <c r="B9" s="34" t="s">
        <v>8</v>
      </c>
      <c r="C9" s="34" t="s">
        <v>34</v>
      </c>
      <c r="D9" s="35">
        <v>1.2999999999999999E-2</v>
      </c>
      <c r="E9" s="36">
        <f>Table1389[[#This Row],[Target Allocation (%)]]*$C$2*$C$3</f>
        <v>364248.76788299991</v>
      </c>
      <c r="F9" s="36">
        <v>643</v>
      </c>
      <c r="G9" s="37">
        <f>Table1389[[#This Row],[Target Value Allocation (USD)]]/Table1389[[#This Row],[Last price]]</f>
        <v>566.48330930482098</v>
      </c>
      <c r="H9" s="34">
        <v>552</v>
      </c>
      <c r="I9" s="34">
        <v>566</v>
      </c>
      <c r="J9" s="162">
        <f t="shared" si="0"/>
        <v>14</v>
      </c>
      <c r="K9" s="115">
        <f>Table1389[[#This Row],[Last price]]*Table1389[[#This Row],[Current Quantity]]</f>
        <v>363938</v>
      </c>
      <c r="L9" s="233">
        <f>Table1389[[#This Row],[Current Value Allocation]]/$K$2</f>
        <v>1.2881482222221751E-2</v>
      </c>
      <c r="M9" s="38"/>
      <c r="O9" s="31" t="s">
        <v>154</v>
      </c>
      <c r="P9" s="42">
        <v>79066</v>
      </c>
    </row>
    <row r="10" spans="1:19" s="31" customFormat="1" ht="12.75" customHeight="1" x14ac:dyDescent="0.25">
      <c r="A10" s="34" t="s">
        <v>127</v>
      </c>
      <c r="B10" s="34" t="s">
        <v>9</v>
      </c>
      <c r="C10" s="34" t="s">
        <v>35</v>
      </c>
      <c r="D10" s="35">
        <v>1.2999999999999999E-2</v>
      </c>
      <c r="E10" s="36">
        <f>Table1389[[#This Row],[Target Allocation (%)]]*$C$2*$C$3</f>
        <v>364248.76788299991</v>
      </c>
      <c r="F10" s="36">
        <v>174</v>
      </c>
      <c r="G10" s="37">
        <f>Table1389[[#This Row],[Target Value Allocation (USD)]]/Table1389[[#This Row],[Last price]]</f>
        <v>2093.3837234655166</v>
      </c>
      <c r="H10" s="34">
        <v>2012</v>
      </c>
      <c r="I10" s="34">
        <v>2093</v>
      </c>
      <c r="J10" s="162">
        <f t="shared" si="0"/>
        <v>81</v>
      </c>
      <c r="K10" s="115">
        <f>Table1389[[#This Row],[Last price]]*Table1389[[#This Row],[Current Quantity]]</f>
        <v>364182</v>
      </c>
      <c r="L10" s="233">
        <f>Table1389[[#This Row],[Current Value Allocation]]/$K$2</f>
        <v>1.2890118532973093E-2</v>
      </c>
      <c r="M10" s="38"/>
      <c r="O10" s="31" t="s">
        <v>155</v>
      </c>
      <c r="P10" s="42">
        <v>896127</v>
      </c>
    </row>
    <row r="11" spans="1:19" s="31" customFormat="1" ht="12.75" customHeight="1" x14ac:dyDescent="0.25">
      <c r="A11" s="34" t="s">
        <v>127</v>
      </c>
      <c r="B11" s="34" t="s">
        <v>10</v>
      </c>
      <c r="C11" s="34" t="s">
        <v>36</v>
      </c>
      <c r="D11" s="35">
        <v>1.2999999999999999E-2</v>
      </c>
      <c r="E11" s="36">
        <f>Table1389[[#This Row],[Target Allocation (%)]]*$C$2*$C$3</f>
        <v>364248.76788299991</v>
      </c>
      <c r="F11" s="36">
        <v>1566.03112840467</v>
      </c>
      <c r="G11" s="37">
        <f>Table1389[[#This Row],[Target Value Allocation (USD)]]/Table1389[[#This Row],[Last price]]</f>
        <v>232.59356808192146</v>
      </c>
      <c r="H11" s="34">
        <v>257</v>
      </c>
      <c r="I11" s="34">
        <v>233</v>
      </c>
      <c r="J11" s="162">
        <f t="shared" si="0"/>
        <v>-24</v>
      </c>
      <c r="K11" s="115">
        <f>Table1389[[#This Row],[Last price]]*Table1389[[#This Row],[Current Quantity]]</f>
        <v>364885.25291828811</v>
      </c>
      <c r="L11" s="233">
        <f>Table1389[[#This Row],[Current Value Allocation]]/$K$2</f>
        <v>1.2915009970428522E-2</v>
      </c>
      <c r="M11" s="38"/>
      <c r="O11" s="31" t="s">
        <v>131</v>
      </c>
    </row>
    <row r="12" spans="1:19" s="31" customFormat="1" ht="12.75" customHeight="1" x14ac:dyDescent="0.25">
      <c r="A12" s="34" t="s">
        <v>127</v>
      </c>
      <c r="B12" s="34" t="s">
        <v>0</v>
      </c>
      <c r="C12" s="34" t="s">
        <v>23</v>
      </c>
      <c r="D12" s="35">
        <v>1.2999999999999999E-2</v>
      </c>
      <c r="E12" s="36">
        <f>Table1389[[#This Row],[Target Allocation (%)]]*$C$2*$C$3</f>
        <v>364248.76788299991</v>
      </c>
      <c r="F12" s="36">
        <v>391.12039045553098</v>
      </c>
      <c r="G12" s="37">
        <f>Table1389[[#This Row],[Target Value Allocation (USD)]]/Table1389[[#This Row],[Last price]]</f>
        <v>931.29577688027416</v>
      </c>
      <c r="H12" s="34">
        <v>922</v>
      </c>
      <c r="I12" s="34">
        <v>931</v>
      </c>
      <c r="J12" s="162">
        <f t="shared" si="0"/>
        <v>9</v>
      </c>
      <c r="K12" s="115">
        <f>Table1389[[#This Row],[Last price]]*Table1389[[#This Row],[Current Quantity]]</f>
        <v>364133.08351409936</v>
      </c>
      <c r="L12" s="233">
        <f>Table1389[[#This Row],[Current Value Allocation]]/$K$2</f>
        <v>1.2888387147837431E-2</v>
      </c>
      <c r="M12" s="38"/>
    </row>
    <row r="13" spans="1:19" s="31" customFormat="1" ht="12.75" customHeight="1" x14ac:dyDescent="0.25">
      <c r="A13" s="34" t="s">
        <v>127</v>
      </c>
      <c r="B13" s="34" t="s">
        <v>3</v>
      </c>
      <c r="C13" s="34" t="s">
        <v>26</v>
      </c>
      <c r="D13" s="35">
        <v>1.2999999999999999E-2</v>
      </c>
      <c r="E13" s="36">
        <f>Table1389[[#This Row],[Target Allocation (%)]]*$C$2*$C$3</f>
        <v>364248.76788299991</v>
      </c>
      <c r="F13" s="36">
        <v>410.339901477833</v>
      </c>
      <c r="G13" s="37">
        <f>Table1389[[#This Row],[Target Value Allocation (USD)]]/Table1389[[#This Row],[Last price]]</f>
        <v>887.6757209600222</v>
      </c>
      <c r="H13" s="34">
        <v>812</v>
      </c>
      <c r="I13" s="34">
        <v>888</v>
      </c>
      <c r="J13" s="162">
        <f t="shared" si="0"/>
        <v>76</v>
      </c>
      <c r="K13" s="115">
        <f>Table1389[[#This Row],[Last price]]*Table1389[[#This Row],[Current Quantity]]</f>
        <v>364381.83251231571</v>
      </c>
      <c r="L13" s="233">
        <f>Table1389[[#This Row],[Current Value Allocation]]/$K$2</f>
        <v>1.2897191548032847E-2</v>
      </c>
      <c r="M13" s="38"/>
    </row>
    <row r="14" spans="1:19" s="31" customFormat="1" ht="12.75" customHeight="1" x14ac:dyDescent="0.25">
      <c r="A14" s="34" t="s">
        <v>127</v>
      </c>
      <c r="B14" s="34" t="s">
        <v>2</v>
      </c>
      <c r="C14" s="34" t="s">
        <v>157</v>
      </c>
      <c r="D14" s="35">
        <v>0</v>
      </c>
      <c r="E14" s="36">
        <f>Table1389[[#This Row],[Target Allocation (%)]]*$C$2*$C$3</f>
        <v>0</v>
      </c>
      <c r="F14" s="36">
        <v>396.87986651835399</v>
      </c>
      <c r="G14" s="37">
        <f>Table1389[[#This Row],[Target Value Allocation (USD)]]/Table1389[[#This Row],[Last price]]</f>
        <v>0</v>
      </c>
      <c r="H14" s="34">
        <v>899</v>
      </c>
      <c r="I14" s="34">
        <v>0</v>
      </c>
      <c r="J14" s="162">
        <f t="shared" si="0"/>
        <v>-899</v>
      </c>
      <c r="K14" s="115">
        <f>Table1389[[#This Row],[Last price]]*Table1389[[#This Row],[Current Quantity]]</f>
        <v>0</v>
      </c>
      <c r="L14" s="233">
        <f>Table1389[[#This Row],[Current Value Allocation]]/$K$2</f>
        <v>0</v>
      </c>
      <c r="M14" s="38"/>
    </row>
    <row r="15" spans="1:19" s="31" customFormat="1" ht="12.75" customHeight="1" x14ac:dyDescent="0.25">
      <c r="A15" s="34" t="s">
        <v>127</v>
      </c>
      <c r="B15" s="34" t="s">
        <v>6</v>
      </c>
      <c r="C15" s="34" t="s">
        <v>28</v>
      </c>
      <c r="D15" s="35">
        <v>1.2999999999999999E-2</v>
      </c>
      <c r="E15" s="36">
        <f>Table1389[[#This Row],[Target Allocation (%)]]*$C$2*$C$3</f>
        <v>364248.76788299991</v>
      </c>
      <c r="F15" s="36">
        <v>62.620011567379997</v>
      </c>
      <c r="G15" s="37">
        <f>Table1389[[#This Row],[Target Value Allocation (USD)]]/Table1389[[#This Row],[Last price]]</f>
        <v>5816.8109325732594</v>
      </c>
      <c r="H15" s="34">
        <v>5187</v>
      </c>
      <c r="I15" s="34">
        <v>5817</v>
      </c>
      <c r="J15" s="162">
        <f t="shared" si="0"/>
        <v>630</v>
      </c>
      <c r="K15" s="115">
        <f>Table1389[[#This Row],[Last price]]*Table1389[[#This Row],[Current Quantity]]</f>
        <v>364260.60728744947</v>
      </c>
      <c r="L15" s="233">
        <f>Table1389[[#This Row],[Current Value Allocation]]/$K$2</f>
        <v>1.289290081560315E-2</v>
      </c>
      <c r="M15" s="38"/>
    </row>
    <row r="16" spans="1:19" s="31" customFormat="1" ht="12.75" customHeight="1" x14ac:dyDescent="0.25">
      <c r="A16" s="34" t="s">
        <v>127</v>
      </c>
      <c r="B16" s="34" t="s">
        <v>37</v>
      </c>
      <c r="C16" s="34" t="s">
        <v>38</v>
      </c>
      <c r="D16" s="35">
        <v>0</v>
      </c>
      <c r="E16" s="36">
        <f>Table1389[[#This Row],[Target Allocation (%)]]*$C$2*$C$3</f>
        <v>0</v>
      </c>
      <c r="F16" s="36">
        <v>233.28026315789501</v>
      </c>
      <c r="G16" s="37">
        <f>Table1389[[#This Row],[Target Value Allocation (USD)]]/Table1389[[#This Row],[Last price]]</f>
        <v>0</v>
      </c>
      <c r="H16" s="34">
        <v>1520</v>
      </c>
      <c r="I16" s="34">
        <v>0</v>
      </c>
      <c r="J16" s="162">
        <f t="shared" si="0"/>
        <v>-1520</v>
      </c>
      <c r="K16" s="115">
        <f>Table1389[[#This Row],[Last price]]*Table1389[[#This Row],[Current Quantity]]</f>
        <v>0</v>
      </c>
      <c r="L16" s="233">
        <f>Table1389[[#This Row],[Current Value Allocation]]/$K$2</f>
        <v>0</v>
      </c>
      <c r="M16" s="38"/>
    </row>
    <row r="17" spans="1:17" s="31" customFormat="1" ht="12.75" customHeight="1" x14ac:dyDescent="0.25">
      <c r="A17" s="34" t="s">
        <v>127</v>
      </c>
      <c r="B17" s="34" t="s">
        <v>29</v>
      </c>
      <c r="C17" s="34" t="s">
        <v>30</v>
      </c>
      <c r="D17" s="35">
        <v>1.2999999999999999E-2</v>
      </c>
      <c r="E17" s="36">
        <f>Table1389[[#This Row],[Target Allocation (%)]]*$C$2*$C$3</f>
        <v>364248.76788299991</v>
      </c>
      <c r="F17" s="36">
        <v>476.05</v>
      </c>
      <c r="G17" s="37">
        <f>Table1389[[#This Row],[Target Value Allocation (USD)]]/Table1389[[#This Row],[Last price]]</f>
        <v>765.14813125301941</v>
      </c>
      <c r="H17" s="34">
        <v>0</v>
      </c>
      <c r="I17" s="34">
        <v>765</v>
      </c>
      <c r="J17" s="162">
        <f t="shared" si="0"/>
        <v>765</v>
      </c>
      <c r="K17" s="115">
        <f>Table1389[[#This Row],[Last price]]*Table1389[[#This Row],[Current Quantity]]</f>
        <v>364178.25</v>
      </c>
      <c r="L17" s="233">
        <f>Table1389[[#This Row],[Current Value Allocation]]/$K$2</f>
        <v>1.2889985802787366E-2</v>
      </c>
      <c r="M17" s="34"/>
    </row>
    <row r="18" spans="1:17" s="31" customFormat="1" ht="12.75" customHeight="1" x14ac:dyDescent="0.25">
      <c r="A18" s="34" t="s">
        <v>127</v>
      </c>
      <c r="B18" s="34" t="s">
        <v>254</v>
      </c>
      <c r="C18" s="34" t="s">
        <v>255</v>
      </c>
      <c r="D18" s="35">
        <v>1.2999999999999999E-2</v>
      </c>
      <c r="E18" s="36">
        <f>Table1389[[#This Row],[Target Allocation (%)]]*$C$2*$C$3</f>
        <v>364248.76788299991</v>
      </c>
      <c r="F18" s="36">
        <v>293.83</v>
      </c>
      <c r="G18" s="37">
        <f>Table1389[[#This Row],[Target Value Allocation (USD)]]/Table1389[[#This Row],[Last price]]</f>
        <v>1239.6581965183948</v>
      </c>
      <c r="H18" s="34">
        <v>0</v>
      </c>
      <c r="I18" s="34">
        <v>1240</v>
      </c>
      <c r="J18" s="162">
        <f t="shared" si="0"/>
        <v>1240</v>
      </c>
      <c r="K18" s="115">
        <f>Table1389[[#This Row],[Last price]]*Table1389[[#This Row],[Current Quantity]]</f>
        <v>364349.19999999995</v>
      </c>
      <c r="L18" s="233">
        <f>Table1389[[#This Row],[Current Value Allocation]]/$K$2</f>
        <v>1.2896036529520732E-2</v>
      </c>
      <c r="M18" s="34"/>
    </row>
    <row r="19" spans="1:17" s="31" customFormat="1" ht="12.75" customHeight="1" x14ac:dyDescent="0.25">
      <c r="A19" s="34" t="s">
        <v>127</v>
      </c>
      <c r="B19" s="234" t="s">
        <v>256</v>
      </c>
      <c r="C19" s="34" t="s">
        <v>257</v>
      </c>
      <c r="D19" s="35">
        <v>1.2999999999999999E-2</v>
      </c>
      <c r="E19" s="36">
        <f>Table1389[[#This Row],[Target Allocation (%)]]*$C$2*$C$3</f>
        <v>364248.76788299991</v>
      </c>
      <c r="F19" s="36">
        <v>4.6717622687334801</v>
      </c>
      <c r="G19" s="37">
        <f>Table1389[[#This Row],[Target Value Allocation (USD)]]/Table1389[[#This Row],[Last price]]</f>
        <v>77968.172807249488</v>
      </c>
      <c r="H19" s="34">
        <v>0</v>
      </c>
      <c r="I19" s="34">
        <v>77968</v>
      </c>
      <c r="J19" s="162">
        <f t="shared" si="0"/>
        <v>77968</v>
      </c>
      <c r="K19" s="115">
        <f>Table1389[[#This Row],[Last price]]*Table1389[[#This Row],[Current Quantity]]</f>
        <v>364247.96056861198</v>
      </c>
      <c r="L19" s="233">
        <f>Table1389[[#This Row],[Current Value Allocation]]/$K$2</f>
        <v>1.2892453188579111E-2</v>
      </c>
      <c r="M19" s="34" t="s">
        <v>258</v>
      </c>
    </row>
    <row r="20" spans="1:17" s="31" customFormat="1" ht="12.75" customHeight="1" x14ac:dyDescent="0.25">
      <c r="A20" s="34" t="s">
        <v>127</v>
      </c>
      <c r="B20" s="234" t="s">
        <v>259</v>
      </c>
      <c r="C20" s="34" t="s">
        <v>260</v>
      </c>
      <c r="D20" s="35">
        <v>1.2999999999999999E-2</v>
      </c>
      <c r="E20" s="36">
        <f>Table1389[[#This Row],[Target Allocation (%)]]*$C$2*$C$3</f>
        <v>364248.76788299991</v>
      </c>
      <c r="F20" s="36">
        <v>17.186941924423198</v>
      </c>
      <c r="G20" s="37">
        <f>Table1389[[#This Row],[Target Value Allocation (USD)]]/Table1389[[#This Row],[Last price]]</f>
        <v>21193.34373064883</v>
      </c>
      <c r="H20" s="34">
        <v>0</v>
      </c>
      <c r="I20" s="34">
        <v>21193</v>
      </c>
      <c r="J20" s="162">
        <f t="shared" si="0"/>
        <v>21193</v>
      </c>
      <c r="K20" s="115">
        <f>Table1389[[#This Row],[Last price]]*Table1389[[#This Row],[Current Quantity]]</f>
        <v>364242.86020430084</v>
      </c>
      <c r="L20" s="233">
        <f>Table1389[[#This Row],[Current Value Allocation]]/$K$2</f>
        <v>1.2892272662631833E-2</v>
      </c>
      <c r="M20" s="34" t="s">
        <v>258</v>
      </c>
    </row>
    <row r="21" spans="1:17" s="57" customFormat="1" ht="12.75" customHeight="1" x14ac:dyDescent="0.25">
      <c r="A21" s="34" t="s">
        <v>127</v>
      </c>
      <c r="B21" s="234" t="s">
        <v>261</v>
      </c>
      <c r="C21" s="34" t="s">
        <v>262</v>
      </c>
      <c r="D21" s="35">
        <v>1.2999999999999999E-2</v>
      </c>
      <c r="E21" s="36">
        <f>Table1389[[#This Row],[Target Allocation (%)]]*$C$2*$C$3</f>
        <v>364248.76788299991</v>
      </c>
      <c r="F21" s="36">
        <v>10.469319237088399</v>
      </c>
      <c r="G21" s="37">
        <f>Table1389[[#This Row],[Target Value Allocation (USD)]]/Table1389[[#This Row],[Last price]]</f>
        <v>34792.020343846198</v>
      </c>
      <c r="H21" s="34">
        <v>0</v>
      </c>
      <c r="I21" s="34">
        <v>34792</v>
      </c>
      <c r="J21" s="162">
        <f t="shared" si="0"/>
        <v>34792</v>
      </c>
      <c r="K21" s="115">
        <f>Table1389[[#This Row],[Last price]]*Table1389[[#This Row],[Current Quantity]]</f>
        <v>364248.55489677959</v>
      </c>
      <c r="L21" s="233">
        <f>Table1389[[#This Row],[Current Value Allocation]]/$K$2</f>
        <v>1.289247422465593E-2</v>
      </c>
      <c r="M21" s="34" t="s">
        <v>258</v>
      </c>
    </row>
    <row r="22" spans="1:17" s="57" customFormat="1" ht="12.75" customHeight="1" x14ac:dyDescent="0.25">
      <c r="A22" s="34"/>
      <c r="B22" s="34"/>
      <c r="C22" s="34"/>
      <c r="D22" s="35"/>
      <c r="E22" s="36"/>
      <c r="F22" s="36"/>
      <c r="G22" s="37"/>
      <c r="H22" s="34"/>
      <c r="I22" s="34"/>
      <c r="J22" s="214"/>
      <c r="K22" s="36"/>
      <c r="L22" s="235"/>
      <c r="M22" s="34"/>
    </row>
    <row r="23" spans="1:17" s="68" customFormat="1" ht="12.75" customHeight="1" x14ac:dyDescent="0.25">
      <c r="A23" s="58" t="s">
        <v>158</v>
      </c>
      <c r="B23" s="58"/>
      <c r="C23" s="58"/>
      <c r="D23" s="236">
        <f>SUBTOTAL(9,D7:D22)</f>
        <v>0.15600000000000003</v>
      </c>
      <c r="E23" s="237">
        <f>SUM(E7:E21)</f>
        <v>4370985.2145959986</v>
      </c>
      <c r="F23" s="58"/>
      <c r="G23" s="205"/>
      <c r="H23" s="58"/>
      <c r="I23" s="58"/>
      <c r="J23" s="207"/>
      <c r="K23" s="237">
        <f>SUM(K7:K21)</f>
        <v>4371455.8919603247</v>
      </c>
      <c r="L23" s="238">
        <f>Table1389[[#This Row],[Current Value Allocation]]/$K$2</f>
        <v>0.15472644065064228</v>
      </c>
      <c r="M23" s="58"/>
    </row>
    <row r="24" spans="1:17" s="57" customFormat="1" ht="12.75" customHeight="1" x14ac:dyDescent="0.25">
      <c r="A24" s="34"/>
      <c r="B24" s="34"/>
      <c r="C24" s="34"/>
      <c r="D24" s="35"/>
      <c r="E24" s="36"/>
      <c r="F24" s="36"/>
      <c r="G24" s="37"/>
      <c r="H24" s="34"/>
      <c r="I24" s="34"/>
      <c r="J24" s="214"/>
      <c r="K24" s="36"/>
      <c r="L24" s="233"/>
      <c r="M24" s="34"/>
    </row>
    <row r="25" spans="1:17" s="31" customFormat="1" ht="12.75" customHeight="1" x14ac:dyDescent="0.25">
      <c r="A25" s="239"/>
      <c r="B25" s="58" t="s">
        <v>5</v>
      </c>
      <c r="C25" s="239" t="s">
        <v>27</v>
      </c>
      <c r="D25" s="240">
        <v>0.05</v>
      </c>
      <c r="E25" s="241">
        <f>Table1389[[#This Row],[Target Allocation (%)]]*$C$2*$C$3</f>
        <v>1400956.7995499999</v>
      </c>
      <c r="F25" s="241">
        <v>17.270098212185399</v>
      </c>
      <c r="G25" s="242">
        <f>Table1389[[#This Row],[Target Value Allocation (USD)]]/Table1389[[#This Row],[Last price]]</f>
        <v>81120.37246907581</v>
      </c>
      <c r="H25" s="239">
        <v>68016</v>
      </c>
      <c r="I25" s="239">
        <v>81120</v>
      </c>
      <c r="J25" s="197">
        <f>I25-H25</f>
        <v>13104</v>
      </c>
      <c r="K25" s="195">
        <f>Table1389[[#This Row],[Last price]]*Table1389[[#This Row],[Current Quantity]]</f>
        <v>1400950.3669724795</v>
      </c>
      <c r="L25" s="238">
        <f>Table1389[[#This Row],[Current Value Allocation]]/$K$2</f>
        <v>4.9586240640908705E-2</v>
      </c>
      <c r="M25" s="58"/>
      <c r="Q25" s="42"/>
    </row>
    <row r="26" spans="1:17" s="31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214"/>
      <c r="K26" s="115"/>
      <c r="L26" s="233"/>
      <c r="M26" s="34"/>
      <c r="Q26" s="42"/>
    </row>
    <row r="27" spans="1:17" ht="26.25" x14ac:dyDescent="0.25">
      <c r="A27" s="34" t="s">
        <v>128</v>
      </c>
      <c r="B27" s="83" t="s">
        <v>94</v>
      </c>
      <c r="C27" s="83" t="s">
        <v>95</v>
      </c>
      <c r="D27" s="35">
        <v>4.5713999999999998E-2</v>
      </c>
      <c r="E27" s="36">
        <f>Table1389[[#This Row],[Target Allocation (%)]]*$C$2*$C$3</f>
        <v>1280866.782692574</v>
      </c>
      <c r="F27" s="36">
        <v>157790.57142857101</v>
      </c>
      <c r="G27" s="86">
        <f>Table1389[[#This Row],[Target Value Allocation (USD)]]/Table1389[[#This Row],[Last price]]</f>
        <v>8.1175115287062614</v>
      </c>
      <c r="H27" s="34">
        <v>7</v>
      </c>
      <c r="I27" s="34">
        <v>8</v>
      </c>
      <c r="J27" s="162">
        <f t="shared" ref="J27:J33" si="1">I27-H27</f>
        <v>1</v>
      </c>
      <c r="K27" s="115">
        <f>Table1389[[#This Row],[Last price]]*Table1389[[#This Row],[Current Quantity]]</f>
        <v>1262324.5714285681</v>
      </c>
      <c r="L27" s="233">
        <f>Table1389[[#This Row],[Current Value Allocation]]/$K$2</f>
        <v>4.4679619950460769E-2</v>
      </c>
      <c r="M27" s="129"/>
    </row>
    <row r="28" spans="1:17" ht="26.25" x14ac:dyDescent="0.25">
      <c r="A28" s="34" t="s">
        <v>128</v>
      </c>
      <c r="B28" s="83" t="s">
        <v>98</v>
      </c>
      <c r="C28" s="83" t="s">
        <v>99</v>
      </c>
      <c r="D28" s="35">
        <v>4.5713999999999998E-2</v>
      </c>
      <c r="E28" s="36">
        <f>Table1389[[#This Row],[Target Allocation (%)]]*$C$2*$C$3</f>
        <v>1280866.782692574</v>
      </c>
      <c r="F28" s="36">
        <v>221862.6</v>
      </c>
      <c r="G28" s="86">
        <f>Table1389[[#This Row],[Target Value Allocation (USD)]]/Table1389[[#This Row],[Last price]]</f>
        <v>5.7732433618490626</v>
      </c>
      <c r="H28" s="34">
        <v>5</v>
      </c>
      <c r="I28" s="34">
        <v>6</v>
      </c>
      <c r="J28" s="162">
        <f t="shared" si="1"/>
        <v>1</v>
      </c>
      <c r="K28" s="115">
        <f>Table1389[[#This Row],[Last price]]*Table1389[[#This Row],[Current Quantity]]</f>
        <v>1331175.6000000001</v>
      </c>
      <c r="L28" s="233">
        <f>Table1389[[#This Row],[Current Value Allocation]]/$K$2</f>
        <v>4.7116582566413441E-2</v>
      </c>
      <c r="M28" s="129"/>
    </row>
    <row r="29" spans="1:17" ht="26.25" x14ac:dyDescent="0.25">
      <c r="A29" s="34" t="s">
        <v>128</v>
      </c>
      <c r="B29" s="83" t="s">
        <v>101</v>
      </c>
      <c r="C29" s="83" t="s">
        <v>102</v>
      </c>
      <c r="D29" s="35">
        <v>4.5713999999999998E-2</v>
      </c>
      <c r="E29" s="36">
        <f>Table1389[[#This Row],[Target Allocation (%)]]*$C$2*$C$3</f>
        <v>1280866.782692574</v>
      </c>
      <c r="F29" s="36">
        <v>179769</v>
      </c>
      <c r="G29" s="86">
        <f>Table1389[[#This Row],[Target Value Allocation (USD)]]/Table1389[[#This Row],[Last price]]</f>
        <v>7.1250704108749225</v>
      </c>
      <c r="H29" s="34">
        <v>7</v>
      </c>
      <c r="I29" s="34">
        <v>7</v>
      </c>
      <c r="J29" s="162">
        <f t="shared" si="1"/>
        <v>0</v>
      </c>
      <c r="K29" s="115">
        <f>Table1389[[#This Row],[Last price]]*Table1389[[#This Row],[Current Quantity]]</f>
        <v>1258383</v>
      </c>
      <c r="L29" s="233">
        <f>Table1389[[#This Row],[Current Value Allocation]]/$K$2</f>
        <v>4.4540109148388116E-2</v>
      </c>
      <c r="M29" s="129"/>
    </row>
    <row r="30" spans="1:17" ht="26.25" x14ac:dyDescent="0.25">
      <c r="A30" s="34" t="s">
        <v>128</v>
      </c>
      <c r="B30" s="83" t="s">
        <v>104</v>
      </c>
      <c r="C30" s="83" t="s">
        <v>105</v>
      </c>
      <c r="D30" s="35">
        <v>4.5713999999999998E-2</v>
      </c>
      <c r="E30" s="36">
        <f>Table1389[[#This Row],[Target Allocation (%)]]*$C$2*$C$3</f>
        <v>1280866.782692574</v>
      </c>
      <c r="F30" s="36">
        <v>125723.555555556</v>
      </c>
      <c r="G30" s="86">
        <f>Table1389[[#This Row],[Target Value Allocation (USD)]]/Table1389[[#This Row],[Last price]]</f>
        <v>10.187961810597789</v>
      </c>
      <c r="H30" s="34">
        <v>9</v>
      </c>
      <c r="I30" s="34">
        <v>10</v>
      </c>
      <c r="J30" s="162">
        <f t="shared" si="1"/>
        <v>1</v>
      </c>
      <c r="K30" s="115">
        <f>Table1389[[#This Row],[Last price]]*Table1389[[#This Row],[Current Quantity]]</f>
        <v>1257235.5555555599</v>
      </c>
      <c r="L30" s="233">
        <f>Table1389[[#This Row],[Current Value Allocation]]/$K$2</f>
        <v>4.4499495677928748E-2</v>
      </c>
      <c r="M30" s="129"/>
    </row>
    <row r="31" spans="1:17" ht="26.25" x14ac:dyDescent="0.25">
      <c r="A31" s="34" t="s">
        <v>128</v>
      </c>
      <c r="B31" s="83" t="s">
        <v>107</v>
      </c>
      <c r="C31" s="83" t="s">
        <v>108</v>
      </c>
      <c r="D31" s="35">
        <v>4.5713999999999998E-2</v>
      </c>
      <c r="E31" s="36">
        <f>Table1389[[#This Row],[Target Allocation (%)]]*$C$2*$C$3</f>
        <v>1280866.782692574</v>
      </c>
      <c r="F31" s="36">
        <v>139290.875</v>
      </c>
      <c r="G31" s="86">
        <f>Table1389[[#This Row],[Target Value Allocation (USD)]]/Table1389[[#This Row],[Last price]]</f>
        <v>9.1956259352421608</v>
      </c>
      <c r="H31" s="34">
        <v>8</v>
      </c>
      <c r="I31" s="34">
        <v>9</v>
      </c>
      <c r="J31" s="162">
        <f t="shared" si="1"/>
        <v>1</v>
      </c>
      <c r="K31" s="115">
        <f>Table1389[[#This Row],[Last price]]*Table1389[[#This Row],[Current Quantity]]</f>
        <v>1253617.875</v>
      </c>
      <c r="L31" s="233">
        <f>Table1389[[#This Row],[Current Value Allocation]]/$K$2</f>
        <v>4.4371448901384052E-2</v>
      </c>
      <c r="M31" s="129"/>
    </row>
    <row r="32" spans="1:17" ht="26.25" x14ac:dyDescent="0.25">
      <c r="A32" s="34" t="s">
        <v>128</v>
      </c>
      <c r="B32" s="83" t="s">
        <v>110</v>
      </c>
      <c r="C32" s="83" t="s">
        <v>111</v>
      </c>
      <c r="D32" s="35">
        <v>6.7500000000000004E-2</v>
      </c>
      <c r="E32" s="36">
        <f>Table1389[[#This Row],[Target Allocation (%)]]*$C$2*$C$3</f>
        <v>1891291.6793924998</v>
      </c>
      <c r="F32" s="36">
        <v>416330.33333333302</v>
      </c>
      <c r="G32" s="86">
        <f>Table1389[[#This Row],[Target Value Allocation (USD)]]/Table1389[[#This Row],[Last price]]</f>
        <v>4.5427669520256782</v>
      </c>
      <c r="H32" s="34">
        <v>3</v>
      </c>
      <c r="I32" s="34">
        <v>5</v>
      </c>
      <c r="J32" s="162">
        <f t="shared" si="1"/>
        <v>2</v>
      </c>
      <c r="K32" s="115">
        <f>Table1389[[#This Row],[Last price]]*Table1389[[#This Row],[Current Quantity]]</f>
        <v>2081651.6666666651</v>
      </c>
      <c r="L32" s="233">
        <f>Table1389[[#This Row],[Current Value Allocation]]/$K$2</f>
        <v>7.3679469956489635E-2</v>
      </c>
      <c r="M32" s="129"/>
    </row>
    <row r="33" spans="1:17" ht="26.25" x14ac:dyDescent="0.25">
      <c r="A33" s="34" t="s">
        <v>128</v>
      </c>
      <c r="B33" s="83" t="s">
        <v>116</v>
      </c>
      <c r="C33" s="83" t="s">
        <v>117</v>
      </c>
      <c r="D33" s="35">
        <v>4.5713999999999998E-2</v>
      </c>
      <c r="E33" s="36">
        <f>Table1389[[#This Row],[Target Allocation (%)]]*$C$2*$C$3</f>
        <v>1280866.782692574</v>
      </c>
      <c r="F33" s="36">
        <v>220792</v>
      </c>
      <c r="G33" s="86">
        <f>Table1389[[#This Row],[Target Value Allocation (USD)]]/Table1389[[#This Row],[Last price]]</f>
        <v>5.8012372852846754</v>
      </c>
      <c r="H33" s="34">
        <v>5</v>
      </c>
      <c r="I33" s="34">
        <v>6</v>
      </c>
      <c r="J33" s="162">
        <f t="shared" si="1"/>
        <v>1</v>
      </c>
      <c r="K33" s="115">
        <f>Table1389[[#This Row],[Last price]]*Table1389[[#This Row],[Current Quantity]]</f>
        <v>1324752</v>
      </c>
      <c r="L33" s="233">
        <f>Table1389[[#This Row],[Current Value Allocation]]/$K$2</f>
        <v>4.6889221067469483E-2</v>
      </c>
      <c r="M33" s="129"/>
    </row>
    <row r="34" spans="1:17" s="100" customFormat="1" ht="12.75" x14ac:dyDescent="0.2">
      <c r="A34" s="34"/>
      <c r="B34" s="83"/>
      <c r="C34" s="83"/>
      <c r="D34" s="35"/>
      <c r="E34" s="85"/>
      <c r="F34" s="36"/>
      <c r="G34" s="86"/>
      <c r="H34" s="34"/>
      <c r="I34" s="34"/>
      <c r="J34" s="214"/>
      <c r="K34" s="36"/>
      <c r="L34" s="235"/>
      <c r="M34" s="129"/>
    </row>
    <row r="35" spans="1:17" s="15" customFormat="1" ht="12.75" x14ac:dyDescent="0.2">
      <c r="A35" s="58" t="s">
        <v>159</v>
      </c>
      <c r="B35" s="156"/>
      <c r="C35" s="156"/>
      <c r="D35" s="240">
        <f>SUBTOTAL(9,D27:D34)</f>
        <v>0.34178399999999998</v>
      </c>
      <c r="E35" s="243">
        <f>SUM(E27:E33)</f>
        <v>9576492.3755479436</v>
      </c>
      <c r="F35" s="241"/>
      <c r="G35" s="210"/>
      <c r="H35" s="239"/>
      <c r="I35" s="239"/>
      <c r="J35" s="197"/>
      <c r="K35" s="243">
        <f>SUM(K27:K33)</f>
        <v>9769140.2686507925</v>
      </c>
      <c r="L35" s="244">
        <f>Table1389[[#This Row],[Current Value Allocation]]/$K$2</f>
        <v>0.34577594726853422</v>
      </c>
      <c r="M35" s="245"/>
    </row>
    <row r="36" spans="1:17" s="100" customFormat="1" ht="12.75" x14ac:dyDescent="0.2">
      <c r="A36" s="34"/>
      <c r="B36" s="83"/>
      <c r="C36" s="83"/>
      <c r="D36" s="35"/>
      <c r="E36" s="85"/>
      <c r="F36" s="36"/>
      <c r="G36" s="86"/>
      <c r="H36" s="34"/>
      <c r="I36" s="34"/>
      <c r="J36" s="214"/>
      <c r="K36" s="36"/>
      <c r="L36" s="233"/>
      <c r="M36" s="129"/>
    </row>
    <row r="37" spans="1:17" s="31" customFormat="1" ht="25.5" customHeight="1" x14ac:dyDescent="0.2">
      <c r="A37" s="34" t="s">
        <v>130</v>
      </c>
      <c r="B37" s="34" t="s">
        <v>39</v>
      </c>
      <c r="C37" s="34" t="s">
        <v>40</v>
      </c>
      <c r="D37" s="35">
        <v>2.2499999999999999E-2</v>
      </c>
      <c r="E37" s="36">
        <f>Table1389[[#This Row],[Target Allocation (%)]]*$C$2*$C$3</f>
        <v>630430.55979749991</v>
      </c>
      <c r="F37" s="36">
        <v>93290.909090909103</v>
      </c>
      <c r="G37" s="37">
        <f>Table1389[[#This Row],[Target Value Allocation (USD)]]/Table1389[[#This Row],[Last price]]</f>
        <v>6.7576848156036817</v>
      </c>
      <c r="H37" s="34">
        <v>11</v>
      </c>
      <c r="I37" s="34">
        <v>7</v>
      </c>
      <c r="J37" s="162">
        <f t="shared" ref="J37:J45" si="2">I37-H37</f>
        <v>-4</v>
      </c>
      <c r="K37" s="115">
        <f>Table1389[[#This Row],[Last price]]*Table1389[[#This Row],[Current Quantity]]</f>
        <v>653036.36363636376</v>
      </c>
      <c r="L37" s="233">
        <f>Table1389[[#This Row],[Current Value Allocation]]/$K$2</f>
        <v>2.3114036755288423E-2</v>
      </c>
      <c r="M37" s="38"/>
      <c r="N37" s="2"/>
      <c r="Q37" s="42"/>
    </row>
    <row r="38" spans="1:17" s="31" customFormat="1" ht="25.5" customHeight="1" x14ac:dyDescent="0.2">
      <c r="A38" s="34" t="s">
        <v>130</v>
      </c>
      <c r="B38" s="34" t="s">
        <v>50</v>
      </c>
      <c r="C38" s="34" t="s">
        <v>51</v>
      </c>
      <c r="D38" s="35">
        <v>4.5713999999999998E-2</v>
      </c>
      <c r="E38" s="36">
        <f>Table1389[[#This Row],[Target Allocation (%)]]*$C$2*$C$3</f>
        <v>1280866.782692574</v>
      </c>
      <c r="F38" s="36">
        <v>113271.7</v>
      </c>
      <c r="G38" s="37">
        <f>Table1389[[#This Row],[Target Value Allocation (USD)]]/Table1389[[#This Row],[Last price]]</f>
        <v>11.307915240016474</v>
      </c>
      <c r="H38" s="34">
        <v>10</v>
      </c>
      <c r="I38" s="34">
        <v>11</v>
      </c>
      <c r="J38" s="162">
        <f t="shared" si="2"/>
        <v>1</v>
      </c>
      <c r="K38" s="115">
        <f>Table1389[[#This Row],[Last price]]*Table1389[[#This Row],[Current Quantity]]</f>
        <v>1245988.7</v>
      </c>
      <c r="L38" s="233">
        <f>Table1389[[#This Row],[Current Value Allocation]]/$K$2</f>
        <v>4.4101416417464484E-2</v>
      </c>
      <c r="M38" s="38"/>
      <c r="N38" s="2"/>
    </row>
    <row r="39" spans="1:17" s="31" customFormat="1" ht="25.5" customHeight="1" x14ac:dyDescent="0.2">
      <c r="A39" s="34" t="s">
        <v>130</v>
      </c>
      <c r="B39" s="34" t="s">
        <v>54</v>
      </c>
      <c r="C39" s="34" t="s">
        <v>55</v>
      </c>
      <c r="D39" s="35">
        <v>6.7500000000000004E-2</v>
      </c>
      <c r="E39" s="36">
        <f>Table1389[[#This Row],[Target Allocation (%)]]*$C$2*$C$3</f>
        <v>1891291.6793924998</v>
      </c>
      <c r="F39" s="36">
        <v>249615.25</v>
      </c>
      <c r="G39" s="37">
        <f>Table1389[[#This Row],[Target Value Allocation (USD)]]/Table1389[[#This Row],[Last price]]</f>
        <v>7.5768274550232801</v>
      </c>
      <c r="H39" s="34">
        <v>4</v>
      </c>
      <c r="I39" s="34">
        <v>7</v>
      </c>
      <c r="J39" s="162">
        <f t="shared" si="2"/>
        <v>3</v>
      </c>
      <c r="K39" s="115">
        <f>Table1389[[#This Row],[Last price]]*Table1389[[#This Row],[Current Quantity]]</f>
        <v>1747306.75</v>
      </c>
      <c r="L39" s="233">
        <f>Table1389[[#This Row],[Current Value Allocation]]/$K$2</f>
        <v>6.1845426520157461E-2</v>
      </c>
      <c r="M39" s="38"/>
      <c r="N39" s="2"/>
    </row>
    <row r="40" spans="1:17" s="31" customFormat="1" ht="25.5" customHeight="1" x14ac:dyDescent="0.2">
      <c r="A40" s="34" t="s">
        <v>130</v>
      </c>
      <c r="B40" s="34" t="s">
        <v>58</v>
      </c>
      <c r="C40" s="34" t="s">
        <v>59</v>
      </c>
      <c r="D40" s="35">
        <v>2.2499999999999999E-2</v>
      </c>
      <c r="E40" s="36">
        <f>Table1389[[#This Row],[Target Allocation (%)]]*$C$2*$C$3</f>
        <v>630430.55979749991</v>
      </c>
      <c r="F40" s="36">
        <v>111027.66666666701</v>
      </c>
      <c r="G40" s="37">
        <f>Table1389[[#This Row],[Target Value Allocation (USD)]]/Table1389[[#This Row],[Last price]]</f>
        <v>5.678139320807408</v>
      </c>
      <c r="H40" s="34">
        <v>9</v>
      </c>
      <c r="I40" s="34">
        <v>5</v>
      </c>
      <c r="J40" s="162">
        <f t="shared" si="2"/>
        <v>-4</v>
      </c>
      <c r="K40" s="115">
        <f>Table1389[[#This Row],[Last price]]*Table1389[[#This Row],[Current Quantity]]</f>
        <v>555138.333333335</v>
      </c>
      <c r="L40" s="233">
        <f>Table1389[[#This Row],[Current Value Allocation]]/$K$2</f>
        <v>1.9648963756758477E-2</v>
      </c>
      <c r="M40" s="38"/>
      <c r="N40" s="2"/>
    </row>
    <row r="41" spans="1:17" s="31" customFormat="1" ht="25.5" x14ac:dyDescent="0.2">
      <c r="A41" s="34" t="s">
        <v>130</v>
      </c>
      <c r="B41" s="34" t="s">
        <v>60</v>
      </c>
      <c r="C41" s="34" t="s">
        <v>61</v>
      </c>
      <c r="D41" s="35">
        <v>6.7500000000000004E-2</v>
      </c>
      <c r="E41" s="36">
        <f>Table1389[[#This Row],[Target Allocation (%)]]*$C$2*$C$3</f>
        <v>1891291.6793924998</v>
      </c>
      <c r="F41" s="36">
        <v>249350</v>
      </c>
      <c r="G41" s="37">
        <f>Table1389[[#This Row],[Target Value Allocation (USD)]]/Table1389[[#This Row],[Last price]]</f>
        <v>7.5848874248746734</v>
      </c>
      <c r="H41" s="34">
        <v>4</v>
      </c>
      <c r="I41" s="34">
        <v>7</v>
      </c>
      <c r="J41" s="162">
        <f t="shared" si="2"/>
        <v>3</v>
      </c>
      <c r="K41" s="115">
        <f>Table1389[[#This Row],[Last price]]*Table1389[[#This Row],[Current Quantity]]</f>
        <v>1745450</v>
      </c>
      <c r="L41" s="233">
        <f>Table1389[[#This Row],[Current Value Allocation]]/$K$2</f>
        <v>6.1779707380864197E-2</v>
      </c>
      <c r="M41" s="38"/>
      <c r="N41" s="2"/>
    </row>
    <row r="42" spans="1:17" s="31" customFormat="1" ht="25.5" x14ac:dyDescent="0.2">
      <c r="A42" s="34" t="s">
        <v>130</v>
      </c>
      <c r="B42" s="34" t="s">
        <v>253</v>
      </c>
      <c r="C42" s="34" t="s">
        <v>175</v>
      </c>
      <c r="D42" s="35">
        <v>0</v>
      </c>
      <c r="E42" s="36">
        <f>Table1389[[#This Row],[Target Allocation (%)]]*$C$2*$C$3</f>
        <v>0</v>
      </c>
      <c r="F42" s="36">
        <v>286553.5</v>
      </c>
      <c r="G42" s="37">
        <f>Table1389[[#This Row],[Target Value Allocation (USD)]]/Table1389[[#This Row],[Last price]]</f>
        <v>0</v>
      </c>
      <c r="H42" s="34">
        <v>4</v>
      </c>
      <c r="I42" s="34">
        <v>0</v>
      </c>
      <c r="J42" s="162">
        <f t="shared" si="2"/>
        <v>-4</v>
      </c>
      <c r="K42" s="115">
        <f>Table1389[[#This Row],[Last price]]*Table1389[[#This Row],[Current Quantity]]</f>
        <v>0</v>
      </c>
      <c r="L42" s="233">
        <f>Table1389[[#This Row],[Current Value Allocation]]/$K$2</f>
        <v>0</v>
      </c>
      <c r="M42" s="38"/>
      <c r="N42" s="2"/>
    </row>
    <row r="43" spans="1:17" s="31" customFormat="1" ht="25.5" x14ac:dyDescent="0.2">
      <c r="A43" s="34" t="s">
        <v>130</v>
      </c>
      <c r="B43" s="34" t="s">
        <v>62</v>
      </c>
      <c r="C43" s="34" t="s">
        <v>63</v>
      </c>
      <c r="D43" s="35">
        <v>6.7500000000000004E-2</v>
      </c>
      <c r="E43" s="36">
        <f>Table1389[[#This Row],[Target Allocation (%)]]*$C$2*$C$3</f>
        <v>1891291.6793924998</v>
      </c>
      <c r="F43" s="36">
        <v>172619.33333333299</v>
      </c>
      <c r="G43" s="37">
        <f>Table1389[[#This Row],[Target Value Allocation (USD)]]/Table1389[[#This Row],[Last price]]</f>
        <v>10.956430214803113</v>
      </c>
      <c r="H43" s="34">
        <v>6</v>
      </c>
      <c r="I43" s="34">
        <v>11</v>
      </c>
      <c r="J43" s="162">
        <f t="shared" si="2"/>
        <v>5</v>
      </c>
      <c r="K43" s="115">
        <f>Table1389[[#This Row],[Last price]]*Table1389[[#This Row],[Current Quantity]]</f>
        <v>1898812.666666663</v>
      </c>
      <c r="L43" s="233">
        <f>Table1389[[#This Row],[Current Value Allocation]]/$K$2</f>
        <v>6.7207935442289882E-2</v>
      </c>
      <c r="M43" s="38"/>
      <c r="N43" s="2"/>
    </row>
    <row r="44" spans="1:17" s="31" customFormat="1" ht="25.5" x14ac:dyDescent="0.2">
      <c r="A44" s="34" t="s">
        <v>130</v>
      </c>
      <c r="B44" s="34" t="s">
        <v>66</v>
      </c>
      <c r="C44" s="34" t="s">
        <v>67</v>
      </c>
      <c r="D44" s="35">
        <v>6.7500000000000004E-2</v>
      </c>
      <c r="E44" s="36">
        <f>Table1389[[#This Row],[Target Allocation (%)]]*$C$2*$C$3</f>
        <v>1891291.6793924998</v>
      </c>
      <c r="F44" s="36">
        <v>700710.5</v>
      </c>
      <c r="G44" s="37">
        <f>Table1389[[#This Row],[Target Value Allocation (USD)]]/Table1389[[#This Row],[Last price]]</f>
        <v>2.6991056640260136</v>
      </c>
      <c r="H44" s="34">
        <v>2</v>
      </c>
      <c r="I44" s="34">
        <v>3</v>
      </c>
      <c r="J44" s="162">
        <f t="shared" si="2"/>
        <v>1</v>
      </c>
      <c r="K44" s="115">
        <f>Table1389[[#This Row],[Last price]]*Table1389[[#This Row],[Current Quantity]]</f>
        <v>2102131.5</v>
      </c>
      <c r="L44" s="233">
        <f>Table1389[[#This Row],[Current Value Allocation]]/$K$2</f>
        <v>7.4404347845023991E-2</v>
      </c>
      <c r="M44" s="38"/>
      <c r="N44" s="2"/>
    </row>
    <row r="45" spans="1:17" s="31" customFormat="1" ht="25.5" x14ac:dyDescent="0.2">
      <c r="A45" s="34" t="s">
        <v>130</v>
      </c>
      <c r="B45" s="34" t="s">
        <v>68</v>
      </c>
      <c r="C45" s="34" t="s">
        <v>69</v>
      </c>
      <c r="D45" s="35">
        <v>6.7500000000000004E-2</v>
      </c>
      <c r="E45" s="36">
        <f>Table1389[[#This Row],[Target Allocation (%)]]*$C$2*$C$3</f>
        <v>1891291.6793924998</v>
      </c>
      <c r="F45" s="36">
        <v>157125.14285714299</v>
      </c>
      <c r="G45" s="37">
        <f>Table1389[[#This Row],[Target Value Allocation (USD)]]/Table1389[[#This Row],[Last price]]</f>
        <v>12.03684938642855</v>
      </c>
      <c r="H45" s="34">
        <v>7</v>
      </c>
      <c r="I45" s="34">
        <v>12</v>
      </c>
      <c r="J45" s="162">
        <f t="shared" si="2"/>
        <v>5</v>
      </c>
      <c r="K45" s="115">
        <f>Table1389[[#This Row],[Last price]]*Table1389[[#This Row],[Current Quantity]]</f>
        <v>1885501.7142857159</v>
      </c>
      <c r="L45" s="233">
        <f>Table1389[[#This Row],[Current Value Allocation]]/$K$2</f>
        <v>6.6736798060494054E-2</v>
      </c>
      <c r="M45" s="38"/>
      <c r="N45" s="2"/>
    </row>
    <row r="46" spans="1:17" s="31" customFormat="1" ht="12.75" x14ac:dyDescent="0.2">
      <c r="A46" s="34"/>
      <c r="B46" s="34"/>
      <c r="C46" s="34"/>
      <c r="D46" s="35"/>
      <c r="E46" s="36"/>
      <c r="F46" s="36"/>
      <c r="G46" s="37"/>
      <c r="H46" s="34"/>
      <c r="I46" s="34"/>
      <c r="J46" s="162"/>
      <c r="K46" s="115"/>
      <c r="L46" s="233"/>
      <c r="M46" s="38"/>
      <c r="N46" s="2"/>
    </row>
    <row r="47" spans="1:17" s="31" customFormat="1" ht="12.75" x14ac:dyDescent="0.2">
      <c r="A47" s="34"/>
      <c r="B47" s="34"/>
      <c r="C47" s="34"/>
      <c r="D47" s="35"/>
      <c r="E47" s="36"/>
      <c r="F47" s="36"/>
      <c r="G47" s="37"/>
      <c r="H47" s="34"/>
      <c r="I47" s="34"/>
      <c r="J47" s="162"/>
      <c r="K47" s="115"/>
      <c r="L47" s="233"/>
      <c r="M47" s="38"/>
      <c r="N47" s="2"/>
    </row>
    <row r="48" spans="1:17" s="31" customFormat="1" ht="12.75" x14ac:dyDescent="0.2">
      <c r="A48" s="34"/>
      <c r="B48" s="34"/>
      <c r="C48" s="34"/>
      <c r="D48" s="35"/>
      <c r="E48" s="36"/>
      <c r="F48" s="36"/>
      <c r="G48" s="37"/>
      <c r="H48" s="34"/>
      <c r="I48" s="34"/>
      <c r="J48" s="162"/>
      <c r="K48" s="115"/>
      <c r="L48" s="233"/>
      <c r="M48" s="38"/>
      <c r="N48" s="2"/>
    </row>
    <row r="49" spans="1:18" s="57" customFormat="1" ht="12.75" x14ac:dyDescent="0.2">
      <c r="A49" s="34"/>
      <c r="B49" s="34"/>
      <c r="C49" s="34"/>
      <c r="D49" s="35"/>
      <c r="E49" s="36"/>
      <c r="F49" s="36"/>
      <c r="G49" s="37"/>
      <c r="H49" s="34"/>
      <c r="I49" s="34"/>
      <c r="J49" s="214"/>
      <c r="K49" s="36"/>
      <c r="L49" s="233"/>
      <c r="M49" s="34"/>
      <c r="N49" s="100"/>
    </row>
    <row r="50" spans="1:18" s="68" customFormat="1" ht="12.75" x14ac:dyDescent="0.2">
      <c r="A50" s="58" t="s">
        <v>185</v>
      </c>
      <c r="B50" s="58"/>
      <c r="C50" s="58"/>
      <c r="D50" s="240">
        <f>SUBTOTAL(9,D37:D49)</f>
        <v>0.42821399999999998</v>
      </c>
      <c r="E50" s="237">
        <f>SUM(E37:E48)</f>
        <v>11998186.299250072</v>
      </c>
      <c r="F50" s="241"/>
      <c r="G50" s="196"/>
      <c r="H50" s="239"/>
      <c r="I50" s="239"/>
      <c r="J50" s="197"/>
      <c r="K50" s="237">
        <f>SUM(K37:K48)</f>
        <v>11833366.027922079</v>
      </c>
      <c r="L50" s="244">
        <f>Table1389[[#This Row],[Current Value Allocation]]/$K$2</f>
        <v>0.41883863217834105</v>
      </c>
      <c r="M50" s="58"/>
      <c r="N50" s="15"/>
    </row>
    <row r="51" spans="1:18" s="57" customFormat="1" ht="12.75" x14ac:dyDescent="0.2">
      <c r="A51" s="34"/>
      <c r="B51" s="34"/>
      <c r="C51" s="34"/>
      <c r="D51" s="35"/>
      <c r="E51" s="36"/>
      <c r="F51" s="36"/>
      <c r="G51" s="37"/>
      <c r="H51" s="34"/>
      <c r="I51" s="34"/>
      <c r="J51" s="214"/>
      <c r="K51" s="36"/>
      <c r="L51" s="233"/>
      <c r="M51" s="34"/>
      <c r="N51" s="100"/>
    </row>
    <row r="52" spans="1:18" s="31" customFormat="1" ht="12.75" x14ac:dyDescent="0.2">
      <c r="A52" s="34"/>
      <c r="B52" s="34"/>
      <c r="C52" s="34"/>
      <c r="D52" s="35"/>
      <c r="E52" s="36"/>
      <c r="F52" s="36"/>
      <c r="G52" s="116"/>
      <c r="H52" s="34"/>
      <c r="I52" s="34"/>
      <c r="J52" s="162"/>
      <c r="K52" s="115"/>
      <c r="L52" s="233"/>
      <c r="M52" s="38"/>
      <c r="N52" s="2"/>
    </row>
    <row r="53" spans="1:18" s="31" customFormat="1" ht="25.5" x14ac:dyDescent="0.2">
      <c r="A53" s="34" t="s">
        <v>131</v>
      </c>
      <c r="B53" s="34" t="s">
        <v>43</v>
      </c>
      <c r="C53" s="34" t="s">
        <v>44</v>
      </c>
      <c r="D53" s="35">
        <v>2.3999999999999998E-3</v>
      </c>
      <c r="E53" s="36">
        <f>Table1389[[#This Row],[Target Allocation (%)]]*$C$2*$C$3</f>
        <v>67245.926378399978</v>
      </c>
      <c r="F53" s="36">
        <v>41617.666666666701</v>
      </c>
      <c r="G53" s="116">
        <f>Table1389[[#This Row],[Target Value Allocation (USD)]]/Table1389[[#This Row],[Last price]]</f>
        <v>1.6158024167236651</v>
      </c>
      <c r="H53" s="34">
        <v>3</v>
      </c>
      <c r="I53" s="34">
        <v>1</v>
      </c>
      <c r="J53" s="162">
        <f t="shared" ref="J53:J62" si="3">I53-H53</f>
        <v>-2</v>
      </c>
      <c r="K53" s="115">
        <f>Table1389[[#This Row],[Last price]]*Table1389[[#This Row],[Current Quantity]]</f>
        <v>41617.666666666701</v>
      </c>
      <c r="L53" s="233">
        <f>Table1389[[#This Row],[Current Value Allocation]]/$K$2</f>
        <v>1.4730455003242801E-3</v>
      </c>
      <c r="M53" s="38"/>
      <c r="N53" s="2"/>
    </row>
    <row r="54" spans="1:18" s="31" customFormat="1" ht="25.5" x14ac:dyDescent="0.2">
      <c r="A54" s="34" t="s">
        <v>131</v>
      </c>
      <c r="B54" s="34" t="s">
        <v>47</v>
      </c>
      <c r="C54" s="34" t="s">
        <v>48</v>
      </c>
      <c r="D54" s="35">
        <v>2.3999999999999998E-3</v>
      </c>
      <c r="E54" s="36">
        <f>Table1389[[#This Row],[Target Allocation (%)]]*$C$2*$C$3</f>
        <v>67245.926378399978</v>
      </c>
      <c r="F54" s="36">
        <v>162999</v>
      </c>
      <c r="G54" s="116">
        <f>Table1389[[#This Row],[Target Value Allocation (USD)]]/Table1389[[#This Row],[Last price]]</f>
        <v>0.41255422658053104</v>
      </c>
      <c r="H54" s="34">
        <v>1</v>
      </c>
      <c r="I54" s="34">
        <v>1</v>
      </c>
      <c r="J54" s="162">
        <f t="shared" si="3"/>
        <v>0</v>
      </c>
      <c r="K54" s="115">
        <f>Table1389[[#This Row],[Last price]]*Table1389[[#This Row],[Current Quantity]]</f>
        <v>162999</v>
      </c>
      <c r="L54" s="233">
        <f>Table1389[[#This Row],[Current Value Allocation]]/$K$2</f>
        <v>5.7693033449101854E-3</v>
      </c>
      <c r="M54" s="38"/>
      <c r="N54" s="2"/>
      <c r="R54" s="31" t="s">
        <v>188</v>
      </c>
    </row>
    <row r="55" spans="1:18" s="31" customFormat="1" ht="25.5" x14ac:dyDescent="0.2">
      <c r="A55" s="34" t="s">
        <v>131</v>
      </c>
      <c r="B55" s="34" t="s">
        <v>73</v>
      </c>
      <c r="C55" s="34" t="s">
        <v>74</v>
      </c>
      <c r="D55" s="35">
        <v>2.3999999999999998E-3</v>
      </c>
      <c r="E55" s="36">
        <f>Table1389[[#This Row],[Target Allocation (%)]]*$C$2*$C$3</f>
        <v>67245.926378399978</v>
      </c>
      <c r="F55" s="36">
        <v>81370</v>
      </c>
      <c r="G55" s="116">
        <f>Table1389[[#This Row],[Target Value Allocation (USD)]]/Table1389[[#This Row],[Last price]]</f>
        <v>0.82642160966449529</v>
      </c>
      <c r="H55" s="34">
        <v>1</v>
      </c>
      <c r="I55" s="34">
        <v>1</v>
      </c>
      <c r="J55" s="162">
        <f t="shared" si="3"/>
        <v>0</v>
      </c>
      <c r="K55" s="115">
        <f>Table1389[[#This Row],[Last price]]*Table1389[[#This Row],[Current Quantity]]</f>
        <v>81370</v>
      </c>
      <c r="L55" s="233">
        <f>Table1389[[#This Row],[Current Value Allocation]]/$K$2</f>
        <v>2.8800680567079664E-3</v>
      </c>
      <c r="M55" s="38"/>
      <c r="N55" s="2"/>
    </row>
    <row r="56" spans="1:18" s="31" customFormat="1" ht="25.5" x14ac:dyDescent="0.2">
      <c r="A56" s="34" t="s">
        <v>131</v>
      </c>
      <c r="B56" s="34" t="s">
        <v>76</v>
      </c>
      <c r="C56" s="34" t="s">
        <v>77</v>
      </c>
      <c r="D56" s="35">
        <v>2.3999999999999998E-3</v>
      </c>
      <c r="E56" s="36">
        <f>Table1389[[#This Row],[Target Allocation (%)]]*$C$2*$C$3</f>
        <v>67245.926378399978</v>
      </c>
      <c r="F56" s="36">
        <v>199231</v>
      </c>
      <c r="G56" s="116">
        <f>Table1389[[#This Row],[Target Value Allocation (USD)]]/Table1389[[#This Row],[Last price]]</f>
        <v>0.33752742484051168</v>
      </c>
      <c r="H56" s="34">
        <v>1</v>
      </c>
      <c r="I56" s="34">
        <v>1</v>
      </c>
      <c r="J56" s="162">
        <f t="shared" si="3"/>
        <v>0</v>
      </c>
      <c r="K56" s="115">
        <f>Table1389[[#This Row],[Last price]]*Table1389[[#This Row],[Current Quantity]]</f>
        <v>199231</v>
      </c>
      <c r="L56" s="233">
        <f>Table1389[[#This Row],[Current Value Allocation]]/$K$2</f>
        <v>7.0517247020521669E-3</v>
      </c>
      <c r="M56" s="38"/>
      <c r="N56" s="2"/>
    </row>
    <row r="57" spans="1:18" s="31" customFormat="1" ht="25.5" x14ac:dyDescent="0.2">
      <c r="A57" s="34" t="s">
        <v>131</v>
      </c>
      <c r="B57" s="34" t="s">
        <v>79</v>
      </c>
      <c r="C57" s="34" t="s">
        <v>80</v>
      </c>
      <c r="D57" s="35">
        <v>2.3999999999999998E-3</v>
      </c>
      <c r="E57" s="36">
        <f>Table1389[[#This Row],[Target Allocation (%)]]*$C$2*$C$3</f>
        <v>67245.926378399978</v>
      </c>
      <c r="F57" s="36">
        <v>46115.666666666701</v>
      </c>
      <c r="G57" s="116">
        <f>Table1389[[#This Row],[Target Value Allocation (USD)]]/Table1389[[#This Row],[Last price]]</f>
        <v>1.4582013280750561</v>
      </c>
      <c r="H57" s="34">
        <v>3</v>
      </c>
      <c r="I57" s="34">
        <v>1</v>
      </c>
      <c r="J57" s="162">
        <f t="shared" si="3"/>
        <v>-2</v>
      </c>
      <c r="K57" s="115">
        <f>Table1389[[#This Row],[Last price]]*Table1389[[#This Row],[Current Quantity]]</f>
        <v>46115.666666666701</v>
      </c>
      <c r="L57" s="233">
        <f>Table1389[[#This Row],[Current Value Allocation]]/$K$2</f>
        <v>1.632250933765013E-3</v>
      </c>
      <c r="M57" s="38"/>
      <c r="N57" s="2"/>
    </row>
    <row r="58" spans="1:18" s="31" customFormat="1" ht="25.5" x14ac:dyDescent="0.2">
      <c r="A58" s="34" t="s">
        <v>131</v>
      </c>
      <c r="B58" s="34" t="s">
        <v>82</v>
      </c>
      <c r="C58" s="34" t="s">
        <v>83</v>
      </c>
      <c r="D58" s="35">
        <v>2.3999999999999998E-3</v>
      </c>
      <c r="E58" s="36">
        <f>Table1389[[#This Row],[Target Allocation (%)]]*$C$2*$C$3</f>
        <v>67245.926378399978</v>
      </c>
      <c r="F58" s="36">
        <v>42159.333333333299</v>
      </c>
      <c r="G58" s="116">
        <f>Table1389[[#This Row],[Target Value Allocation (USD)]]/Table1389[[#This Row],[Last price]]</f>
        <v>1.5950424511393293</v>
      </c>
      <c r="H58" s="34">
        <v>3</v>
      </c>
      <c r="I58" s="34">
        <v>1</v>
      </c>
      <c r="J58" s="162">
        <f t="shared" si="3"/>
        <v>-2</v>
      </c>
      <c r="K58" s="115">
        <f>Table1389[[#This Row],[Last price]]*Table1389[[#This Row],[Current Quantity]]</f>
        <v>42159.333333333299</v>
      </c>
      <c r="L58" s="233">
        <f>Table1389[[#This Row],[Current Value Allocation]]/$K$2</f>
        <v>1.4922176382627089E-3</v>
      </c>
      <c r="M58" s="38"/>
      <c r="N58" s="2"/>
    </row>
    <row r="59" spans="1:18" s="31" customFormat="1" ht="25.5" x14ac:dyDescent="0.2">
      <c r="A59" s="34" t="s">
        <v>131</v>
      </c>
      <c r="B59" s="34" t="s">
        <v>84</v>
      </c>
      <c r="C59" s="34" t="s">
        <v>85</v>
      </c>
      <c r="D59" s="35">
        <v>2.3999999999999998E-3</v>
      </c>
      <c r="E59" s="36">
        <f>Table1389[[#This Row],[Target Allocation (%)]]*$C$2*$C$3</f>
        <v>67245.926378399978</v>
      </c>
      <c r="F59" s="36">
        <v>10789.727272727299</v>
      </c>
      <c r="G59" s="116">
        <f>Table1389[[#This Row],[Target Value Allocation (USD)]]/Table1389[[#This Row],[Last price]]</f>
        <v>6.2324027919013698</v>
      </c>
      <c r="H59" s="34">
        <v>11</v>
      </c>
      <c r="I59" s="34">
        <v>6</v>
      </c>
      <c r="J59" s="162">
        <f t="shared" si="3"/>
        <v>-5</v>
      </c>
      <c r="K59" s="115">
        <f>Table1389[[#This Row],[Last price]]*Table1389[[#This Row],[Current Quantity]]</f>
        <v>64738.363636363792</v>
      </c>
      <c r="L59" s="233">
        <f>Table1389[[#This Row],[Current Value Allocation]]/$K$2</f>
        <v>2.2913960077748058E-3</v>
      </c>
      <c r="M59" s="38"/>
      <c r="N59" s="2"/>
    </row>
    <row r="60" spans="1:18" s="31" customFormat="1" ht="25.5" x14ac:dyDescent="0.2">
      <c r="A60" s="34" t="s">
        <v>131</v>
      </c>
      <c r="B60" s="34" t="s">
        <v>91</v>
      </c>
      <c r="C60" s="34" t="s">
        <v>92</v>
      </c>
      <c r="D60" s="35">
        <v>2.3999999999999998E-3</v>
      </c>
      <c r="E60" s="36">
        <f>Table1389[[#This Row],[Target Allocation (%)]]*$C$2*$C$3</f>
        <v>67245.926378399978</v>
      </c>
      <c r="F60" s="36">
        <v>86627</v>
      </c>
      <c r="G60" s="116">
        <f>Table1389[[#This Row],[Target Value Allocation (USD)]]/Table1389[[#This Row],[Last price]]</f>
        <v>0.77626982786429144</v>
      </c>
      <c r="H60" s="34">
        <v>1</v>
      </c>
      <c r="I60" s="34">
        <v>1</v>
      </c>
      <c r="J60" s="162">
        <f t="shared" si="3"/>
        <v>0</v>
      </c>
      <c r="K60" s="115">
        <f>Table1389[[#This Row],[Last price]]*Table1389[[#This Row],[Current Quantity]]</f>
        <v>86627</v>
      </c>
      <c r="L60" s="233">
        <f>Table1389[[#This Row],[Current Value Allocation]]/$K$2</f>
        <v>3.0661380797399654E-3</v>
      </c>
      <c r="M60" s="38"/>
      <c r="N60" s="2"/>
    </row>
    <row r="61" spans="1:18" ht="26.25" x14ac:dyDescent="0.25">
      <c r="A61" s="34" t="s">
        <v>131</v>
      </c>
      <c r="B61" s="83" t="s">
        <v>113</v>
      </c>
      <c r="C61" s="83" t="s">
        <v>114</v>
      </c>
      <c r="D61" s="35">
        <v>2.3999999999999998E-3</v>
      </c>
      <c r="E61" s="36">
        <f>Table1389[[#This Row],[Target Allocation (%)]]*$C$2*$C$3</f>
        <v>67245.926378399978</v>
      </c>
      <c r="F61" s="36">
        <v>54930</v>
      </c>
      <c r="G61" s="116">
        <f>Table1389[[#This Row],[Target Value Allocation (USD)]]/Table1389[[#This Row],[Last price]]</f>
        <v>1.2242112939814305</v>
      </c>
      <c r="H61" s="34">
        <v>2</v>
      </c>
      <c r="I61" s="34">
        <v>1</v>
      </c>
      <c r="J61" s="162">
        <f t="shared" si="3"/>
        <v>-1</v>
      </c>
      <c r="K61" s="115">
        <f>Table1389[[#This Row],[Last price]]*Table1389[[#This Row],[Current Quantity]]</f>
        <v>54930</v>
      </c>
      <c r="L61" s="233">
        <f>Table1389[[#This Row],[Current Value Allocation]]/$K$2</f>
        <v>1.9442317605378959E-3</v>
      </c>
      <c r="M61" s="129"/>
    </row>
    <row r="62" spans="1:18" s="31" customFormat="1" ht="25.5" x14ac:dyDescent="0.2">
      <c r="A62" s="34" t="s">
        <v>131</v>
      </c>
      <c r="B62" s="34" t="s">
        <v>263</v>
      </c>
      <c r="C62" s="34" t="s">
        <v>90</v>
      </c>
      <c r="D62" s="35">
        <v>2.3999999999999998E-3</v>
      </c>
      <c r="E62" s="36">
        <f>Table1389[[#This Row],[Target Allocation (%)]]*$C$2*$C$3</f>
        <v>67245.926378399978</v>
      </c>
      <c r="F62" s="36">
        <v>98104</v>
      </c>
      <c r="G62" s="116">
        <f>Table1389[[#This Row],[Target Value Allocation (USD)]]/Table1389[[#This Row],[Last price]]</f>
        <v>0.6854555000652367</v>
      </c>
      <c r="H62" s="34">
        <v>1</v>
      </c>
      <c r="I62" s="34">
        <v>1</v>
      </c>
      <c r="J62" s="162">
        <f t="shared" si="3"/>
        <v>0</v>
      </c>
      <c r="K62" s="115">
        <f>Table1389[[#This Row],[Last price]]*Table1389[[#This Row],[Current Quantity]]</f>
        <v>98104</v>
      </c>
      <c r="L62" s="233">
        <f>Table1389[[#This Row],[Current Value Allocation]]/$K$2</f>
        <v>3.4723632374988119E-3</v>
      </c>
      <c r="M62" s="38"/>
      <c r="N62" s="2"/>
    </row>
    <row r="63" spans="1:18" s="31" customFormat="1" ht="12.75" x14ac:dyDescent="0.2">
      <c r="A63" s="34"/>
      <c r="B63" s="34"/>
      <c r="C63" s="34"/>
      <c r="D63" s="35"/>
      <c r="E63" s="36"/>
      <c r="F63" s="36"/>
      <c r="G63" s="37"/>
      <c r="H63" s="34"/>
      <c r="I63" s="34"/>
      <c r="J63" s="38"/>
      <c r="K63" s="115"/>
      <c r="L63" s="233"/>
      <c r="M63" s="38"/>
      <c r="N63" s="2"/>
    </row>
    <row r="64" spans="1:18" s="31" customFormat="1" ht="12.75" x14ac:dyDescent="0.2">
      <c r="A64" s="34"/>
      <c r="B64" s="34"/>
      <c r="C64" s="34"/>
      <c r="D64" s="35"/>
      <c r="E64" s="36"/>
      <c r="F64" s="36"/>
      <c r="G64" s="37"/>
      <c r="H64" s="34"/>
      <c r="I64" s="34"/>
      <c r="J64" s="38"/>
      <c r="K64" s="115"/>
      <c r="L64" s="233"/>
      <c r="M64" s="38"/>
      <c r="N64" s="2"/>
    </row>
    <row r="65" spans="1:14" s="31" customFormat="1" ht="12.75" x14ac:dyDescent="0.2">
      <c r="A65" s="34"/>
      <c r="B65" s="34"/>
      <c r="C65" s="34"/>
      <c r="D65" s="35"/>
      <c r="E65" s="36"/>
      <c r="F65" s="36"/>
      <c r="G65" s="37"/>
      <c r="H65" s="34"/>
      <c r="I65" s="34"/>
      <c r="J65" s="38"/>
      <c r="K65" s="115"/>
      <c r="L65" s="233"/>
      <c r="M65" s="38"/>
      <c r="N65" s="2"/>
    </row>
    <row r="66" spans="1:14" s="31" customFormat="1" ht="12.75" x14ac:dyDescent="0.2">
      <c r="A66" s="34"/>
      <c r="B66" s="34"/>
      <c r="C66" s="34"/>
      <c r="D66" s="35"/>
      <c r="E66" s="36"/>
      <c r="F66" s="36"/>
      <c r="G66" s="37"/>
      <c r="H66" s="34"/>
      <c r="I66" s="34"/>
      <c r="J66" s="38"/>
      <c r="K66" s="115"/>
      <c r="L66" s="233"/>
      <c r="M66" s="38"/>
      <c r="N66" s="2"/>
    </row>
    <row r="67" spans="1:14" s="31" customFormat="1" ht="12.75" x14ac:dyDescent="0.2">
      <c r="A67" s="34"/>
      <c r="B67" s="34"/>
      <c r="C67" s="34"/>
      <c r="D67" s="35"/>
      <c r="E67" s="36"/>
      <c r="F67" s="36"/>
      <c r="G67" s="37"/>
      <c r="H67" s="34"/>
      <c r="I67" s="34"/>
      <c r="J67" s="38"/>
      <c r="K67" s="115"/>
      <c r="L67" s="233"/>
      <c r="M67" s="38"/>
      <c r="N67" s="2"/>
    </row>
    <row r="68" spans="1:14" s="31" customFormat="1" ht="12.75" x14ac:dyDescent="0.2">
      <c r="A68" s="34"/>
      <c r="B68" s="34"/>
      <c r="C68" s="34"/>
      <c r="D68" s="35"/>
      <c r="E68" s="36"/>
      <c r="F68" s="36"/>
      <c r="G68" s="37"/>
      <c r="H68" s="34"/>
      <c r="I68" s="34"/>
      <c r="J68" s="38"/>
      <c r="K68" s="115"/>
      <c r="L68" s="233"/>
      <c r="M68" s="38"/>
      <c r="N68" s="2"/>
    </row>
    <row r="69" spans="1:14" s="31" customFormat="1" ht="12.75" x14ac:dyDescent="0.2">
      <c r="A69" s="34"/>
      <c r="B69" s="34"/>
      <c r="C69" s="34"/>
      <c r="D69" s="35"/>
      <c r="E69" s="36"/>
      <c r="F69" s="36"/>
      <c r="G69" s="37"/>
      <c r="H69" s="34"/>
      <c r="I69" s="34"/>
      <c r="J69" s="38"/>
      <c r="K69" s="115"/>
      <c r="L69" s="233"/>
      <c r="M69" s="38"/>
      <c r="N69" s="2"/>
    </row>
    <row r="70" spans="1:14" s="15" customFormat="1" ht="12.75" x14ac:dyDescent="0.2">
      <c r="A70" s="58" t="s">
        <v>242</v>
      </c>
      <c r="B70" s="156"/>
      <c r="C70" s="156"/>
      <c r="D70" s="201">
        <f>SUM(D53:D69)</f>
        <v>2.3999999999999997E-2</v>
      </c>
      <c r="E70" s="237">
        <f>SUM(E52:E69)</f>
        <v>672459.2637839996</v>
      </c>
      <c r="F70" s="195"/>
      <c r="G70" s="196"/>
      <c r="H70" s="156"/>
      <c r="I70" s="156"/>
      <c r="J70" s="58"/>
      <c r="K70" s="237">
        <f>SUM(K52:K69)</f>
        <v>877892.03030303039</v>
      </c>
      <c r="L70" s="238">
        <f>Table1389[[#This Row],[Current Value Allocation]]/$K$2</f>
        <v>3.1072739261573796E-2</v>
      </c>
      <c r="M70" s="195"/>
    </row>
    <row r="71" spans="1:14" x14ac:dyDescent="0.25">
      <c r="A71" s="34"/>
      <c r="B71" s="83"/>
      <c r="C71" s="83"/>
      <c r="D71" s="79"/>
      <c r="E71" s="36"/>
      <c r="F71" s="36"/>
      <c r="G71" s="37"/>
      <c r="H71" s="83"/>
      <c r="I71" s="83"/>
      <c r="J71" s="34"/>
      <c r="K71" s="34"/>
      <c r="L71" s="233"/>
      <c r="M71" s="129"/>
    </row>
    <row r="72" spans="1:14" s="31" customFormat="1" ht="12.75" x14ac:dyDescent="0.2">
      <c r="A72" s="34"/>
      <c r="B72" s="34"/>
      <c r="C72" s="34"/>
      <c r="D72" s="35"/>
      <c r="E72" s="38"/>
      <c r="F72" s="36"/>
      <c r="G72" s="116"/>
      <c r="H72" s="34"/>
      <c r="I72" s="34"/>
      <c r="J72" s="38"/>
      <c r="K72" s="38"/>
      <c r="L72" s="233"/>
      <c r="M72" s="38"/>
      <c r="N72" s="2"/>
    </row>
    <row r="73" spans="1:14" x14ac:dyDescent="0.25">
      <c r="A73" s="34"/>
      <c r="B73" s="83"/>
      <c r="C73" s="83"/>
      <c r="D73" s="35"/>
      <c r="E73" s="83"/>
      <c r="F73" s="36"/>
      <c r="G73" s="86"/>
      <c r="H73" s="34"/>
      <c r="I73" s="83"/>
      <c r="J73" s="38"/>
      <c r="K73" s="38"/>
      <c r="L73" s="233"/>
      <c r="M73" s="129"/>
    </row>
    <row r="74" spans="1:14" s="100" customFormat="1" ht="12.75" x14ac:dyDescent="0.2">
      <c r="A74" s="129"/>
      <c r="B74" s="83"/>
      <c r="C74" s="83"/>
      <c r="D74" s="79"/>
      <c r="E74" s="83"/>
      <c r="F74" s="83"/>
      <c r="G74" s="86"/>
      <c r="H74" s="86"/>
      <c r="I74" s="83"/>
      <c r="J74" s="34"/>
      <c r="K74" s="36"/>
      <c r="L74" s="235"/>
      <c r="M74" s="129"/>
    </row>
    <row r="75" spans="1:14" s="15" customFormat="1" ht="12.75" x14ac:dyDescent="0.2">
      <c r="A75" s="58" t="s">
        <v>247</v>
      </c>
      <c r="B75" s="156"/>
      <c r="C75" s="156"/>
      <c r="D75" s="156"/>
      <c r="E75" s="156"/>
      <c r="F75" s="156"/>
      <c r="G75" s="156"/>
      <c r="H75" s="156"/>
      <c r="I75" s="156"/>
      <c r="J75" s="156"/>
      <c r="K75" s="246">
        <f>SUM(K72:K73)</f>
        <v>0</v>
      </c>
      <c r="L75" s="238">
        <f>Table1389[[#This Row],[Current Value Allocation]]/$K$2</f>
        <v>0</v>
      </c>
      <c r="M75" s="156"/>
    </row>
    <row r="76" spans="1:14" s="100" customFormat="1" ht="12.75" x14ac:dyDescent="0.2">
      <c r="A76" s="34"/>
      <c r="B76" s="83"/>
      <c r="C76" s="83"/>
      <c r="D76" s="247"/>
      <c r="E76" s="85"/>
      <c r="F76" s="85"/>
      <c r="G76" s="86"/>
      <c r="H76" s="83"/>
      <c r="I76" s="83"/>
      <c r="J76" s="34"/>
      <c r="K76" s="34"/>
      <c r="L76" s="233"/>
      <c r="M76" s="129"/>
    </row>
    <row r="77" spans="1:14" x14ac:dyDescent="0.25">
      <c r="A77" s="34"/>
      <c r="B77" s="83"/>
      <c r="C77" s="83"/>
      <c r="D77" s="247"/>
      <c r="E77" s="85"/>
      <c r="F77" s="85"/>
      <c r="G77" s="86"/>
      <c r="H77" s="83"/>
      <c r="I77" s="83"/>
      <c r="J77" s="34"/>
      <c r="K77" s="34"/>
      <c r="L77" s="233"/>
      <c r="M77" s="129"/>
    </row>
    <row r="78" spans="1:14" s="15" customFormat="1" ht="12.75" x14ac:dyDescent="0.2">
      <c r="A78" s="58" t="s">
        <v>11</v>
      </c>
      <c r="B78" s="156"/>
      <c r="C78" s="156"/>
      <c r="D78" s="156"/>
      <c r="E78" s="156"/>
      <c r="F78" s="156"/>
      <c r="G78" s="156"/>
      <c r="H78" s="156"/>
      <c r="I78" s="156"/>
      <c r="J78" s="156"/>
      <c r="K78" s="246">
        <f>SUM(K23,K25,K35,K50,K70,K75)</f>
        <v>28252804.585808709</v>
      </c>
      <c r="L78" s="238">
        <f>Table1389[[#This Row],[Current Value Allocation]]/$K$2</f>
        <v>1.0000000000000002</v>
      </c>
      <c r="M78" s="156"/>
    </row>
    <row r="79" spans="1:14" x14ac:dyDescent="0.25">
      <c r="A79" s="129"/>
      <c r="B79" s="129"/>
      <c r="C79" s="129"/>
      <c r="D79" s="130"/>
      <c r="E79" s="129"/>
      <c r="F79" s="129"/>
      <c r="G79" s="131"/>
      <c r="H79" s="129"/>
      <c r="I79" s="129"/>
      <c r="J79" s="129"/>
      <c r="K79" s="129"/>
      <c r="L79" s="233"/>
      <c r="M79" s="129"/>
    </row>
    <row r="80" spans="1:14" x14ac:dyDescent="0.25">
      <c r="A80" s="129"/>
      <c r="B80" s="129"/>
      <c r="C80" s="129"/>
      <c r="D80" s="130"/>
      <c r="E80" s="129"/>
      <c r="F80" s="129"/>
      <c r="G80" s="131"/>
      <c r="H80" s="129"/>
      <c r="I80" s="129"/>
      <c r="J80" s="129"/>
      <c r="K80" s="129"/>
      <c r="L80" s="233"/>
      <c r="M80" s="129"/>
    </row>
    <row r="81" spans="1:13" x14ac:dyDescent="0.25">
      <c r="A81" s="129"/>
      <c r="B81" s="129"/>
      <c r="C81" s="129"/>
      <c r="D81" s="130"/>
      <c r="E81" s="129"/>
      <c r="F81" s="129"/>
      <c r="G81" s="131"/>
      <c r="H81" s="129"/>
      <c r="I81" s="129"/>
      <c r="J81" s="129"/>
      <c r="K81" s="129"/>
      <c r="L81" s="233"/>
      <c r="M81" s="129"/>
    </row>
    <row r="82" spans="1:13" x14ac:dyDescent="0.25">
      <c r="A82" s="129"/>
      <c r="B82" s="129"/>
      <c r="C82" s="129"/>
      <c r="D82" s="130"/>
      <c r="E82" s="129"/>
      <c r="F82" s="129"/>
      <c r="G82" s="131"/>
      <c r="H82" s="129"/>
      <c r="I82" s="129"/>
      <c r="J82" s="129"/>
      <c r="K82" s="129"/>
      <c r="L82" s="233"/>
      <c r="M82" s="129"/>
    </row>
    <row r="83" spans="1:13" x14ac:dyDescent="0.25">
      <c r="A83" s="129"/>
      <c r="B83" s="129"/>
      <c r="C83" s="129"/>
      <c r="D83" s="130"/>
      <c r="E83" s="129"/>
      <c r="F83" s="129"/>
      <c r="G83" s="131"/>
      <c r="H83" s="129"/>
      <c r="I83" s="129"/>
      <c r="J83" s="129"/>
      <c r="K83" s="129"/>
      <c r="L83" s="233"/>
      <c r="M83" s="129"/>
    </row>
    <row r="84" spans="1:13" x14ac:dyDescent="0.25">
      <c r="A84" s="129"/>
      <c r="B84" s="129"/>
      <c r="C84" s="129"/>
      <c r="D84" s="130"/>
      <c r="E84" s="129"/>
      <c r="F84" s="129"/>
      <c r="G84" s="131"/>
      <c r="H84" s="129"/>
      <c r="I84" s="129"/>
      <c r="J84" s="129"/>
      <c r="K84" s="129"/>
      <c r="L84" s="233"/>
      <c r="M84" s="129"/>
    </row>
    <row r="85" spans="1:13" x14ac:dyDescent="0.25">
      <c r="A85" s="129"/>
      <c r="B85" s="129"/>
      <c r="C85" s="129"/>
      <c r="D85" s="130"/>
      <c r="E85" s="129"/>
      <c r="F85" s="129"/>
      <c r="G85" s="131"/>
      <c r="H85" s="129"/>
      <c r="I85" s="129"/>
      <c r="J85" s="129"/>
      <c r="K85" s="129"/>
      <c r="L85" s="233"/>
      <c r="M85" s="129"/>
    </row>
    <row r="86" spans="1:13" x14ac:dyDescent="0.25">
      <c r="A86" s="129"/>
      <c r="B86" s="129"/>
      <c r="C86" s="129"/>
      <c r="D86" s="130"/>
      <c r="E86" s="129"/>
      <c r="F86" s="129"/>
      <c r="G86" s="131"/>
      <c r="H86" s="129"/>
      <c r="I86" s="129"/>
      <c r="J86" s="129"/>
      <c r="K86" s="129"/>
      <c r="L86" s="233"/>
      <c r="M86" s="129"/>
    </row>
    <row r="87" spans="1:13" x14ac:dyDescent="0.25">
      <c r="A87" s="129"/>
      <c r="B87" s="129"/>
      <c r="C87" s="129"/>
      <c r="D87" s="130"/>
      <c r="E87" s="129"/>
      <c r="F87" s="129"/>
      <c r="G87" s="131"/>
      <c r="H87" s="129"/>
      <c r="I87" s="129"/>
      <c r="J87" s="129"/>
      <c r="K87" s="129"/>
      <c r="L87" s="233"/>
      <c r="M87" s="129"/>
    </row>
    <row r="88" spans="1:13" s="2" customFormat="1" ht="12.75" x14ac:dyDescent="0.2"/>
    <row r="89" spans="1:13" s="2" customFormat="1" ht="12.75" x14ac:dyDescent="0.2"/>
    <row r="91" spans="1:13" s="2" customFormat="1" ht="12.75" x14ac:dyDescent="0.2">
      <c r="A91" s="136"/>
      <c r="B91" s="136"/>
      <c r="E91" s="136"/>
      <c r="F91" s="136"/>
      <c r="G91" s="136"/>
      <c r="H91" s="137"/>
      <c r="M91" s="136"/>
    </row>
    <row r="92" spans="1:13" s="2" customFormat="1" ht="12.75" x14ac:dyDescent="0.2">
      <c r="A92" s="136"/>
      <c r="B92" s="136"/>
      <c r="E92" s="136"/>
      <c r="F92" s="136"/>
      <c r="G92" s="136"/>
      <c r="H92" s="137"/>
      <c r="M92" s="136"/>
    </row>
    <row r="93" spans="1:13" s="2" customFormat="1" ht="12.75" x14ac:dyDescent="0.2">
      <c r="A93" s="138"/>
      <c r="B93" s="138"/>
    </row>
    <row r="94" spans="1:13" s="2" customFormat="1" ht="12.75" x14ac:dyDescent="0.2">
      <c r="A94" s="139"/>
      <c r="B94" s="139"/>
      <c r="E94" s="139"/>
      <c r="F94" s="138"/>
      <c r="G94" s="138"/>
      <c r="M94" s="140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7"/>
  <sheetViews>
    <sheetView zoomScaleNormal="100" workbookViewId="0">
      <selection activeCell="E3" sqref="E3:M4"/>
    </sheetView>
  </sheetViews>
  <sheetFormatPr defaultColWidth="9.140625" defaultRowHeight="15" x14ac:dyDescent="0.25"/>
  <cols>
    <col min="1" max="2" width="15.140625" style="2" customWidth="1"/>
    <col min="3" max="3" width="27.140625" style="2" customWidth="1"/>
    <col min="4" max="4" width="14.85546875" style="2" customWidth="1"/>
    <col min="5" max="5" width="19.710937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16.42578125" customWidth="1"/>
    <col min="12" max="12" width="13.42578125" customWidth="1"/>
    <col min="13" max="13" width="16.42578125" style="2" customWidth="1"/>
    <col min="14" max="14" width="10.5703125" style="2" customWidth="1"/>
    <col min="15" max="15" width="13" style="2" customWidth="1"/>
    <col min="16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119</v>
      </c>
      <c r="C1" s="4">
        <v>44032</v>
      </c>
      <c r="D1" s="5"/>
      <c r="E1" s="6" t="s">
        <v>121</v>
      </c>
      <c r="F1" s="7"/>
      <c r="G1" s="8"/>
      <c r="K1" s="9" t="s">
        <v>122</v>
      </c>
      <c r="L1" s="9" t="s">
        <v>248</v>
      </c>
      <c r="M1" s="10" t="s">
        <v>123</v>
      </c>
    </row>
    <row r="2" spans="1:19" x14ac:dyDescent="0.25">
      <c r="A2" s="3"/>
      <c r="B2" s="3" t="s">
        <v>126</v>
      </c>
      <c r="C2" s="153">
        <v>3.2</v>
      </c>
      <c r="D2" s="12"/>
      <c r="E2" s="13">
        <f>SUM(E24,E36,E50,E70,E26)</f>
        <v>24581249.909401864</v>
      </c>
      <c r="F2" s="14"/>
      <c r="G2" s="15"/>
      <c r="H2" s="12"/>
      <c r="I2" s="12"/>
      <c r="J2" s="12"/>
      <c r="K2" s="13">
        <f>SUM(K24,K36,K50,K70,K26)</f>
        <v>24609463.217934251</v>
      </c>
      <c r="L2" s="141">
        <f>SUM(L78,L50,L70,L36,L24,L26)</f>
        <v>1</v>
      </c>
      <c r="M2" s="16">
        <f>K2/C6</f>
        <v>3.2036664159500119</v>
      </c>
      <c r="P2" s="17"/>
    </row>
    <row r="3" spans="1:19" ht="39" x14ac:dyDescent="0.25">
      <c r="A3" s="3"/>
      <c r="B3" s="3" t="s">
        <v>264</v>
      </c>
      <c r="C3" s="18">
        <v>8481655.9600000009</v>
      </c>
      <c r="D3" s="19"/>
      <c r="E3" s="6" t="s">
        <v>281</v>
      </c>
      <c r="F3" s="14"/>
      <c r="G3" s="15"/>
      <c r="H3" s="12"/>
      <c r="I3" s="12"/>
      <c r="J3" s="12"/>
      <c r="K3" s="9" t="s">
        <v>122</v>
      </c>
      <c r="L3" s="12"/>
      <c r="M3" s="10" t="s">
        <v>282</v>
      </c>
      <c r="P3" s="20"/>
    </row>
    <row r="4" spans="1:19" x14ac:dyDescent="0.25">
      <c r="A4" s="3"/>
      <c r="B4" s="3" t="s">
        <v>265</v>
      </c>
      <c r="C4" s="18">
        <v>0</v>
      </c>
      <c r="D4" s="19"/>
      <c r="E4" s="13">
        <f>SUM(E24,E70,E26)</f>
        <v>5899511.7772800019</v>
      </c>
      <c r="F4" s="14"/>
      <c r="G4" s="15"/>
      <c r="H4" s="12"/>
      <c r="I4" s="12"/>
      <c r="J4" s="12"/>
      <c r="K4" s="13">
        <f>SUM(K24,K70,K26)</f>
        <v>6041561.6071838932</v>
      </c>
      <c r="L4" s="12"/>
      <c r="M4" s="16">
        <f>K4/$C$6</f>
        <v>0.78649208434269591</v>
      </c>
      <c r="P4" s="20"/>
    </row>
    <row r="5" spans="1:19" x14ac:dyDescent="0.25">
      <c r="A5" s="3"/>
      <c r="B5" s="3" t="s">
        <v>266</v>
      </c>
      <c r="C5" s="18">
        <v>800000</v>
      </c>
      <c r="D5" s="19"/>
      <c r="E5" s="14"/>
      <c r="F5" s="14"/>
      <c r="G5" s="15"/>
      <c r="H5" s="12"/>
      <c r="I5" s="12"/>
      <c r="J5" s="12"/>
      <c r="K5" s="12"/>
      <c r="L5" s="12"/>
      <c r="M5" s="12"/>
      <c r="P5" s="20"/>
    </row>
    <row r="6" spans="1:19" x14ac:dyDescent="0.25">
      <c r="A6" s="3"/>
      <c r="B6" s="3" t="s">
        <v>267</v>
      </c>
      <c r="C6" s="18">
        <f>C3+C4-C5</f>
        <v>7681655.9600000009</v>
      </c>
      <c r="D6" s="19"/>
      <c r="E6" s="14"/>
      <c r="F6" s="14"/>
      <c r="G6" s="15"/>
      <c r="H6" s="12"/>
      <c r="I6" s="12"/>
      <c r="J6" s="12"/>
      <c r="K6" s="12"/>
      <c r="L6" s="12"/>
      <c r="M6" s="12"/>
      <c r="P6" s="20"/>
    </row>
    <row r="7" spans="1:19" x14ac:dyDescent="0.25">
      <c r="A7" s="21"/>
      <c r="B7" s="22"/>
      <c r="C7" s="22"/>
      <c r="D7" s="23"/>
      <c r="E7" s="24"/>
      <c r="F7" s="24"/>
      <c r="G7" s="24"/>
      <c r="H7" s="25"/>
      <c r="I7" s="25"/>
      <c r="J7" s="25"/>
      <c r="K7" s="12"/>
      <c r="L7" s="12"/>
      <c r="M7" s="12"/>
      <c r="P7" s="20"/>
    </row>
    <row r="8" spans="1:19" s="31" customFormat="1" ht="38.25" x14ac:dyDescent="0.2">
      <c r="A8" s="26" t="s">
        <v>132</v>
      </c>
      <c r="B8" s="27" t="s">
        <v>133</v>
      </c>
      <c r="C8" s="28" t="s">
        <v>13</v>
      </c>
      <c r="D8" s="28" t="s">
        <v>134</v>
      </c>
      <c r="E8" s="28" t="s">
        <v>135</v>
      </c>
      <c r="F8" s="28" t="s">
        <v>136</v>
      </c>
      <c r="G8" s="28" t="s">
        <v>137</v>
      </c>
      <c r="H8" s="29" t="s">
        <v>138</v>
      </c>
      <c r="I8" s="29" t="s">
        <v>139</v>
      </c>
      <c r="J8" s="29" t="s">
        <v>140</v>
      </c>
      <c r="K8" s="30" t="s">
        <v>142</v>
      </c>
      <c r="L8" s="30" t="s">
        <v>143</v>
      </c>
      <c r="M8" s="30" t="s">
        <v>144</v>
      </c>
      <c r="P8" s="32"/>
      <c r="S8" s="2"/>
    </row>
    <row r="9" spans="1:19" s="31" customFormat="1" ht="12.75" x14ac:dyDescent="0.2">
      <c r="A9" s="34" t="s">
        <v>127</v>
      </c>
      <c r="B9" s="34" t="s">
        <v>7</v>
      </c>
      <c r="C9" s="34" t="s">
        <v>31</v>
      </c>
      <c r="D9" s="35">
        <v>1.6E-2</v>
      </c>
      <c r="E9" s="36">
        <f>Table13895[[#This Row],[Target Allocation (%)]]*$C$6*$C$2</f>
        <v>393300.78515200008</v>
      </c>
      <c r="F9" s="36">
        <v>408.09977064220197</v>
      </c>
      <c r="G9" s="37">
        <f>Table13895[[#This Row],[Target Value Allocation (USD)]]/Table13895[[#This Row],[Last price]]</f>
        <v>963.73684438265275</v>
      </c>
      <c r="H9" s="34">
        <v>872</v>
      </c>
      <c r="I9" s="34">
        <v>964</v>
      </c>
      <c r="J9" s="162">
        <f t="shared" ref="J9:J16" si="0">I9-H9</f>
        <v>92</v>
      </c>
      <c r="K9" s="115">
        <f>Table13895[[#This Row],[Last price]]*Table13895[[#This Row],[Current Quantity]]</f>
        <v>393408.1788990827</v>
      </c>
      <c r="L9" s="233">
        <f>Table13895[[#This Row],[Current Value Allocation]]/$K$2</f>
        <v>1.5986052821029627E-2</v>
      </c>
      <c r="M9" s="38"/>
      <c r="O9" s="2"/>
      <c r="P9" s="42"/>
    </row>
    <row r="10" spans="1:19" s="31" customFormat="1" ht="25.5" customHeight="1" x14ac:dyDescent="0.25">
      <c r="A10" s="34" t="s">
        <v>127</v>
      </c>
      <c r="B10" s="34" t="s">
        <v>8</v>
      </c>
      <c r="C10" s="34" t="s">
        <v>34</v>
      </c>
      <c r="D10" s="35">
        <v>1.6E-2</v>
      </c>
      <c r="E10" s="36">
        <f>Table13895[[#This Row],[Target Allocation (%)]]*$C$6*$C$2</f>
        <v>393300.78515200008</v>
      </c>
      <c r="F10" s="36">
        <v>644.06007067137796</v>
      </c>
      <c r="G10" s="37">
        <f>Table13895[[#This Row],[Target Value Allocation (USD)]]/Table13895[[#This Row],[Last price]]</f>
        <v>610.65854422867324</v>
      </c>
      <c r="H10" s="34">
        <v>566</v>
      </c>
      <c r="I10" s="34">
        <v>611</v>
      </c>
      <c r="J10" s="162">
        <f t="shared" si="0"/>
        <v>45</v>
      </c>
      <c r="K10" s="115">
        <f>Table13895[[#This Row],[Last price]]*Table13895[[#This Row],[Current Quantity]]</f>
        <v>393520.70318021195</v>
      </c>
      <c r="L10" s="233">
        <f>Table13895[[#This Row],[Current Value Allocation]]/$K$2</f>
        <v>1.5990625219872007E-2</v>
      </c>
      <c r="M10" s="38"/>
      <c r="P10" s="42"/>
    </row>
    <row r="11" spans="1:19" s="31" customFormat="1" ht="12.75" customHeight="1" x14ac:dyDescent="0.25">
      <c r="A11" s="34" t="s">
        <v>127</v>
      </c>
      <c r="B11" s="34" t="s">
        <v>9</v>
      </c>
      <c r="C11" s="34" t="s">
        <v>35</v>
      </c>
      <c r="D11" s="35">
        <v>1.6E-2</v>
      </c>
      <c r="E11" s="36">
        <f>Table13895[[#This Row],[Target Allocation (%)]]*$C$6*$C$2</f>
        <v>393300.78515200008</v>
      </c>
      <c r="F11" s="36">
        <v>182</v>
      </c>
      <c r="G11" s="37">
        <f>Table13895[[#This Row],[Target Value Allocation (USD)]]/Table13895[[#This Row],[Last price]]</f>
        <v>2160.9933250109893</v>
      </c>
      <c r="H11" s="34">
        <v>2093</v>
      </c>
      <c r="I11" s="34">
        <v>2161</v>
      </c>
      <c r="J11" s="162">
        <f t="shared" si="0"/>
        <v>68</v>
      </c>
      <c r="K11" s="115">
        <f>Table13895[[#This Row],[Last price]]*Table13895[[#This Row],[Current Quantity]]</f>
        <v>393302</v>
      </c>
      <c r="L11" s="233">
        <f>Table13895[[#This Row],[Current Value Allocation]]/$K$2</f>
        <v>1.598173826535881E-2</v>
      </c>
      <c r="M11" s="38"/>
      <c r="P11" s="42"/>
    </row>
    <row r="12" spans="1:19" s="31" customFormat="1" ht="12.75" customHeight="1" x14ac:dyDescent="0.25">
      <c r="A12" s="34" t="s">
        <v>127</v>
      </c>
      <c r="B12" s="34" t="s">
        <v>10</v>
      </c>
      <c r="C12" s="34" t="s">
        <v>36</v>
      </c>
      <c r="D12" s="35">
        <v>1.6E-2</v>
      </c>
      <c r="E12" s="36">
        <f>Table13895[[#This Row],[Target Allocation (%)]]*$C$6*$C$2</f>
        <v>393300.78515200008</v>
      </c>
      <c r="F12" s="36">
        <v>1506.90128755365</v>
      </c>
      <c r="G12" s="37">
        <f>Table13895[[#This Row],[Target Value Allocation (USD)]]/Table13895[[#This Row],[Last price]]</f>
        <v>260.9997007770142</v>
      </c>
      <c r="H12" s="34">
        <v>233</v>
      </c>
      <c r="I12" s="34">
        <v>261</v>
      </c>
      <c r="J12" s="162">
        <f t="shared" si="0"/>
        <v>28</v>
      </c>
      <c r="K12" s="115">
        <f>Table13895[[#This Row],[Last price]]*Table13895[[#This Row],[Current Quantity]]</f>
        <v>393301.23605150264</v>
      </c>
      <c r="L12" s="233">
        <f>Table13895[[#This Row],[Current Value Allocation]]/$K$2</f>
        <v>1.5981707222483533E-2</v>
      </c>
      <c r="M12" s="38"/>
    </row>
    <row r="13" spans="1:19" s="31" customFormat="1" ht="12.75" customHeight="1" x14ac:dyDescent="0.25">
      <c r="A13" s="34" t="s">
        <v>127</v>
      </c>
      <c r="B13" s="34" t="s">
        <v>0</v>
      </c>
      <c r="C13" s="34" t="s">
        <v>23</v>
      </c>
      <c r="D13" s="35">
        <v>1.6E-2</v>
      </c>
      <c r="E13" s="36">
        <f>Table13895[[#This Row],[Target Allocation (%)]]*$C$6*$C$2</f>
        <v>393300.78515200008</v>
      </c>
      <c r="F13" s="36">
        <v>385.310418904404</v>
      </c>
      <c r="G13" s="37">
        <f>Table13895[[#This Row],[Target Value Allocation (USD)]]/Table13895[[#This Row],[Last price]]</f>
        <v>1020.7374777726384</v>
      </c>
      <c r="H13" s="34">
        <v>931</v>
      </c>
      <c r="I13" s="34">
        <v>1021</v>
      </c>
      <c r="J13" s="162">
        <f t="shared" si="0"/>
        <v>90</v>
      </c>
      <c r="K13" s="115">
        <f>Table13895[[#This Row],[Last price]]*Table13895[[#This Row],[Current Quantity]]</f>
        <v>393401.93770139647</v>
      </c>
      <c r="L13" s="233">
        <f>Table13895[[#This Row],[Current Value Allocation]]/$K$2</f>
        <v>1.5985799211366104E-2</v>
      </c>
      <c r="M13" s="38"/>
    </row>
    <row r="14" spans="1:19" s="31" customFormat="1" ht="12.75" customHeight="1" x14ac:dyDescent="0.25">
      <c r="A14" s="34" t="s">
        <v>127</v>
      </c>
      <c r="B14" s="34" t="s">
        <v>3</v>
      </c>
      <c r="C14" s="34" t="s">
        <v>26</v>
      </c>
      <c r="D14" s="35">
        <v>1.6E-2</v>
      </c>
      <c r="E14" s="36">
        <f>Table13895[[#This Row],[Target Allocation (%)]]*$C$6*$C$2</f>
        <v>393300.78515200008</v>
      </c>
      <c r="F14" s="36">
        <v>425.70945945945903</v>
      </c>
      <c r="G14" s="37">
        <f>Table13895[[#This Row],[Target Value Allocation (USD)]]/Table13895[[#This Row],[Last price]]</f>
        <v>923.8713785016439</v>
      </c>
      <c r="H14" s="34">
        <v>888</v>
      </c>
      <c r="I14" s="34">
        <v>924</v>
      </c>
      <c r="J14" s="162">
        <f t="shared" si="0"/>
        <v>36</v>
      </c>
      <c r="K14" s="115">
        <f>Table13895[[#This Row],[Last price]]*Table13895[[#This Row],[Current Quantity]]</f>
        <v>393355.54054054013</v>
      </c>
      <c r="L14" s="233">
        <f>Table13895[[#This Row],[Current Value Allocation]]/$K$2</f>
        <v>1.5983913873175448E-2</v>
      </c>
      <c r="M14" s="38"/>
    </row>
    <row r="15" spans="1:19" s="31" customFormat="1" ht="12.75" customHeight="1" x14ac:dyDescent="0.25">
      <c r="A15" s="34" t="s">
        <v>127</v>
      </c>
      <c r="B15" s="34" t="s">
        <v>37</v>
      </c>
      <c r="C15" s="34" t="s">
        <v>38</v>
      </c>
      <c r="D15" s="35">
        <v>1.6E-2</v>
      </c>
      <c r="E15" s="36">
        <f>Table13895[[#This Row],[Target Allocation (%)]]*$C$6*$C$2</f>
        <v>393300.78515200008</v>
      </c>
      <c r="F15" s="36">
        <v>246.94</v>
      </c>
      <c r="G15" s="37">
        <f>Table13895[[#This Row],[Target Value Allocation (USD)]]/Table13895[[#This Row],[Last price]]</f>
        <v>1592.6977612051514</v>
      </c>
      <c r="H15" s="34">
        <v>0</v>
      </c>
      <c r="I15" s="34">
        <v>1593</v>
      </c>
      <c r="J15" s="162">
        <f t="shared" si="0"/>
        <v>1593</v>
      </c>
      <c r="K15" s="115">
        <f>Table13895[[#This Row],[Last price]]*Table13895[[#This Row],[Current Quantity]]</f>
        <v>393375.42</v>
      </c>
      <c r="L15" s="233">
        <f>Table13895[[#This Row],[Current Value Allocation]]/$K$2</f>
        <v>1.598472167053713E-2</v>
      </c>
      <c r="M15" s="38"/>
    </row>
    <row r="16" spans="1:19" s="31" customFormat="1" ht="12.75" customHeight="1" x14ac:dyDescent="0.25">
      <c r="A16" s="34" t="s">
        <v>127</v>
      </c>
      <c r="B16" s="34" t="s">
        <v>6</v>
      </c>
      <c r="C16" s="34" t="s">
        <v>28</v>
      </c>
      <c r="D16" s="35">
        <v>1.6E-2</v>
      </c>
      <c r="E16" s="36">
        <f>Table13895[[#This Row],[Target Allocation (%)]]*$C$6*$C$2</f>
        <v>393300.78515200008</v>
      </c>
      <c r="F16" s="36">
        <v>62.130135808836201</v>
      </c>
      <c r="G16" s="37">
        <f>Table13895[[#This Row],[Target Value Allocation (USD)]]/Table13895[[#This Row],[Last price]]</f>
        <v>6330.2740293715005</v>
      </c>
      <c r="H16" s="34">
        <v>5817</v>
      </c>
      <c r="I16" s="34">
        <v>6330</v>
      </c>
      <c r="J16" s="162">
        <f t="shared" si="0"/>
        <v>513</v>
      </c>
      <c r="K16" s="115">
        <f>Table13895[[#This Row],[Last price]]*Table13895[[#This Row],[Current Quantity]]</f>
        <v>393283.75966993318</v>
      </c>
      <c r="L16" s="233">
        <f>Table13895[[#This Row],[Current Value Allocation]]/$K$2</f>
        <v>1.5980997073651162E-2</v>
      </c>
      <c r="M16" s="38"/>
    </row>
    <row r="17" spans="1:17" s="31" customFormat="1" ht="12.75" customHeight="1" x14ac:dyDescent="0.25">
      <c r="A17" s="34"/>
      <c r="B17" s="34"/>
      <c r="C17" s="34"/>
      <c r="D17" s="35"/>
      <c r="E17" s="36"/>
      <c r="F17" s="36"/>
      <c r="G17" s="37"/>
      <c r="H17" s="34"/>
      <c r="I17" s="34"/>
      <c r="J17" s="162"/>
      <c r="K17" s="115"/>
      <c r="L17" s="233"/>
      <c r="M17" s="38"/>
    </row>
    <row r="18" spans="1:17" s="31" customFormat="1" ht="12.75" customHeight="1" x14ac:dyDescent="0.25">
      <c r="A18" s="34" t="s">
        <v>127</v>
      </c>
      <c r="B18" s="34" t="s">
        <v>29</v>
      </c>
      <c r="C18" s="34" t="s">
        <v>30</v>
      </c>
      <c r="D18" s="35">
        <v>1.6E-2</v>
      </c>
      <c r="E18" s="36">
        <f>Table13895[[#This Row],[Target Allocation (%)]]*$C$6*$C$2</f>
        <v>393300.78515200008</v>
      </c>
      <c r="F18" s="36">
        <v>457.27058823529399</v>
      </c>
      <c r="G18" s="37">
        <f>Table13895[[#This Row],[Target Value Allocation (USD)]]/Table13895[[#This Row],[Last price]]</f>
        <v>860.10514402387616</v>
      </c>
      <c r="H18" s="34">
        <v>765</v>
      </c>
      <c r="I18" s="34">
        <v>860</v>
      </c>
      <c r="J18" s="162">
        <f>I18-H18</f>
        <v>95</v>
      </c>
      <c r="K18" s="115">
        <f>Table13895[[#This Row],[Last price]]*Table13895[[#This Row],[Current Quantity]]</f>
        <v>393252.70588235284</v>
      </c>
      <c r="L18" s="233">
        <f>Table13895[[#This Row],[Current Value Allocation]]/$K$2</f>
        <v>1.5979735209980861E-2</v>
      </c>
      <c r="M18" s="34"/>
    </row>
    <row r="19" spans="1:17" s="31" customFormat="1" ht="12.75" customHeight="1" x14ac:dyDescent="0.25">
      <c r="A19" s="34" t="s">
        <v>127</v>
      </c>
      <c r="B19" s="34" t="s">
        <v>254</v>
      </c>
      <c r="C19" s="34" t="s">
        <v>255</v>
      </c>
      <c r="D19" s="35">
        <v>0</v>
      </c>
      <c r="E19" s="36">
        <f>Table13895[[#This Row],[Target Allocation (%)]]*$C$6*$C$2</f>
        <v>0</v>
      </c>
      <c r="F19" s="36">
        <v>294.52983870967699</v>
      </c>
      <c r="G19" s="37">
        <f>Table13895[[#This Row],[Target Value Allocation (USD)]]/Table13895[[#This Row],[Last price]]</f>
        <v>0</v>
      </c>
      <c r="H19" s="34">
        <v>1240</v>
      </c>
      <c r="I19" s="34">
        <v>0</v>
      </c>
      <c r="J19" s="162">
        <f>I19-H19</f>
        <v>-1240</v>
      </c>
      <c r="K19" s="115">
        <f>Table13895[[#This Row],[Last price]]*Table13895[[#This Row],[Current Quantity]]</f>
        <v>0</v>
      </c>
      <c r="L19" s="233">
        <f>Table13895[[#This Row],[Current Value Allocation]]/$K$2</f>
        <v>0</v>
      </c>
      <c r="M19" s="34"/>
    </row>
    <row r="20" spans="1:17" s="31" customFormat="1" ht="12.75" customHeight="1" x14ac:dyDescent="0.25">
      <c r="A20" s="34" t="s">
        <v>127</v>
      </c>
      <c r="B20" s="234" t="s">
        <v>32</v>
      </c>
      <c r="C20" s="34" t="s">
        <v>33</v>
      </c>
      <c r="D20" s="35">
        <v>1.6E-2</v>
      </c>
      <c r="E20" s="36">
        <f>Table13895[[#This Row],[Target Allocation (%)]]*$C$6*$C$2</f>
        <v>393300.78515200008</v>
      </c>
      <c r="F20" s="36">
        <v>186.43</v>
      </c>
      <c r="G20" s="37">
        <f>Table13895[[#This Row],[Target Value Allocation (USD)]]/Table13895[[#This Row],[Last price]]</f>
        <v>2109.6432181086739</v>
      </c>
      <c r="H20" s="34">
        <v>0</v>
      </c>
      <c r="I20" s="34">
        <v>2110</v>
      </c>
      <c r="J20" s="162">
        <f>I20-H20</f>
        <v>2110</v>
      </c>
      <c r="K20" s="115">
        <f>Table13895[[#This Row],[Last price]]*Table13895[[#This Row],[Current Quantity]]</f>
        <v>393367.3</v>
      </c>
      <c r="L20" s="233">
        <f>Table13895[[#This Row],[Current Value Allocation]]/$K$2</f>
        <v>1.5984391716164368E-2</v>
      </c>
      <c r="M20" s="34"/>
    </row>
    <row r="21" spans="1:17" s="31" customFormat="1" ht="12.75" customHeight="1" x14ac:dyDescent="0.25">
      <c r="A21" s="34"/>
      <c r="B21" s="234"/>
      <c r="C21" s="34"/>
      <c r="D21" s="35"/>
      <c r="E21" s="36"/>
      <c r="F21" s="36"/>
      <c r="G21" s="37"/>
      <c r="H21" s="34"/>
      <c r="I21" s="34"/>
      <c r="J21" s="162"/>
      <c r="K21" s="115"/>
      <c r="L21" s="233"/>
      <c r="M21" s="34"/>
    </row>
    <row r="22" spans="1:17" s="57" customFormat="1" ht="12.75" customHeight="1" x14ac:dyDescent="0.25">
      <c r="A22" s="34"/>
      <c r="B22" s="234"/>
      <c r="C22" s="34"/>
      <c r="D22" s="35"/>
      <c r="E22" s="36"/>
      <c r="F22" s="36"/>
      <c r="G22" s="37"/>
      <c r="H22" s="34"/>
      <c r="I22" s="34"/>
      <c r="J22" s="162"/>
      <c r="K22" s="115"/>
      <c r="L22" s="233"/>
      <c r="M22" s="34"/>
    </row>
    <row r="23" spans="1:17" s="57" customFormat="1" ht="12.75" customHeight="1" x14ac:dyDescent="0.25">
      <c r="A23" s="34"/>
      <c r="B23" s="34"/>
      <c r="C23" s="34"/>
      <c r="D23" s="35"/>
      <c r="E23" s="36"/>
      <c r="F23" s="36"/>
      <c r="G23" s="37"/>
      <c r="H23" s="34"/>
      <c r="I23" s="34"/>
      <c r="J23" s="214"/>
      <c r="K23" s="36"/>
      <c r="L23" s="235"/>
      <c r="M23" s="34"/>
    </row>
    <row r="24" spans="1:17" s="68" customFormat="1" ht="12.75" customHeight="1" x14ac:dyDescent="0.25">
      <c r="A24" s="58" t="s">
        <v>158</v>
      </c>
      <c r="B24" s="58"/>
      <c r="C24" s="58"/>
      <c r="D24" s="236">
        <f>SUBTOTAL(9,D9:D23)</f>
        <v>0.16000000000000003</v>
      </c>
      <c r="E24" s="237">
        <f>Table13895[[#This Row],[Target Allocation (%)]]*$C$6*$C$2</f>
        <v>3933007.8515200014</v>
      </c>
      <c r="F24" s="58"/>
      <c r="G24" s="205"/>
      <c r="H24" s="58"/>
      <c r="I24" s="58"/>
      <c r="J24" s="207"/>
      <c r="K24" s="237">
        <f>SUM(K9:K22)</f>
        <v>3933568.7819250193</v>
      </c>
      <c r="L24" s="238">
        <f>Table13895[[#This Row],[Current Value Allocation]]/$K$2</f>
        <v>0.15983968228361903</v>
      </c>
      <c r="M24" s="58"/>
    </row>
    <row r="25" spans="1:17" s="57" customFormat="1" ht="12.75" customHeight="1" x14ac:dyDescent="0.25">
      <c r="A25" s="34"/>
      <c r="B25" s="34"/>
      <c r="C25" s="34"/>
      <c r="D25" s="35"/>
      <c r="E25" s="36"/>
      <c r="F25" s="36"/>
      <c r="G25" s="37"/>
      <c r="H25" s="34"/>
      <c r="I25" s="34"/>
      <c r="J25" s="214"/>
      <c r="K25" s="36"/>
      <c r="L25" s="233"/>
      <c r="M25" s="34"/>
    </row>
    <row r="26" spans="1:17" s="31" customFormat="1" ht="12.75" customHeight="1" x14ac:dyDescent="0.25">
      <c r="A26" s="239"/>
      <c r="B26" s="58" t="s">
        <v>5</v>
      </c>
      <c r="C26" s="239" t="s">
        <v>27</v>
      </c>
      <c r="D26" s="240">
        <v>0.05</v>
      </c>
      <c r="E26" s="241">
        <f>Table13895[[#This Row],[Target Allocation (%)]]*$C$6*$C$2</f>
        <v>1229064.9536000004</v>
      </c>
      <c r="F26" s="241">
        <v>17.290002465483202</v>
      </c>
      <c r="G26" s="242">
        <f>Table13895[[#This Row],[Target Value Allocation (USD)]]/Table13895[[#This Row],[Last price]]</f>
        <v>71085.296607310331</v>
      </c>
      <c r="H26" s="239">
        <v>81120</v>
      </c>
      <c r="I26" s="239">
        <v>71085</v>
      </c>
      <c r="J26" s="197">
        <f>I26-H26</f>
        <v>-10035</v>
      </c>
      <c r="K26" s="195">
        <f>Table13895[[#This Row],[Last price]]*Table13895[[#This Row],[Current Quantity]]</f>
        <v>1229059.8252588734</v>
      </c>
      <c r="L26" s="238">
        <f>Table13895[[#This Row],[Current Value Allocation]]/$K$2</f>
        <v>4.9942569424398939E-2</v>
      </c>
      <c r="M26" s="58"/>
      <c r="Q26" s="42"/>
    </row>
    <row r="27" spans="1:17" s="31" customFormat="1" ht="12.75" customHeight="1" x14ac:dyDescent="0.25">
      <c r="A27" s="34"/>
      <c r="B27" s="34"/>
      <c r="C27" s="34"/>
      <c r="D27" s="35"/>
      <c r="E27" s="36"/>
      <c r="F27" s="36"/>
      <c r="G27" s="37"/>
      <c r="H27" s="34"/>
      <c r="I27" s="34"/>
      <c r="J27" s="214"/>
      <c r="K27" s="115"/>
      <c r="L27" s="233"/>
      <c r="M27" s="34"/>
      <c r="Q27" s="42"/>
    </row>
    <row r="28" spans="1:17" ht="26.25" x14ac:dyDescent="0.25">
      <c r="A28" s="34" t="s">
        <v>128</v>
      </c>
      <c r="B28" s="83" t="s">
        <v>94</v>
      </c>
      <c r="C28" s="83" t="s">
        <v>95</v>
      </c>
      <c r="D28" s="35">
        <v>4.5713999999999998E-2</v>
      </c>
      <c r="E28" s="36">
        <f>Table13895[[#This Row],[Target Allocation (%)]]*$C$6*$C$2</f>
        <v>1123709.5057774081</v>
      </c>
      <c r="F28" s="36">
        <v>158040.75</v>
      </c>
      <c r="G28" s="86">
        <f>Table13895[[#This Row],[Target Value Allocation (USD)]]/Table13895[[#This Row],[Last price]]</f>
        <v>7.1102516646966567</v>
      </c>
      <c r="H28" s="34">
        <v>8</v>
      </c>
      <c r="I28" s="34">
        <v>7</v>
      </c>
      <c r="J28" s="162">
        <f t="shared" ref="J28:J34" si="1">I28-H28</f>
        <v>-1</v>
      </c>
      <c r="K28" s="115">
        <f>Table13895[[#This Row],[Last price]]*Table13895[[#This Row],[Current Quantity]]</f>
        <v>1106285.25</v>
      </c>
      <c r="L28" s="233">
        <f>Table13895[[#This Row],[Current Value Allocation]]/$K$2</f>
        <v>4.4953652186683617E-2</v>
      </c>
      <c r="M28" s="129"/>
    </row>
    <row r="29" spans="1:17" ht="26.25" x14ac:dyDescent="0.25">
      <c r="A29" s="34" t="s">
        <v>128</v>
      </c>
      <c r="B29" s="83" t="s">
        <v>98</v>
      </c>
      <c r="C29" s="83" t="s">
        <v>99</v>
      </c>
      <c r="D29" s="35">
        <v>4.5713999999999998E-2</v>
      </c>
      <c r="E29" s="36">
        <f>Table13895[[#This Row],[Target Allocation (%)]]*$C$6*$C$2</f>
        <v>1123709.5057774081</v>
      </c>
      <c r="F29" s="36">
        <v>222417.5</v>
      </c>
      <c r="G29" s="86">
        <f>Table13895[[#This Row],[Target Value Allocation (USD)]]/Table13895[[#This Row],[Last price]]</f>
        <v>5.0522531085791726</v>
      </c>
      <c r="H29" s="34">
        <v>6</v>
      </c>
      <c r="I29" s="34">
        <v>5</v>
      </c>
      <c r="J29" s="162">
        <f t="shared" si="1"/>
        <v>-1</v>
      </c>
      <c r="K29" s="115">
        <f>Table13895[[#This Row],[Last price]]*Table13895[[#This Row],[Current Quantity]]</f>
        <v>1112087.5</v>
      </c>
      <c r="L29" s="233">
        <f>Table13895[[#This Row],[Current Value Allocation]]/$K$2</f>
        <v>4.5189425309754887E-2</v>
      </c>
      <c r="M29" s="129"/>
    </row>
    <row r="30" spans="1:17" ht="26.25" x14ac:dyDescent="0.25">
      <c r="A30" s="34" t="s">
        <v>128</v>
      </c>
      <c r="B30" s="83" t="s">
        <v>101</v>
      </c>
      <c r="C30" s="83" t="s">
        <v>102</v>
      </c>
      <c r="D30" s="35">
        <v>4.5713999999999998E-2</v>
      </c>
      <c r="E30" s="36">
        <f>Table13895[[#This Row],[Target Allocation (%)]]*$C$6*$C$2</f>
        <v>1123709.5057774081</v>
      </c>
      <c r="F30" s="36">
        <v>180011.285714286</v>
      </c>
      <c r="G30" s="86">
        <f>Table13895[[#This Row],[Target Value Allocation (USD)]]/Table13895[[#This Row],[Last price]]</f>
        <v>6.2424391966232626</v>
      </c>
      <c r="H30" s="34">
        <v>7</v>
      </c>
      <c r="I30" s="34">
        <v>6</v>
      </c>
      <c r="J30" s="162">
        <f t="shared" si="1"/>
        <v>-1</v>
      </c>
      <c r="K30" s="115">
        <f>Table13895[[#This Row],[Last price]]*Table13895[[#This Row],[Current Quantity]]</f>
        <v>1080067.7142857159</v>
      </c>
      <c r="L30" s="233">
        <f>Table13895[[#This Row],[Current Value Allocation]]/$K$2</f>
        <v>4.3888308522658549E-2</v>
      </c>
      <c r="M30" s="129"/>
    </row>
    <row r="31" spans="1:17" ht="26.25" x14ac:dyDescent="0.25">
      <c r="A31" s="34" t="s">
        <v>128</v>
      </c>
      <c r="B31" s="83" t="s">
        <v>104</v>
      </c>
      <c r="C31" s="83" t="s">
        <v>105</v>
      </c>
      <c r="D31" s="35">
        <v>4.5713999999999998E-2</v>
      </c>
      <c r="E31" s="36">
        <f>Table13895[[#This Row],[Target Allocation (%)]]*$C$6*$C$2</f>
        <v>1123709.5057774081</v>
      </c>
      <c r="F31" s="36">
        <v>125796.5</v>
      </c>
      <c r="G31" s="86">
        <f>Table13895[[#This Row],[Target Value Allocation (USD)]]/Table13895[[#This Row],[Last price]]</f>
        <v>8.9327565216632276</v>
      </c>
      <c r="H31" s="34">
        <v>10</v>
      </c>
      <c r="I31" s="34">
        <v>9</v>
      </c>
      <c r="J31" s="162">
        <f t="shared" si="1"/>
        <v>-1</v>
      </c>
      <c r="K31" s="115">
        <f>Table13895[[#This Row],[Last price]]*Table13895[[#This Row],[Current Quantity]]</f>
        <v>1132168.5</v>
      </c>
      <c r="L31" s="233">
        <f>Table13895[[#This Row],[Current Value Allocation]]/$K$2</f>
        <v>4.6005412225932962E-2</v>
      </c>
      <c r="M31" s="129"/>
    </row>
    <row r="32" spans="1:17" ht="26.25" x14ac:dyDescent="0.25">
      <c r="A32" s="34" t="s">
        <v>128</v>
      </c>
      <c r="B32" s="83" t="s">
        <v>107</v>
      </c>
      <c r="C32" s="83" t="s">
        <v>108</v>
      </c>
      <c r="D32" s="35">
        <v>4.5713999999999998E-2</v>
      </c>
      <c r="E32" s="36">
        <f>Table13895[[#This Row],[Target Allocation (%)]]*$C$6*$C$2</f>
        <v>1123709.5057774081</v>
      </c>
      <c r="F32" s="36">
        <v>139431.77777777801</v>
      </c>
      <c r="G32" s="86">
        <f>Table13895[[#This Row],[Target Value Allocation (USD)]]/Table13895[[#This Row],[Last price]]</f>
        <v>8.0592066147814663</v>
      </c>
      <c r="H32" s="34">
        <v>9</v>
      </c>
      <c r="I32" s="34">
        <v>8</v>
      </c>
      <c r="J32" s="162">
        <f t="shared" si="1"/>
        <v>-1</v>
      </c>
      <c r="K32" s="115">
        <f>Table13895[[#This Row],[Last price]]*Table13895[[#This Row],[Current Quantity]]</f>
        <v>1115454.2222222241</v>
      </c>
      <c r="L32" s="233">
        <f>Table13895[[#This Row],[Current Value Allocation]]/$K$2</f>
        <v>4.532623130964239E-2</v>
      </c>
      <c r="M32" s="129"/>
    </row>
    <row r="33" spans="1:17" ht="26.25" x14ac:dyDescent="0.25">
      <c r="A33" s="34" t="s">
        <v>128</v>
      </c>
      <c r="B33" s="83" t="s">
        <v>110</v>
      </c>
      <c r="C33" s="83" t="s">
        <v>111</v>
      </c>
      <c r="D33" s="35">
        <v>6.6000000000000003E-2</v>
      </c>
      <c r="E33" s="36">
        <f>Table13895[[#This Row],[Target Allocation (%)]]*$C$6*$C$2</f>
        <v>1622365.7387520003</v>
      </c>
      <c r="F33" s="36">
        <v>416325</v>
      </c>
      <c r="G33" s="86">
        <f>Table13895[[#This Row],[Target Value Allocation (USD)]]/Table13895[[#This Row],[Last price]]</f>
        <v>3.8968732090362104</v>
      </c>
      <c r="H33" s="34">
        <v>5</v>
      </c>
      <c r="I33" s="34">
        <v>4</v>
      </c>
      <c r="J33" s="162">
        <f t="shared" si="1"/>
        <v>-1</v>
      </c>
      <c r="K33" s="115">
        <f>Table13895[[#This Row],[Last price]]*Table13895[[#This Row],[Current Quantity]]</f>
        <v>1665300</v>
      </c>
      <c r="L33" s="233">
        <f>Table13895[[#This Row],[Current Value Allocation]]/$K$2</f>
        <v>6.7669090757997749E-2</v>
      </c>
      <c r="M33" s="129"/>
    </row>
    <row r="34" spans="1:17" ht="26.25" x14ac:dyDescent="0.25">
      <c r="A34" s="34" t="s">
        <v>128</v>
      </c>
      <c r="B34" s="83" t="s">
        <v>116</v>
      </c>
      <c r="C34" s="83" t="s">
        <v>117</v>
      </c>
      <c r="D34" s="35">
        <v>4.5713999999999998E-2</v>
      </c>
      <c r="E34" s="36">
        <f>Table13895[[#This Row],[Target Allocation (%)]]*$C$6*$C$2</f>
        <v>1123709.5057774081</v>
      </c>
      <c r="F34" s="36">
        <v>220838</v>
      </c>
      <c r="G34" s="86">
        <f>Table13895[[#This Row],[Target Value Allocation (USD)]]/Table13895[[#This Row],[Last price]]</f>
        <v>5.0883883470118736</v>
      </c>
      <c r="H34" s="34">
        <v>6</v>
      </c>
      <c r="I34" s="34">
        <v>5</v>
      </c>
      <c r="J34" s="162">
        <f t="shared" si="1"/>
        <v>-1</v>
      </c>
      <c r="K34" s="115">
        <f>Table13895[[#This Row],[Last price]]*Table13895[[#This Row],[Current Quantity]]</f>
        <v>1104190</v>
      </c>
      <c r="L34" s="233">
        <f>Table13895[[#This Row],[Current Value Allocation]]/$K$2</f>
        <v>4.4868512174427146E-2</v>
      </c>
      <c r="M34" s="129"/>
    </row>
    <row r="35" spans="1:17" s="100" customFormat="1" ht="12.75" x14ac:dyDescent="0.2">
      <c r="A35" s="34"/>
      <c r="B35" s="83"/>
      <c r="C35" s="83"/>
      <c r="D35" s="35"/>
      <c r="E35" s="85"/>
      <c r="F35" s="36"/>
      <c r="G35" s="86"/>
      <c r="H35" s="34"/>
      <c r="I35" s="34"/>
      <c r="J35" s="214"/>
      <c r="K35" s="36"/>
      <c r="L35" s="235"/>
      <c r="M35" s="129"/>
    </row>
    <row r="36" spans="1:17" s="15" customFormat="1" ht="12.75" x14ac:dyDescent="0.2">
      <c r="A36" s="58" t="s">
        <v>159</v>
      </c>
      <c r="B36" s="156"/>
      <c r="C36" s="156"/>
      <c r="D36" s="240">
        <f>SUBTOTAL(9,D28:D35)</f>
        <v>0.34028399999999998</v>
      </c>
      <c r="E36" s="243">
        <f>Table13895[[#This Row],[Target Allocation (%)]]*$C$6*$C$2</f>
        <v>8364622.7734164484</v>
      </c>
      <c r="F36" s="241"/>
      <c r="G36" s="210"/>
      <c r="H36" s="239"/>
      <c r="I36" s="239"/>
      <c r="J36" s="197"/>
      <c r="K36" s="243">
        <f>SUM(K28:K34)</f>
        <v>8315553.1865079403</v>
      </c>
      <c r="L36" s="244">
        <f>Table13895[[#This Row],[Current Value Allocation]]/$K$2</f>
        <v>0.33790063248709729</v>
      </c>
      <c r="M36" s="245"/>
    </row>
    <row r="37" spans="1:17" s="100" customFormat="1" ht="12.75" x14ac:dyDescent="0.2">
      <c r="A37" s="34"/>
      <c r="B37" s="83"/>
      <c r="C37" s="83"/>
      <c r="D37" s="35"/>
      <c r="E37" s="85"/>
      <c r="F37" s="36"/>
      <c r="G37" s="86"/>
      <c r="H37" s="34"/>
      <c r="I37" s="34"/>
      <c r="J37" s="214"/>
      <c r="K37" s="36"/>
      <c r="L37" s="233"/>
      <c r="M37" s="129"/>
    </row>
    <row r="38" spans="1:17" s="31" customFormat="1" ht="25.5" customHeight="1" x14ac:dyDescent="0.2">
      <c r="A38" s="34" t="s">
        <v>130</v>
      </c>
      <c r="B38" s="34" t="s">
        <v>39</v>
      </c>
      <c r="C38" s="34" t="s">
        <v>40</v>
      </c>
      <c r="D38" s="35">
        <v>2.1999999999999999E-2</v>
      </c>
      <c r="E38" s="36">
        <f>Table13895[[#This Row],[Target Allocation (%)]]*$C$6*$C$2</f>
        <v>540788.57958400005</v>
      </c>
      <c r="F38" s="36">
        <v>93291</v>
      </c>
      <c r="G38" s="37">
        <f>Table13895[[#This Row],[Target Value Allocation (USD)]]/Table13895[[#This Row],[Last price]]</f>
        <v>5.7967926121919593</v>
      </c>
      <c r="H38" s="34">
        <v>7</v>
      </c>
      <c r="I38" s="34">
        <v>6</v>
      </c>
      <c r="J38" s="162">
        <f t="shared" ref="J38:J45" si="2">I38-H38</f>
        <v>-1</v>
      </c>
      <c r="K38" s="115">
        <f>Table13895[[#This Row],[Last price]]*Table13895[[#This Row],[Current Quantity]]</f>
        <v>559746</v>
      </c>
      <c r="L38" s="233">
        <f>Table13895[[#This Row],[Current Value Allocation]]/$K$2</f>
        <v>2.274515275051114E-2</v>
      </c>
      <c r="M38" s="38"/>
      <c r="N38" s="2"/>
      <c r="Q38" s="42"/>
    </row>
    <row r="39" spans="1:17" s="31" customFormat="1" ht="25.5" customHeight="1" x14ac:dyDescent="0.2">
      <c r="A39" s="34" t="s">
        <v>130</v>
      </c>
      <c r="B39" s="34" t="s">
        <v>50</v>
      </c>
      <c r="C39" s="34" t="s">
        <v>51</v>
      </c>
      <c r="D39" s="35">
        <v>4.5713999999999998E-2</v>
      </c>
      <c r="E39" s="36">
        <f>Table13895[[#This Row],[Target Allocation (%)]]*$C$6*$C$2</f>
        <v>1123709.5057774081</v>
      </c>
      <c r="F39" s="36">
        <v>113372.636363636</v>
      </c>
      <c r="G39" s="37">
        <f>Table13895[[#This Row],[Target Value Allocation (USD)]]/Table13895[[#This Row],[Last price]]</f>
        <v>9.9116466002711316</v>
      </c>
      <c r="H39" s="34">
        <v>11</v>
      </c>
      <c r="I39" s="34">
        <v>10</v>
      </c>
      <c r="J39" s="162">
        <f t="shared" si="2"/>
        <v>-1</v>
      </c>
      <c r="K39" s="115">
        <f>Table13895[[#This Row],[Last price]]*Table13895[[#This Row],[Current Quantity]]</f>
        <v>1133726.36363636</v>
      </c>
      <c r="L39" s="233">
        <f>Table13895[[#This Row],[Current Value Allocation]]/$K$2</f>
        <v>4.6068715664230826E-2</v>
      </c>
      <c r="M39" s="38"/>
      <c r="N39" s="2"/>
    </row>
    <row r="40" spans="1:17" s="31" customFormat="1" ht="25.5" customHeight="1" x14ac:dyDescent="0.2">
      <c r="A40" s="34" t="s">
        <v>130</v>
      </c>
      <c r="B40" s="34" t="s">
        <v>54</v>
      </c>
      <c r="C40" s="34" t="s">
        <v>55</v>
      </c>
      <c r="D40" s="35">
        <v>6.6000000000000003E-2</v>
      </c>
      <c r="E40" s="36">
        <f>Table13895[[#This Row],[Target Allocation (%)]]*$C$6*$C$2</f>
        <v>1622365.7387520003</v>
      </c>
      <c r="F40" s="36">
        <v>249557.285714286</v>
      </c>
      <c r="G40" s="37">
        <f>Table13895[[#This Row],[Target Value Allocation (USD)]]/Table13895[[#This Row],[Last price]]</f>
        <v>6.5009752534711405</v>
      </c>
      <c r="H40" s="34">
        <v>7</v>
      </c>
      <c r="I40" s="34">
        <v>7</v>
      </c>
      <c r="J40" s="162">
        <f t="shared" si="2"/>
        <v>0</v>
      </c>
      <c r="K40" s="115">
        <f>Table13895[[#This Row],[Last price]]*Table13895[[#This Row],[Current Quantity]]</f>
        <v>1746901.0000000021</v>
      </c>
      <c r="L40" s="233">
        <f>Table13895[[#This Row],[Current Value Allocation]]/$K$2</f>
        <v>7.0984929030347185E-2</v>
      </c>
      <c r="M40" s="38"/>
      <c r="N40" s="2"/>
    </row>
    <row r="41" spans="1:17" s="31" customFormat="1" ht="25.5" customHeight="1" x14ac:dyDescent="0.2">
      <c r="A41" s="34" t="s">
        <v>130</v>
      </c>
      <c r="B41" s="34" t="s">
        <v>58</v>
      </c>
      <c r="C41" s="34" t="s">
        <v>59</v>
      </c>
      <c r="D41" s="35">
        <v>2.1999999999999999E-2</v>
      </c>
      <c r="E41" s="36">
        <f>Table13895[[#This Row],[Target Allocation (%)]]*$C$6*$C$2</f>
        <v>540788.57958400005</v>
      </c>
      <c r="F41" s="36">
        <v>111609</v>
      </c>
      <c r="G41" s="37">
        <f>Table13895[[#This Row],[Target Value Allocation (USD)]]/Table13895[[#This Row],[Last price]]</f>
        <v>4.845385045865477</v>
      </c>
      <c r="H41" s="34">
        <v>5</v>
      </c>
      <c r="I41" s="34">
        <v>5</v>
      </c>
      <c r="J41" s="162">
        <f t="shared" si="2"/>
        <v>0</v>
      </c>
      <c r="K41" s="115">
        <f>Table13895[[#This Row],[Last price]]*Table13895[[#This Row],[Current Quantity]]</f>
        <v>558045</v>
      </c>
      <c r="L41" s="233">
        <f>Table13895[[#This Row],[Current Value Allocation]]/$K$2</f>
        <v>2.2676032998286706E-2</v>
      </c>
      <c r="M41" s="38"/>
      <c r="N41" s="2"/>
    </row>
    <row r="42" spans="1:17" s="31" customFormat="1" ht="25.5" x14ac:dyDescent="0.2">
      <c r="A42" s="34" t="s">
        <v>130</v>
      </c>
      <c r="B42" s="34" t="s">
        <v>60</v>
      </c>
      <c r="C42" s="34" t="s">
        <v>61</v>
      </c>
      <c r="D42" s="35">
        <v>6.6000000000000003E-2</v>
      </c>
      <c r="E42" s="36">
        <f>Table13895[[#This Row],[Target Allocation (%)]]*$C$6*$C$2</f>
        <v>1622365.7387520003</v>
      </c>
      <c r="F42" s="36">
        <v>249343.714285714</v>
      </c>
      <c r="G42" s="37">
        <f>Table13895[[#This Row],[Target Value Allocation (USD)]]/Table13895[[#This Row],[Last price]]</f>
        <v>6.5065435613628093</v>
      </c>
      <c r="H42" s="34">
        <v>7</v>
      </c>
      <c r="I42" s="34">
        <v>7</v>
      </c>
      <c r="J42" s="162">
        <f t="shared" si="2"/>
        <v>0</v>
      </c>
      <c r="K42" s="115">
        <f>Table13895[[#This Row],[Last price]]*Table13895[[#This Row],[Current Quantity]]</f>
        <v>1745405.9999999979</v>
      </c>
      <c r="L42" s="233">
        <f>Table13895[[#This Row],[Current Value Allocation]]/$K$2</f>
        <v>7.0924180041766455E-2</v>
      </c>
      <c r="M42" s="38"/>
      <c r="N42" s="2"/>
    </row>
    <row r="43" spans="1:17" s="31" customFormat="1" ht="25.5" x14ac:dyDescent="0.2">
      <c r="A43" s="34" t="s">
        <v>130</v>
      </c>
      <c r="B43" s="34" t="s">
        <v>62</v>
      </c>
      <c r="C43" s="34" t="s">
        <v>63</v>
      </c>
      <c r="D43" s="35">
        <v>6.6000000000000003E-2</v>
      </c>
      <c r="E43" s="36">
        <f>Table13895[[#This Row],[Target Allocation (%)]]*$C$6*$C$2</f>
        <v>1622365.7387520003</v>
      </c>
      <c r="F43" s="36">
        <v>171995.636363636</v>
      </c>
      <c r="G43" s="37">
        <f>Table13895[[#This Row],[Target Value Allocation (USD)]]/Table13895[[#This Row],[Last price]]</f>
        <v>9.4325982510507878</v>
      </c>
      <c r="H43" s="34">
        <v>11</v>
      </c>
      <c r="I43" s="34">
        <v>9</v>
      </c>
      <c r="J43" s="162">
        <f t="shared" si="2"/>
        <v>-2</v>
      </c>
      <c r="K43" s="115">
        <f>Table13895[[#This Row],[Last price]]*Table13895[[#This Row],[Current Quantity]]</f>
        <v>1547960.727272724</v>
      </c>
      <c r="L43" s="233">
        <f>Table13895[[#This Row],[Current Value Allocation]]/$K$2</f>
        <v>6.2901035815549247E-2</v>
      </c>
      <c r="M43" s="38"/>
      <c r="N43" s="2"/>
    </row>
    <row r="44" spans="1:17" s="31" customFormat="1" ht="25.5" x14ac:dyDescent="0.2">
      <c r="A44" s="34" t="s">
        <v>130</v>
      </c>
      <c r="B44" s="34" t="s">
        <v>66</v>
      </c>
      <c r="C44" s="34" t="s">
        <v>67</v>
      </c>
      <c r="D44" s="35">
        <v>6.6000000000000003E-2</v>
      </c>
      <c r="E44" s="36">
        <f>Table13895[[#This Row],[Target Allocation (%)]]*$C$6*$C$2</f>
        <v>1622365.7387520003</v>
      </c>
      <c r="F44" s="36">
        <v>698196.66666666698</v>
      </c>
      <c r="G44" s="37">
        <f>Table13895[[#This Row],[Target Value Allocation (USD)]]/Table13895[[#This Row],[Last price]]</f>
        <v>2.3236515099642405</v>
      </c>
      <c r="H44" s="34">
        <v>3</v>
      </c>
      <c r="I44" s="34">
        <v>2</v>
      </c>
      <c r="J44" s="162">
        <f t="shared" si="2"/>
        <v>-1</v>
      </c>
      <c r="K44" s="115">
        <f>Table13895[[#This Row],[Last price]]*Table13895[[#This Row],[Current Quantity]]</f>
        <v>1396393.333333334</v>
      </c>
      <c r="L44" s="233">
        <f>Table13895[[#This Row],[Current Value Allocation]]/$K$2</f>
        <v>5.6742128869991214E-2</v>
      </c>
      <c r="M44" s="38"/>
      <c r="N44" s="2"/>
    </row>
    <row r="45" spans="1:17" s="31" customFormat="1" ht="25.5" x14ac:dyDescent="0.2">
      <c r="A45" s="34" t="s">
        <v>130</v>
      </c>
      <c r="B45" s="34" t="s">
        <v>68</v>
      </c>
      <c r="C45" s="34" t="s">
        <v>69</v>
      </c>
      <c r="D45" s="35">
        <v>6.6000000000000003E-2</v>
      </c>
      <c r="E45" s="36">
        <f>Table13895[[#This Row],[Target Allocation (%)]]*$C$6*$C$2</f>
        <v>1622365.7387520003</v>
      </c>
      <c r="F45" s="36">
        <v>156417</v>
      </c>
      <c r="G45" s="37">
        <f>Table13895[[#This Row],[Target Value Allocation (USD)]]/Table13895[[#This Row],[Last price]]</f>
        <v>10.372055075548056</v>
      </c>
      <c r="H45" s="34">
        <v>12</v>
      </c>
      <c r="I45" s="34">
        <v>10</v>
      </c>
      <c r="J45" s="162">
        <f t="shared" si="2"/>
        <v>-2</v>
      </c>
      <c r="K45" s="115">
        <f>Table13895[[#This Row],[Last price]]*Table13895[[#This Row],[Current Quantity]]</f>
        <v>1564170</v>
      </c>
      <c r="L45" s="233">
        <f>Table13895[[#This Row],[Current Value Allocation]]/$K$2</f>
        <v>6.3559695965253904E-2</v>
      </c>
      <c r="M45" s="38"/>
      <c r="N45" s="2"/>
    </row>
    <row r="46" spans="1:17" s="31" customFormat="1" ht="12.75" x14ac:dyDescent="0.2">
      <c r="A46" s="34"/>
      <c r="B46" s="34"/>
      <c r="C46" s="34"/>
      <c r="D46" s="35"/>
      <c r="E46" s="36"/>
      <c r="F46" s="36"/>
      <c r="G46" s="37"/>
      <c r="H46" s="34"/>
      <c r="I46" s="34"/>
      <c r="J46" s="162"/>
      <c r="K46" s="115"/>
      <c r="L46" s="233"/>
      <c r="M46" s="38"/>
      <c r="N46" s="2"/>
    </row>
    <row r="47" spans="1:17" s="31" customFormat="1" ht="12.75" x14ac:dyDescent="0.2">
      <c r="A47" s="34"/>
      <c r="B47" s="34"/>
      <c r="C47" s="34"/>
      <c r="D47" s="35"/>
      <c r="E47" s="36"/>
      <c r="F47" s="36"/>
      <c r="G47" s="37"/>
      <c r="H47" s="34"/>
      <c r="I47" s="34"/>
      <c r="J47" s="162"/>
      <c r="K47" s="115"/>
      <c r="L47" s="233"/>
      <c r="M47" s="38"/>
      <c r="N47" s="2"/>
    </row>
    <row r="48" spans="1:17" s="31" customFormat="1" ht="12.75" x14ac:dyDescent="0.2">
      <c r="A48" s="34"/>
      <c r="B48" s="34"/>
      <c r="C48" s="34"/>
      <c r="D48" s="35"/>
      <c r="E48" s="36"/>
      <c r="F48" s="36"/>
      <c r="G48" s="37"/>
      <c r="H48" s="34"/>
      <c r="I48" s="34"/>
      <c r="J48" s="162"/>
      <c r="K48" s="115"/>
      <c r="L48" s="233"/>
      <c r="M48" s="38"/>
      <c r="N48" s="2"/>
    </row>
    <row r="49" spans="1:18" s="57" customFormat="1" ht="12.75" x14ac:dyDescent="0.2">
      <c r="A49" s="34"/>
      <c r="B49" s="34"/>
      <c r="C49" s="34"/>
      <c r="D49" s="35"/>
      <c r="E49" s="36"/>
      <c r="F49" s="36"/>
      <c r="G49" s="37"/>
      <c r="H49" s="34"/>
      <c r="I49" s="34"/>
      <c r="J49" s="214"/>
      <c r="K49" s="36"/>
      <c r="L49" s="233"/>
      <c r="M49" s="34"/>
      <c r="N49" s="100"/>
    </row>
    <row r="50" spans="1:18" s="68" customFormat="1" ht="12.75" x14ac:dyDescent="0.2">
      <c r="A50" s="58" t="s">
        <v>185</v>
      </c>
      <c r="B50" s="58"/>
      <c r="C50" s="58"/>
      <c r="D50" s="240">
        <f>SUBTOTAL(9,D38:D49)</f>
        <v>0.41971400000000003</v>
      </c>
      <c r="E50" s="237">
        <f>Table13895[[#This Row],[Target Allocation (%)]]*$C$6*$C$2</f>
        <v>10317115.358705411</v>
      </c>
      <c r="F50" s="241"/>
      <c r="G50" s="196"/>
      <c r="H50" s="239"/>
      <c r="I50" s="239"/>
      <c r="J50" s="197"/>
      <c r="K50" s="237">
        <f>SUM(K38:K48)</f>
        <v>10252348.424242418</v>
      </c>
      <c r="L50" s="244">
        <f>Table13895[[#This Row],[Current Value Allocation]]/$K$2</f>
        <v>0.41660187113593666</v>
      </c>
      <c r="M50" s="58"/>
      <c r="N50" s="15"/>
    </row>
    <row r="51" spans="1:18" s="57" customFormat="1" ht="12.75" x14ac:dyDescent="0.2">
      <c r="A51" s="34"/>
      <c r="B51" s="34"/>
      <c r="C51" s="34"/>
      <c r="D51" s="35"/>
      <c r="E51" s="36"/>
      <c r="F51" s="36"/>
      <c r="G51" s="37"/>
      <c r="H51" s="34"/>
      <c r="I51" s="34"/>
      <c r="J51" s="214"/>
      <c r="K51" s="36"/>
      <c r="L51" s="233"/>
      <c r="M51" s="34"/>
      <c r="N51" s="100"/>
    </row>
    <row r="52" spans="1:18" s="31" customFormat="1" ht="12.75" x14ac:dyDescent="0.2">
      <c r="A52" s="34"/>
      <c r="B52" s="34"/>
      <c r="C52" s="34"/>
      <c r="D52" s="35"/>
      <c r="E52" s="36"/>
      <c r="F52" s="36"/>
      <c r="G52" s="116"/>
      <c r="H52" s="34"/>
      <c r="I52" s="34"/>
      <c r="J52" s="162"/>
      <c r="K52" s="115"/>
      <c r="L52" s="233"/>
      <c r="M52" s="38"/>
      <c r="N52" s="2"/>
    </row>
    <row r="53" spans="1:18" s="31" customFormat="1" ht="25.5" x14ac:dyDescent="0.2">
      <c r="A53" s="34" t="s">
        <v>131</v>
      </c>
      <c r="B53" s="34" t="s">
        <v>43</v>
      </c>
      <c r="C53" s="34" t="s">
        <v>44</v>
      </c>
      <c r="D53" s="35">
        <v>3.0000000000000001E-3</v>
      </c>
      <c r="E53" s="36">
        <f>Table13895[[#This Row],[Target Allocation (%)]]*$C$6*$C$2</f>
        <v>73743.897216000012</v>
      </c>
      <c r="F53" s="36">
        <v>40938</v>
      </c>
      <c r="G53" s="116">
        <f>Table13895[[#This Row],[Target Value Allocation (USD)]]/Table13895[[#This Row],[Last price]]</f>
        <v>1.8013556406272904</v>
      </c>
      <c r="H53" s="34">
        <v>1</v>
      </c>
      <c r="I53" s="34">
        <v>1</v>
      </c>
      <c r="J53" s="162">
        <f t="shared" ref="J53:J62" si="3">I53-H53</f>
        <v>0</v>
      </c>
      <c r="K53" s="115">
        <f>Table13895[[#This Row],[Last price]]*Table13895[[#This Row],[Current Quantity]]</f>
        <v>40938</v>
      </c>
      <c r="L53" s="233">
        <f>Table13895[[#This Row],[Current Value Allocation]]/$K$2</f>
        <v>1.6635064177330881E-3</v>
      </c>
      <c r="M53" s="38"/>
      <c r="N53" s="2"/>
    </row>
    <row r="54" spans="1:18" s="31" customFormat="1" ht="25.5" x14ac:dyDescent="0.2">
      <c r="A54" s="34" t="s">
        <v>131</v>
      </c>
      <c r="B54" s="34" t="s">
        <v>47</v>
      </c>
      <c r="C54" s="34" t="s">
        <v>48</v>
      </c>
      <c r="D54" s="35">
        <v>3.0000000000000001E-3</v>
      </c>
      <c r="E54" s="36">
        <f>Table13895[[#This Row],[Target Allocation (%)]]*$C$6*$C$2</f>
        <v>73743.897216000012</v>
      </c>
      <c r="F54" s="36">
        <v>160763</v>
      </c>
      <c r="G54" s="116">
        <f>Table13895[[#This Row],[Target Value Allocation (USD)]]/Table13895[[#This Row],[Last price]]</f>
        <v>0.45871187534445124</v>
      </c>
      <c r="H54" s="34">
        <v>1</v>
      </c>
      <c r="I54" s="34">
        <v>1</v>
      </c>
      <c r="J54" s="162">
        <f t="shared" si="3"/>
        <v>0</v>
      </c>
      <c r="K54" s="115">
        <f>Table13895[[#This Row],[Last price]]*Table13895[[#This Row],[Current Quantity]]</f>
        <v>160763</v>
      </c>
      <c r="L54" s="233">
        <f>Table13895[[#This Row],[Current Value Allocation]]/$K$2</f>
        <v>6.5325683285462023E-3</v>
      </c>
      <c r="M54" s="38"/>
      <c r="N54" s="2"/>
      <c r="R54" s="31" t="s">
        <v>188</v>
      </c>
    </row>
    <row r="55" spans="1:18" s="31" customFormat="1" ht="25.5" x14ac:dyDescent="0.2">
      <c r="A55" s="34" t="s">
        <v>131</v>
      </c>
      <c r="B55" s="34" t="s">
        <v>73</v>
      </c>
      <c r="C55" s="34" t="s">
        <v>74</v>
      </c>
      <c r="D55" s="35">
        <v>3.0000000000000001E-3</v>
      </c>
      <c r="E55" s="36">
        <f>Table13895[[#This Row],[Target Allocation (%)]]*$C$6*$C$2</f>
        <v>73743.897216000012</v>
      </c>
      <c r="F55" s="36">
        <v>78887</v>
      </c>
      <c r="G55" s="116">
        <f>Table13895[[#This Row],[Target Value Allocation (USD)]]/Table13895[[#This Row],[Last price]]</f>
        <v>0.93480417833103058</v>
      </c>
      <c r="H55" s="34">
        <v>1</v>
      </c>
      <c r="I55" s="34">
        <v>1</v>
      </c>
      <c r="J55" s="162">
        <f t="shared" si="3"/>
        <v>0</v>
      </c>
      <c r="K55" s="115">
        <f>Table13895[[#This Row],[Last price]]*Table13895[[#This Row],[Current Quantity]]</f>
        <v>78887</v>
      </c>
      <c r="L55" s="233">
        <f>Table13895[[#This Row],[Current Value Allocation]]/$K$2</f>
        <v>3.2055554930800266E-3</v>
      </c>
      <c r="M55" s="38"/>
      <c r="N55" s="2"/>
    </row>
    <row r="56" spans="1:18" s="31" customFormat="1" ht="25.5" x14ac:dyDescent="0.2">
      <c r="A56" s="34" t="s">
        <v>131</v>
      </c>
      <c r="B56" s="34" t="s">
        <v>76</v>
      </c>
      <c r="C56" s="34" t="s">
        <v>77</v>
      </c>
      <c r="D56" s="35">
        <v>3.0000000000000001E-3</v>
      </c>
      <c r="E56" s="36">
        <f>Table13895[[#This Row],[Target Allocation (%)]]*$C$6*$C$2</f>
        <v>73743.897216000012</v>
      </c>
      <c r="F56" s="36">
        <v>206316</v>
      </c>
      <c r="G56" s="116">
        <f>Table13895[[#This Row],[Target Value Allocation (USD)]]/Table13895[[#This Row],[Last price]]</f>
        <v>0.35743179014715298</v>
      </c>
      <c r="H56" s="34">
        <v>1</v>
      </c>
      <c r="I56" s="34">
        <v>1</v>
      </c>
      <c r="J56" s="162">
        <f t="shared" si="3"/>
        <v>0</v>
      </c>
      <c r="K56" s="115">
        <f>Table13895[[#This Row],[Last price]]*Table13895[[#This Row],[Current Quantity]]</f>
        <v>206316</v>
      </c>
      <c r="L56" s="233">
        <f>Table13895[[#This Row],[Current Value Allocation]]/$K$2</f>
        <v>8.383604232767107E-3</v>
      </c>
      <c r="M56" s="38"/>
      <c r="N56" s="2"/>
    </row>
    <row r="57" spans="1:18" s="31" customFormat="1" ht="25.5" x14ac:dyDescent="0.2">
      <c r="A57" s="34" t="s">
        <v>131</v>
      </c>
      <c r="B57" s="34" t="s">
        <v>79</v>
      </c>
      <c r="C57" s="34" t="s">
        <v>80</v>
      </c>
      <c r="D57" s="35">
        <v>3.0000000000000001E-3</v>
      </c>
      <c r="E57" s="36">
        <f>Table13895[[#This Row],[Target Allocation (%)]]*$C$6*$C$2</f>
        <v>73743.897216000012</v>
      </c>
      <c r="F57" s="36">
        <v>45006</v>
      </c>
      <c r="G57" s="116">
        <f>Table13895[[#This Row],[Target Value Allocation (USD)]]/Table13895[[#This Row],[Last price]]</f>
        <v>1.6385348001599789</v>
      </c>
      <c r="H57" s="34">
        <v>1</v>
      </c>
      <c r="I57" s="34">
        <v>1</v>
      </c>
      <c r="J57" s="162">
        <f t="shared" si="3"/>
        <v>0</v>
      </c>
      <c r="K57" s="115">
        <f>Table13895[[#This Row],[Last price]]*Table13895[[#This Row],[Current Quantity]]</f>
        <v>45006</v>
      </c>
      <c r="L57" s="233">
        <f>Table13895[[#This Row],[Current Value Allocation]]/$K$2</f>
        <v>1.8288086823121637E-3</v>
      </c>
      <c r="M57" s="38"/>
      <c r="N57" s="2"/>
    </row>
    <row r="58" spans="1:18" s="31" customFormat="1" ht="25.5" x14ac:dyDescent="0.2">
      <c r="A58" s="34" t="s">
        <v>131</v>
      </c>
      <c r="B58" s="34" t="s">
        <v>82</v>
      </c>
      <c r="C58" s="34" t="s">
        <v>83</v>
      </c>
      <c r="D58" s="35">
        <v>3.0000000000000001E-3</v>
      </c>
      <c r="E58" s="36">
        <f>Table13895[[#This Row],[Target Allocation (%)]]*$C$6*$C$2</f>
        <v>73743.897216000012</v>
      </c>
      <c r="F58" s="36">
        <v>42508</v>
      </c>
      <c r="G58" s="116">
        <f>Table13895[[#This Row],[Target Value Allocation (USD)]]/Table13895[[#This Row],[Last price]]</f>
        <v>1.7348239676296229</v>
      </c>
      <c r="H58" s="34">
        <v>1</v>
      </c>
      <c r="I58" s="34">
        <v>1</v>
      </c>
      <c r="J58" s="162">
        <f t="shared" si="3"/>
        <v>0</v>
      </c>
      <c r="K58" s="115">
        <f>Table13895[[#This Row],[Last price]]*Table13895[[#This Row],[Current Quantity]]</f>
        <v>42508</v>
      </c>
      <c r="L58" s="233">
        <f>Table13895[[#This Row],[Current Value Allocation]]/$K$2</f>
        <v>1.7273030144364188E-3</v>
      </c>
      <c r="M58" s="38"/>
      <c r="N58" s="2"/>
    </row>
    <row r="59" spans="1:18" s="31" customFormat="1" ht="25.5" x14ac:dyDescent="0.2">
      <c r="A59" s="34" t="s">
        <v>131</v>
      </c>
      <c r="B59" s="34" t="s">
        <v>84</v>
      </c>
      <c r="C59" s="34" t="s">
        <v>85</v>
      </c>
      <c r="D59" s="35">
        <v>3.0000000000000001E-3</v>
      </c>
      <c r="E59" s="36">
        <f>Table13895[[#This Row],[Target Allocation (%)]]*$C$6*$C$2</f>
        <v>73743.897216000012</v>
      </c>
      <c r="F59" s="36">
        <v>10803.166666666701</v>
      </c>
      <c r="G59" s="116">
        <f>Table13895[[#This Row],[Target Value Allocation (USD)]]/Table13895[[#This Row],[Last price]]</f>
        <v>6.8261371402829214</v>
      </c>
      <c r="H59" s="34">
        <v>6</v>
      </c>
      <c r="I59" s="34">
        <v>6</v>
      </c>
      <c r="J59" s="162">
        <f t="shared" si="3"/>
        <v>0</v>
      </c>
      <c r="K59" s="115">
        <f>Table13895[[#This Row],[Last price]]*Table13895[[#This Row],[Current Quantity]]</f>
        <v>64819.000000000204</v>
      </c>
      <c r="L59" s="233">
        <f>Table13895[[#This Row],[Current Value Allocation]]/$K$2</f>
        <v>2.6339054787982161E-3</v>
      </c>
      <c r="M59" s="38"/>
      <c r="N59" s="2"/>
    </row>
    <row r="60" spans="1:18" s="31" customFormat="1" ht="25.5" x14ac:dyDescent="0.2">
      <c r="A60" s="34" t="s">
        <v>131</v>
      </c>
      <c r="B60" s="34" t="s">
        <v>91</v>
      </c>
      <c r="C60" s="34" t="s">
        <v>92</v>
      </c>
      <c r="D60" s="35">
        <v>3.0000000000000001E-3</v>
      </c>
      <c r="E60" s="36">
        <f>Table13895[[#This Row],[Target Allocation (%)]]*$C$6*$C$2</f>
        <v>73743.897216000012</v>
      </c>
      <c r="F60" s="36">
        <v>87032</v>
      </c>
      <c r="G60" s="116">
        <f>Table13895[[#This Row],[Target Value Allocation (USD)]]/Table13895[[#This Row],[Last price]]</f>
        <v>0.84731934479272009</v>
      </c>
      <c r="H60" s="34">
        <v>1</v>
      </c>
      <c r="I60" s="34">
        <v>1</v>
      </c>
      <c r="J60" s="162">
        <f t="shared" si="3"/>
        <v>0</v>
      </c>
      <c r="K60" s="115">
        <f>Table13895[[#This Row],[Last price]]*Table13895[[#This Row],[Current Quantity]]</f>
        <v>87032</v>
      </c>
      <c r="L60" s="233">
        <f>Table13895[[#This Row],[Current Value Allocation]]/$K$2</f>
        <v>3.5365257352129105E-3</v>
      </c>
      <c r="M60" s="38"/>
      <c r="N60" s="2"/>
    </row>
    <row r="61" spans="1:18" ht="26.25" x14ac:dyDescent="0.25">
      <c r="A61" s="34" t="s">
        <v>131</v>
      </c>
      <c r="B61" s="83" t="s">
        <v>113</v>
      </c>
      <c r="C61" s="83" t="s">
        <v>114</v>
      </c>
      <c r="D61" s="35">
        <v>3.0000000000000001E-3</v>
      </c>
      <c r="E61" s="36">
        <f>Table13895[[#This Row],[Target Allocation (%)]]*$C$6*$C$2</f>
        <v>73743.897216000012</v>
      </c>
      <c r="F61" s="36">
        <v>54284</v>
      </c>
      <c r="G61" s="116">
        <f>Table13895[[#This Row],[Target Value Allocation (USD)]]/Table13895[[#This Row],[Last price]]</f>
        <v>1.3584831113403584</v>
      </c>
      <c r="H61" s="34">
        <v>1</v>
      </c>
      <c r="I61" s="34">
        <v>1</v>
      </c>
      <c r="J61" s="162">
        <f t="shared" si="3"/>
        <v>0</v>
      </c>
      <c r="K61" s="115">
        <f>Table13895[[#This Row],[Last price]]*Table13895[[#This Row],[Current Quantity]]</f>
        <v>54284</v>
      </c>
      <c r="L61" s="233">
        <f>Table13895[[#This Row],[Current Value Allocation]]/$K$2</f>
        <v>2.2058181244863687E-3</v>
      </c>
      <c r="M61" s="129"/>
    </row>
    <row r="62" spans="1:18" s="31" customFormat="1" ht="25.5" x14ac:dyDescent="0.2">
      <c r="A62" s="34" t="s">
        <v>131</v>
      </c>
      <c r="B62" s="34" t="s">
        <v>263</v>
      </c>
      <c r="C62" s="34" t="s">
        <v>90</v>
      </c>
      <c r="D62" s="35">
        <v>3.0000000000000001E-3</v>
      </c>
      <c r="E62" s="36">
        <f>Table13895[[#This Row],[Target Allocation (%)]]*$C$6*$C$2</f>
        <v>73743.897216000012</v>
      </c>
      <c r="F62" s="36">
        <v>98380</v>
      </c>
      <c r="G62" s="116">
        <f>Table13895[[#This Row],[Target Value Allocation (USD)]]/Table13895[[#This Row],[Last price]]</f>
        <v>0.74958220386257379</v>
      </c>
      <c r="H62" s="34">
        <v>1</v>
      </c>
      <c r="I62" s="34">
        <v>1</v>
      </c>
      <c r="J62" s="162">
        <f t="shared" si="3"/>
        <v>0</v>
      </c>
      <c r="K62" s="115">
        <f>Table13895[[#This Row],[Last price]]*Table13895[[#This Row],[Current Quantity]]</f>
        <v>98380</v>
      </c>
      <c r="L62" s="233">
        <f>Table13895[[#This Row],[Current Value Allocation]]/$K$2</f>
        <v>3.9976491615755826E-3</v>
      </c>
      <c r="M62" s="38"/>
      <c r="N62" s="2"/>
    </row>
    <row r="63" spans="1:18" s="31" customFormat="1" ht="12.75" x14ac:dyDescent="0.2">
      <c r="A63" s="34"/>
      <c r="B63" s="34"/>
      <c r="C63" s="34"/>
      <c r="D63" s="35"/>
      <c r="E63" s="36"/>
      <c r="F63" s="36"/>
      <c r="G63" s="37"/>
      <c r="H63" s="34"/>
      <c r="I63" s="34"/>
      <c r="J63" s="38"/>
      <c r="K63" s="115"/>
      <c r="L63" s="233"/>
      <c r="M63" s="38"/>
      <c r="N63" s="2"/>
    </row>
    <row r="64" spans="1:18" s="31" customFormat="1" ht="12.75" x14ac:dyDescent="0.2">
      <c r="A64" s="34"/>
      <c r="B64" s="34"/>
      <c r="C64" s="34"/>
      <c r="D64" s="35"/>
      <c r="E64" s="36"/>
      <c r="F64" s="36"/>
      <c r="G64" s="37"/>
      <c r="H64" s="34"/>
      <c r="I64" s="34"/>
      <c r="J64" s="38"/>
      <c r="K64" s="115"/>
      <c r="L64" s="233"/>
      <c r="M64" s="38"/>
      <c r="N64" s="2"/>
    </row>
    <row r="65" spans="1:14" s="31" customFormat="1" ht="12.75" x14ac:dyDescent="0.2">
      <c r="A65" s="34"/>
      <c r="B65" s="34"/>
      <c r="C65" s="34"/>
      <c r="D65" s="35"/>
      <c r="E65" s="36"/>
      <c r="F65" s="36"/>
      <c r="G65" s="37"/>
      <c r="H65" s="34"/>
      <c r="I65" s="34"/>
      <c r="J65" s="38"/>
      <c r="K65" s="115"/>
      <c r="L65" s="233"/>
      <c r="M65" s="38"/>
      <c r="N65" s="2"/>
    </row>
    <row r="66" spans="1:14" s="31" customFormat="1" ht="12.75" x14ac:dyDescent="0.2">
      <c r="A66" s="34"/>
      <c r="B66" s="34"/>
      <c r="C66" s="34"/>
      <c r="D66" s="35"/>
      <c r="E66" s="36"/>
      <c r="F66" s="36"/>
      <c r="G66" s="37"/>
      <c r="H66" s="34"/>
      <c r="I66" s="34"/>
      <c r="J66" s="38"/>
      <c r="K66" s="115"/>
      <c r="L66" s="233"/>
      <c r="M66" s="38"/>
      <c r="N66" s="2"/>
    </row>
    <row r="67" spans="1:14" s="31" customFormat="1" ht="12.75" x14ac:dyDescent="0.2">
      <c r="A67" s="34"/>
      <c r="B67" s="34"/>
      <c r="C67" s="34"/>
      <c r="D67" s="35"/>
      <c r="E67" s="36"/>
      <c r="F67" s="36"/>
      <c r="G67" s="37"/>
      <c r="H67" s="34"/>
      <c r="I67" s="34"/>
      <c r="J67" s="38"/>
      <c r="K67" s="115"/>
      <c r="L67" s="233"/>
      <c r="M67" s="38"/>
      <c r="N67" s="2"/>
    </row>
    <row r="68" spans="1:14" s="31" customFormat="1" ht="12.75" x14ac:dyDescent="0.2">
      <c r="A68" s="34"/>
      <c r="B68" s="34"/>
      <c r="C68" s="34"/>
      <c r="D68" s="35"/>
      <c r="E68" s="36"/>
      <c r="F68" s="36"/>
      <c r="G68" s="37"/>
      <c r="H68" s="34"/>
      <c r="I68" s="34"/>
      <c r="J68" s="38"/>
      <c r="K68" s="115"/>
      <c r="L68" s="233"/>
      <c r="M68" s="38"/>
      <c r="N68" s="2"/>
    </row>
    <row r="69" spans="1:14" s="31" customFormat="1" ht="12.75" x14ac:dyDescent="0.2">
      <c r="A69" s="34"/>
      <c r="B69" s="34"/>
      <c r="C69" s="34"/>
      <c r="D69" s="35"/>
      <c r="E69" s="36"/>
      <c r="F69" s="36"/>
      <c r="G69" s="37"/>
      <c r="H69" s="34"/>
      <c r="I69" s="34"/>
      <c r="J69" s="38"/>
      <c r="K69" s="115"/>
      <c r="L69" s="233"/>
      <c r="M69" s="38"/>
      <c r="N69" s="2"/>
    </row>
    <row r="70" spans="1:14" s="15" customFormat="1" ht="12.75" x14ac:dyDescent="0.2">
      <c r="A70" s="58" t="s">
        <v>242</v>
      </c>
      <c r="B70" s="156"/>
      <c r="C70" s="156"/>
      <c r="D70" s="201">
        <f>SUM(D53:D69)</f>
        <v>2.9999999999999995E-2</v>
      </c>
      <c r="E70" s="237">
        <f>SUM(E52:E69)</f>
        <v>737438.97216000012</v>
      </c>
      <c r="F70" s="195"/>
      <c r="G70" s="196"/>
      <c r="H70" s="156"/>
      <c r="I70" s="156"/>
      <c r="J70" s="58"/>
      <c r="K70" s="237">
        <f>SUM(K52:K69)</f>
        <v>878933.00000000023</v>
      </c>
      <c r="L70" s="238">
        <f>Table13895[[#This Row],[Current Value Allocation]]/$K$2</f>
        <v>3.5715244668948085E-2</v>
      </c>
      <c r="M70" s="195"/>
    </row>
    <row r="71" spans="1:14" x14ac:dyDescent="0.25">
      <c r="A71" s="34"/>
      <c r="B71" s="83"/>
      <c r="C71" s="83"/>
      <c r="D71" s="79"/>
      <c r="E71" s="36"/>
      <c r="F71" s="36"/>
      <c r="G71" s="37"/>
      <c r="H71" s="83"/>
      <c r="I71" s="83"/>
      <c r="J71" s="34"/>
      <c r="K71" s="34"/>
      <c r="L71" s="233"/>
      <c r="M71" s="129"/>
    </row>
    <row r="72" spans="1:14" s="31" customFormat="1" x14ac:dyDescent="0.25">
      <c r="A72" s="248" t="s">
        <v>268</v>
      </c>
      <c r="B72" s="34" t="s">
        <v>269</v>
      </c>
      <c r="C72" s="34"/>
      <c r="D72" s="35"/>
      <c r="E72" s="115"/>
      <c r="F72" s="36"/>
      <c r="G72" s="116"/>
      <c r="H72" s="34"/>
      <c r="I72" s="34"/>
      <c r="J72" s="38"/>
      <c r="K72" s="115">
        <f>SUM(K38,K41)</f>
        <v>1117791</v>
      </c>
      <c r="L72" s="233"/>
      <c r="M72" s="38"/>
      <c r="N72" s="2"/>
    </row>
    <row r="73" spans="1:14" s="31" customFormat="1" x14ac:dyDescent="0.25">
      <c r="A73" s="248" t="s">
        <v>268</v>
      </c>
      <c r="B73" s="34" t="s">
        <v>270</v>
      </c>
      <c r="C73" s="34"/>
      <c r="D73" s="35"/>
      <c r="E73" s="115"/>
      <c r="F73" s="36"/>
      <c r="G73" s="116"/>
      <c r="H73" s="34"/>
      <c r="I73" s="34"/>
      <c r="J73" s="38"/>
      <c r="K73" s="115">
        <f>K39</f>
        <v>1133726.36363636</v>
      </c>
      <c r="L73" s="233"/>
      <c r="M73" s="38"/>
      <c r="N73" s="2"/>
    </row>
    <row r="74" spans="1:14" s="31" customFormat="1" x14ac:dyDescent="0.25">
      <c r="A74" s="248" t="s">
        <v>268</v>
      </c>
      <c r="B74" s="34" t="s">
        <v>271</v>
      </c>
      <c r="C74" s="34"/>
      <c r="D74" s="35"/>
      <c r="E74" s="115"/>
      <c r="F74" s="36"/>
      <c r="G74" s="116"/>
      <c r="H74" s="34"/>
      <c r="I74" s="34"/>
      <c r="J74" s="38"/>
      <c r="K74" s="115">
        <f>-K45</f>
        <v>-1564170</v>
      </c>
      <c r="L74" s="233"/>
      <c r="M74" s="38"/>
      <c r="N74" s="2"/>
    </row>
    <row r="75" spans="1:14" s="31" customFormat="1" x14ac:dyDescent="0.25">
      <c r="A75" s="248" t="s">
        <v>268</v>
      </c>
      <c r="B75" s="34" t="s">
        <v>272</v>
      </c>
      <c r="C75" s="34"/>
      <c r="D75" s="35"/>
      <c r="E75" s="115"/>
      <c r="F75" s="36"/>
      <c r="G75" s="116"/>
      <c r="H75" s="34"/>
      <c r="I75" s="34"/>
      <c r="J75" s="38"/>
      <c r="K75" s="115">
        <f>-SUM(K43,K44)</f>
        <v>-2944354.0606060578</v>
      </c>
      <c r="L75" s="233"/>
      <c r="M75" s="38"/>
      <c r="N75" s="2"/>
    </row>
    <row r="76" spans="1:14" x14ac:dyDescent="0.25">
      <c r="A76" s="34"/>
      <c r="B76" s="83"/>
      <c r="C76" s="83"/>
      <c r="D76" s="35"/>
      <c r="E76" s="85"/>
      <c r="F76" s="36"/>
      <c r="G76" s="86"/>
      <c r="H76" s="34"/>
      <c r="I76" s="83"/>
      <c r="J76" s="38"/>
      <c r="K76" s="38"/>
      <c r="L76" s="233"/>
      <c r="M76" s="129"/>
    </row>
    <row r="77" spans="1:14" s="100" customFormat="1" ht="12.75" x14ac:dyDescent="0.2">
      <c r="A77" s="129"/>
      <c r="B77" s="83"/>
      <c r="C77" s="83"/>
      <c r="D77" s="79"/>
      <c r="E77" s="85"/>
      <c r="F77" s="83"/>
      <c r="G77" s="86"/>
      <c r="H77" s="86"/>
      <c r="I77" s="83"/>
      <c r="J77" s="34"/>
      <c r="K77" s="36"/>
      <c r="L77" s="235"/>
      <c r="M77" s="129"/>
    </row>
    <row r="78" spans="1:14" s="15" customFormat="1" ht="12.75" x14ac:dyDescent="0.2">
      <c r="A78" s="58" t="s">
        <v>273</v>
      </c>
      <c r="B78" s="156"/>
      <c r="C78" s="156"/>
      <c r="D78" s="156"/>
      <c r="E78" s="246"/>
      <c r="F78" s="156"/>
      <c r="G78" s="156"/>
      <c r="H78" s="156"/>
      <c r="I78" s="156"/>
      <c r="J78" s="156"/>
      <c r="K78" s="246">
        <f>SUM(K72:K76)</f>
        <v>-2257006.6969696977</v>
      </c>
      <c r="L78" s="238"/>
      <c r="M78" s="156"/>
    </row>
    <row r="79" spans="1:14" s="100" customFormat="1" ht="12.75" x14ac:dyDescent="0.2">
      <c r="A79" s="34"/>
      <c r="B79" s="83"/>
      <c r="C79" s="83"/>
      <c r="D79" s="247"/>
      <c r="E79" s="85"/>
      <c r="F79" s="85"/>
      <c r="G79" s="86"/>
      <c r="H79" s="83"/>
      <c r="I79" s="83"/>
      <c r="J79" s="34"/>
      <c r="K79" s="34"/>
      <c r="L79" s="233"/>
      <c r="M79" s="129"/>
    </row>
    <row r="80" spans="1:14" x14ac:dyDescent="0.25">
      <c r="A80" s="34"/>
      <c r="B80" s="83"/>
      <c r="C80" s="83"/>
      <c r="D80" s="247"/>
      <c r="E80" s="85"/>
      <c r="F80" s="85"/>
      <c r="G80" s="86"/>
      <c r="H80" s="83"/>
      <c r="I80" s="83"/>
      <c r="J80" s="34"/>
      <c r="K80" s="34"/>
      <c r="L80" s="233"/>
      <c r="M80" s="129"/>
    </row>
    <row r="81" spans="1:13" s="15" customFormat="1" ht="12.75" x14ac:dyDescent="0.2">
      <c r="A81" s="58" t="s">
        <v>11</v>
      </c>
      <c r="B81" s="156"/>
      <c r="C81" s="156"/>
      <c r="D81" s="156"/>
      <c r="E81" s="246"/>
      <c r="F81" s="156"/>
      <c r="G81" s="156"/>
      <c r="H81" s="156"/>
      <c r="I81" s="156"/>
      <c r="J81" s="156"/>
      <c r="K81" s="246">
        <f>SUM(K24,K26,K36,K50,K70)</f>
        <v>24609463.217934251</v>
      </c>
      <c r="L81" s="238">
        <f>Table13895[[#This Row],[Current Value Allocation]]/$K$2</f>
        <v>1</v>
      </c>
      <c r="M81" s="156"/>
    </row>
    <row r="82" spans="1:13" x14ac:dyDescent="0.25">
      <c r="A82" s="129"/>
      <c r="B82" s="129"/>
      <c r="C82" s="129"/>
      <c r="D82" s="130"/>
      <c r="E82" s="249"/>
      <c r="F82" s="129"/>
      <c r="G82" s="131"/>
      <c r="H82" s="129"/>
      <c r="I82" s="129"/>
      <c r="J82" s="129"/>
      <c r="K82" s="129"/>
      <c r="L82" s="233"/>
      <c r="M82" s="129"/>
    </row>
    <row r="83" spans="1:13" x14ac:dyDescent="0.25">
      <c r="A83" s="129"/>
      <c r="B83" s="129"/>
      <c r="C83" s="129"/>
      <c r="D83" s="130"/>
      <c r="E83" s="249"/>
      <c r="F83" s="129"/>
      <c r="G83" s="131"/>
      <c r="H83" s="129"/>
      <c r="I83" s="129"/>
      <c r="J83" s="129"/>
      <c r="K83" s="129"/>
      <c r="L83" s="233"/>
      <c r="M83" s="129"/>
    </row>
    <row r="84" spans="1:13" x14ac:dyDescent="0.25">
      <c r="A84" s="129"/>
      <c r="B84" s="129"/>
      <c r="C84" s="129"/>
      <c r="D84" s="130"/>
      <c r="E84" s="249"/>
      <c r="F84" s="129"/>
      <c r="G84" s="131"/>
      <c r="H84" s="129"/>
      <c r="I84" s="129"/>
      <c r="J84" s="129"/>
      <c r="K84" s="129"/>
      <c r="L84" s="233"/>
      <c r="M84" s="129"/>
    </row>
    <row r="85" spans="1:13" x14ac:dyDescent="0.25">
      <c r="A85" s="129"/>
      <c r="B85" s="129"/>
      <c r="C85" s="129"/>
      <c r="D85" s="130"/>
      <c r="E85" s="249"/>
      <c r="F85" s="129"/>
      <c r="G85" s="131"/>
      <c r="H85" s="129"/>
      <c r="I85" s="129"/>
      <c r="J85" s="129"/>
      <c r="K85" s="129"/>
      <c r="L85" s="233"/>
      <c r="M85" s="129"/>
    </row>
    <row r="86" spans="1:13" x14ac:dyDescent="0.25">
      <c r="A86" s="129"/>
      <c r="B86" s="129"/>
      <c r="C86" s="129"/>
      <c r="D86" s="130"/>
      <c r="E86" s="249"/>
      <c r="F86" s="129"/>
      <c r="G86" s="131"/>
      <c r="H86" s="129"/>
      <c r="I86" s="129"/>
      <c r="J86" s="129"/>
      <c r="K86" s="129"/>
      <c r="L86" s="233"/>
      <c r="M86" s="129"/>
    </row>
    <row r="87" spans="1:13" x14ac:dyDescent="0.25">
      <c r="A87" s="129"/>
      <c r="B87" s="129"/>
      <c r="C87" s="129"/>
      <c r="D87" s="130"/>
      <c r="E87" s="249"/>
      <c r="F87" s="129"/>
      <c r="G87" s="131"/>
      <c r="H87" s="129"/>
      <c r="I87" s="129"/>
      <c r="J87" s="129"/>
      <c r="K87" s="129"/>
      <c r="L87" s="233"/>
      <c r="M87" s="129"/>
    </row>
    <row r="88" spans="1:13" x14ac:dyDescent="0.25">
      <c r="A88" s="129"/>
      <c r="B88" s="129"/>
      <c r="C88" s="129"/>
      <c r="D88" s="130"/>
      <c r="E88" s="249"/>
      <c r="F88" s="129"/>
      <c r="G88" s="131"/>
      <c r="H88" s="129"/>
      <c r="I88" s="129"/>
      <c r="J88" s="129"/>
      <c r="K88" s="129"/>
      <c r="L88" s="233"/>
      <c r="M88" s="129"/>
    </row>
    <row r="89" spans="1:13" x14ac:dyDescent="0.25">
      <c r="A89" s="129"/>
      <c r="B89" s="129"/>
      <c r="C89" s="129"/>
      <c r="D89" s="130"/>
      <c r="E89" s="249"/>
      <c r="F89" s="129"/>
      <c r="G89" s="131"/>
      <c r="H89" s="129"/>
      <c r="I89" s="129"/>
      <c r="J89" s="129"/>
      <c r="K89" s="129"/>
      <c r="L89" s="233"/>
      <c r="M89" s="129"/>
    </row>
    <row r="90" spans="1:13" x14ac:dyDescent="0.25">
      <c r="A90" s="129"/>
      <c r="B90" s="129"/>
      <c r="C90" s="129"/>
      <c r="D90" s="130"/>
      <c r="E90" s="249"/>
      <c r="F90" s="129"/>
      <c r="G90" s="131"/>
      <c r="H90" s="129"/>
      <c r="I90" s="129"/>
      <c r="J90" s="129"/>
      <c r="K90" s="129"/>
      <c r="L90" s="233"/>
      <c r="M90" s="129"/>
    </row>
    <row r="91" spans="1:13" s="2" customFormat="1" ht="12.75" x14ac:dyDescent="0.2"/>
    <row r="92" spans="1:13" s="2" customFormat="1" ht="12.75" x14ac:dyDescent="0.2"/>
    <row r="94" spans="1:13" s="2" customFormat="1" ht="12.75" x14ac:dyDescent="0.2">
      <c r="A94" s="136"/>
      <c r="B94" s="136"/>
      <c r="E94" s="136"/>
      <c r="F94" s="136"/>
      <c r="G94" s="136"/>
      <c r="H94" s="137"/>
      <c r="M94" s="136"/>
    </row>
    <row r="95" spans="1:13" s="2" customFormat="1" ht="12.75" x14ac:dyDescent="0.2">
      <c r="A95" s="136"/>
      <c r="B95" s="136"/>
      <c r="E95" s="136"/>
      <c r="F95" s="136"/>
      <c r="G95" s="136"/>
      <c r="H95" s="137"/>
      <c r="M95" s="136"/>
    </row>
    <row r="96" spans="1:13" s="2" customFormat="1" ht="12.75" x14ac:dyDescent="0.2">
      <c r="A96" s="138"/>
      <c r="B96" s="138"/>
    </row>
    <row r="97" spans="1:13" s="2" customFormat="1" ht="12.75" x14ac:dyDescent="0.2">
      <c r="A97" s="139"/>
      <c r="B97" s="139"/>
      <c r="E97" s="139"/>
      <c r="F97" s="138"/>
      <c r="G97" s="138"/>
      <c r="M97" s="140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zoomScaleNormal="100" workbookViewId="0">
      <selection activeCell="G21" sqref="G21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19.710937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16.42578125" customWidth="1"/>
    <col min="12" max="12" width="13.42578125" customWidth="1"/>
    <col min="13" max="13" width="16.42578125" style="2" customWidth="1"/>
    <col min="14" max="14" width="10.5703125" style="2" customWidth="1"/>
    <col min="15" max="15" width="13" style="2" customWidth="1"/>
    <col min="16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119</v>
      </c>
      <c r="C1" s="4">
        <v>44039</v>
      </c>
      <c r="D1" s="5"/>
      <c r="E1" s="6" t="s">
        <v>121</v>
      </c>
      <c r="F1" s="7"/>
      <c r="G1" s="8"/>
      <c r="K1" s="9" t="s">
        <v>122</v>
      </c>
      <c r="L1" s="9" t="s">
        <v>248</v>
      </c>
      <c r="M1" s="10" t="s">
        <v>123</v>
      </c>
    </row>
    <row r="2" spans="1:19" x14ac:dyDescent="0.25">
      <c r="A2" s="3"/>
      <c r="B2" s="3" t="s">
        <v>126</v>
      </c>
      <c r="C2" s="153">
        <v>3.35</v>
      </c>
      <c r="D2" s="12"/>
      <c r="E2" s="13">
        <f>SUM(E23,E35,E50,E70,E25)</f>
        <v>25892515.892864645</v>
      </c>
      <c r="F2" s="14"/>
      <c r="G2" s="15"/>
      <c r="H2" s="12"/>
      <c r="I2" s="12"/>
      <c r="J2" s="12"/>
      <c r="K2" s="13">
        <f>SUM(K23,K35,K50,K70,K25)</f>
        <v>26030535.218193512</v>
      </c>
      <c r="L2" s="141">
        <f>SUM(L50,L70,L35,L23,L25)</f>
        <v>0.99999999999999989</v>
      </c>
      <c r="M2" s="16">
        <f>K2/C6</f>
        <v>3.3678503447551469</v>
      </c>
      <c r="P2" s="17"/>
    </row>
    <row r="3" spans="1:19" ht="39" x14ac:dyDescent="0.25">
      <c r="A3" s="3"/>
      <c r="B3" s="3" t="s">
        <v>264</v>
      </c>
      <c r="C3" s="18">
        <v>7729124.6799999997</v>
      </c>
      <c r="D3" s="19"/>
      <c r="E3" s="6" t="s">
        <v>281</v>
      </c>
      <c r="F3" s="14"/>
      <c r="G3" s="15"/>
      <c r="H3" s="12"/>
      <c r="I3" s="12"/>
      <c r="J3" s="12"/>
      <c r="K3" s="9" t="s">
        <v>122</v>
      </c>
      <c r="L3" s="12"/>
      <c r="M3" s="10" t="s">
        <v>282</v>
      </c>
      <c r="P3" s="20"/>
    </row>
    <row r="4" spans="1:19" x14ac:dyDescent="0.25">
      <c r="A4" s="3"/>
      <c r="B4" s="3" t="s">
        <v>265</v>
      </c>
      <c r="C4" s="18">
        <v>0</v>
      </c>
      <c r="D4" s="19"/>
      <c r="E4" s="13">
        <f>SUM(E23,E70,E25)</f>
        <v>5955290.5659399992</v>
      </c>
      <c r="F4" s="14"/>
      <c r="G4" s="15"/>
      <c r="H4" s="12"/>
      <c r="I4" s="12"/>
      <c r="J4" s="12"/>
      <c r="K4" s="13">
        <f>SUM(K23,K70,K25)</f>
        <v>6131502.4715268444</v>
      </c>
      <c r="L4" s="12"/>
      <c r="M4" s="16">
        <f>K4/$C$6</f>
        <v>0.79329842969059783</v>
      </c>
      <c r="P4" s="20"/>
    </row>
    <row r="5" spans="1:19" x14ac:dyDescent="0.25">
      <c r="A5" s="3"/>
      <c r="B5" s="3" t="s">
        <v>266</v>
      </c>
      <c r="C5" s="18">
        <v>0</v>
      </c>
      <c r="D5" s="19"/>
      <c r="E5" s="14"/>
      <c r="F5" s="14"/>
      <c r="G5" s="15"/>
      <c r="H5" s="12"/>
      <c r="I5" s="12"/>
      <c r="J5" s="12"/>
      <c r="K5" s="12"/>
      <c r="L5" s="12"/>
      <c r="M5" s="12"/>
      <c r="P5" s="20"/>
    </row>
    <row r="6" spans="1:19" x14ac:dyDescent="0.25">
      <c r="A6" s="3"/>
      <c r="B6" s="3" t="s">
        <v>267</v>
      </c>
      <c r="C6" s="18">
        <f>C3+C4-C5</f>
        <v>7729124.6799999997</v>
      </c>
      <c r="D6" s="19"/>
      <c r="E6" s="14"/>
      <c r="F6" s="14"/>
      <c r="G6" s="15"/>
      <c r="H6" s="12"/>
      <c r="I6" s="12"/>
      <c r="J6" s="12"/>
      <c r="K6" s="12"/>
      <c r="L6" s="12"/>
      <c r="M6" s="12"/>
      <c r="P6" s="20"/>
    </row>
    <row r="7" spans="1:19" x14ac:dyDescent="0.25">
      <c r="A7" s="21"/>
      <c r="B7" s="22"/>
      <c r="C7" s="22"/>
      <c r="D7" s="23"/>
      <c r="E7" s="24"/>
      <c r="F7" s="24"/>
      <c r="G7" s="24"/>
      <c r="H7" s="25"/>
      <c r="I7" s="25"/>
      <c r="J7" s="25"/>
      <c r="K7" s="12"/>
      <c r="L7" s="12"/>
      <c r="M7" s="12"/>
      <c r="P7" s="20"/>
    </row>
    <row r="8" spans="1:19" s="252" customFormat="1" ht="38.25" x14ac:dyDescent="0.2">
      <c r="A8" s="26" t="s">
        <v>132</v>
      </c>
      <c r="B8" s="26" t="s">
        <v>133</v>
      </c>
      <c r="C8" s="250" t="s">
        <v>13</v>
      </c>
      <c r="D8" s="250" t="s">
        <v>134</v>
      </c>
      <c r="E8" s="250" t="s">
        <v>135</v>
      </c>
      <c r="F8" s="250" t="s">
        <v>136</v>
      </c>
      <c r="G8" s="250" t="s">
        <v>137</v>
      </c>
      <c r="H8" s="250" t="s">
        <v>138</v>
      </c>
      <c r="I8" s="250" t="s">
        <v>139</v>
      </c>
      <c r="J8" s="250" t="s">
        <v>140</v>
      </c>
      <c r="K8" s="251" t="s">
        <v>142</v>
      </c>
      <c r="L8" s="251" t="s">
        <v>143</v>
      </c>
      <c r="M8" s="251" t="s">
        <v>144</v>
      </c>
      <c r="P8" s="253"/>
      <c r="S8" s="254"/>
    </row>
    <row r="9" spans="1:19" s="31" customFormat="1" ht="12.75" x14ac:dyDescent="0.2">
      <c r="A9" s="34" t="s">
        <v>127</v>
      </c>
      <c r="B9" s="34" t="s">
        <v>7</v>
      </c>
      <c r="C9" s="34" t="s">
        <v>31</v>
      </c>
      <c r="D9" s="35">
        <v>1.2500000000000001E-2</v>
      </c>
      <c r="E9" s="36">
        <f>Table138958[[#This Row],[Target Allocation (%)]]*$C$6*$C$2</f>
        <v>323657.095975</v>
      </c>
      <c r="F9" s="36">
        <f>INDEX('TWS data'!M:M,MATCH(Table138958[[#This Row],[IB Ticker]],'TWS data'!B:B,0))</f>
        <v>406.03008298755185</v>
      </c>
      <c r="G9" s="37">
        <f>Table138958[[#This Row],[Target Value Allocation (USD)]]/Table138958[[#This Row],[Last price]]</f>
        <v>797.12590159218018</v>
      </c>
      <c r="H9" s="34">
        <f>INDEX('TWS data'!F:F,MATCH(Table138958[[#This Row],[IB Ticker]],'TWS data'!B:B,0))</f>
        <v>964</v>
      </c>
      <c r="I9" s="34">
        <v>797</v>
      </c>
      <c r="J9" s="162">
        <f t="shared" ref="J9:J21" si="0">I9-H9</f>
        <v>-167</v>
      </c>
      <c r="K9" s="115">
        <f>Table138958[[#This Row],[Last price]]*Table138958[[#This Row],[Current Quantity]]</f>
        <v>323605.97614107881</v>
      </c>
      <c r="L9" s="233">
        <f>Table138958[[#This Row],[Current Value Allocation]]/$K$2</f>
        <v>1.2431783420069712E-2</v>
      </c>
      <c r="M9" s="38"/>
      <c r="O9" s="2"/>
      <c r="P9" s="42"/>
    </row>
    <row r="10" spans="1:19" s="31" customFormat="1" ht="25.5" customHeight="1" x14ac:dyDescent="0.25">
      <c r="A10" s="34" t="s">
        <v>127</v>
      </c>
      <c r="B10" s="34" t="s">
        <v>8</v>
      </c>
      <c r="C10" s="34" t="s">
        <v>34</v>
      </c>
      <c r="D10" s="35">
        <v>1.2500000000000001E-2</v>
      </c>
      <c r="E10" s="36">
        <f>Table138958[[#This Row],[Target Allocation (%)]]*$C$6*$C$2</f>
        <v>323657.095975</v>
      </c>
      <c r="F10" s="36">
        <f>INDEX('TWS data'!M:M,MATCH(Table138958[[#This Row],[IB Ticker]],'TWS data'!B:B,0))</f>
        <v>615</v>
      </c>
      <c r="G10" s="37">
        <f>Table138958[[#This Row],[Target Value Allocation (USD)]]/Table138958[[#This Row],[Last price]]</f>
        <v>526.27170077235769</v>
      </c>
      <c r="H10" s="34">
        <f>INDEX('TWS data'!F:F,MATCH(Table138958[[#This Row],[IB Ticker]],'TWS data'!B:B,0))</f>
        <v>611</v>
      </c>
      <c r="I10" s="34">
        <v>526</v>
      </c>
      <c r="J10" s="162">
        <f t="shared" si="0"/>
        <v>-85</v>
      </c>
      <c r="K10" s="115">
        <f>Table138958[[#This Row],[Last price]]*Table138958[[#This Row],[Current Quantity]]</f>
        <v>323490</v>
      </c>
      <c r="L10" s="233">
        <f>Table138958[[#This Row],[Current Value Allocation]]/$K$2</f>
        <v>1.2427328031807169E-2</v>
      </c>
      <c r="M10" s="38"/>
      <c r="P10" s="42"/>
    </row>
    <row r="11" spans="1:19" s="31" customFormat="1" ht="12.75" customHeight="1" x14ac:dyDescent="0.25">
      <c r="A11" s="34" t="s">
        <v>127</v>
      </c>
      <c r="B11" s="34" t="s">
        <v>9</v>
      </c>
      <c r="C11" s="34" t="s">
        <v>35</v>
      </c>
      <c r="D11" s="35">
        <v>1.2500000000000001E-2</v>
      </c>
      <c r="E11" s="36">
        <f>Table138958[[#This Row],[Target Allocation (%)]]*$C$6*$C$2</f>
        <v>323657.095975</v>
      </c>
      <c r="F11" s="36">
        <f>INDEX('TWS data'!M:M,MATCH(Table138958[[#This Row],[IB Ticker]],'TWS data'!B:B,0))</f>
        <v>168.8149005090236</v>
      </c>
      <c r="G11" s="37">
        <f>Table138958[[#This Row],[Target Value Allocation (USD)]]/Table138958[[#This Row],[Last price]]</f>
        <v>1917.2306176710963</v>
      </c>
      <c r="H11" s="34">
        <f>INDEX('TWS data'!F:F,MATCH(Table138958[[#This Row],[IB Ticker]],'TWS data'!B:B,0))</f>
        <v>2161</v>
      </c>
      <c r="I11" s="34">
        <v>1917</v>
      </c>
      <c r="J11" s="162">
        <f t="shared" si="0"/>
        <v>-244</v>
      </c>
      <c r="K11" s="115">
        <f>Table138958[[#This Row],[Last price]]*Table138958[[#This Row],[Current Quantity]]</f>
        <v>323618.16427579825</v>
      </c>
      <c r="L11" s="233">
        <f>Table138958[[#This Row],[Current Value Allocation]]/$K$2</f>
        <v>1.2432251644584393E-2</v>
      </c>
      <c r="M11" s="38"/>
      <c r="P11" s="42"/>
    </row>
    <row r="12" spans="1:19" s="31" customFormat="1" ht="12.75" customHeight="1" x14ac:dyDescent="0.25">
      <c r="A12" s="34" t="s">
        <v>127</v>
      </c>
      <c r="B12" s="34" t="s">
        <v>10</v>
      </c>
      <c r="C12" s="34" t="s">
        <v>36</v>
      </c>
      <c r="D12" s="35">
        <v>1.2500000000000001E-2</v>
      </c>
      <c r="E12" s="36">
        <f>Table138958[[#This Row],[Target Allocation (%)]]*$C$6*$C$2</f>
        <v>323657.095975</v>
      </c>
      <c r="F12" s="36">
        <f>INDEX('TWS data'!M:M,MATCH(Table138958[[#This Row],[IB Ticker]],'TWS data'!B:B,0))</f>
        <v>1402</v>
      </c>
      <c r="G12" s="37">
        <f>Table138958[[#This Row],[Target Value Allocation (USD)]]/Table138958[[#This Row],[Last price]]</f>
        <v>230.85384876961484</v>
      </c>
      <c r="H12" s="34">
        <f>INDEX('TWS data'!F:F,MATCH(Table138958[[#This Row],[IB Ticker]],'TWS data'!B:B,0))</f>
        <v>261</v>
      </c>
      <c r="I12" s="34">
        <v>231</v>
      </c>
      <c r="J12" s="162">
        <f t="shared" si="0"/>
        <v>-30</v>
      </c>
      <c r="K12" s="115">
        <f>Table138958[[#This Row],[Last price]]*Table138958[[#This Row],[Current Quantity]]</f>
        <v>323862</v>
      </c>
      <c r="L12" s="233">
        <f>Table138958[[#This Row],[Current Value Allocation]]/$K$2</f>
        <v>1.2441618940422065E-2</v>
      </c>
      <c r="M12" s="38"/>
    </row>
    <row r="13" spans="1:19" s="31" customFormat="1" ht="12.75" customHeight="1" x14ac:dyDescent="0.25">
      <c r="A13" s="34" t="s">
        <v>127</v>
      </c>
      <c r="B13" s="34" t="s">
        <v>0</v>
      </c>
      <c r="C13" s="34" t="s">
        <v>23</v>
      </c>
      <c r="D13" s="35">
        <v>1.2500000000000001E-2</v>
      </c>
      <c r="E13" s="36">
        <f>Table138958[[#This Row],[Target Allocation (%)]]*$C$6*$C$2</f>
        <v>323657.095975</v>
      </c>
      <c r="F13" s="36">
        <f>INDEX('TWS data'!M:M,MATCH(Table138958[[#This Row],[IB Ticker]],'TWS data'!B:B,0))</f>
        <v>369.70029382957887</v>
      </c>
      <c r="G13" s="37">
        <f>Table138958[[#This Row],[Target Value Allocation (USD)]]/Table138958[[#This Row],[Last price]]</f>
        <v>875.45804365575259</v>
      </c>
      <c r="H13" s="34">
        <f>INDEX('TWS data'!F:F,MATCH(Table138958[[#This Row],[IB Ticker]],'TWS data'!B:B,0))</f>
        <v>1021</v>
      </c>
      <c r="I13" s="34">
        <v>875</v>
      </c>
      <c r="J13" s="162">
        <f t="shared" si="0"/>
        <v>-146</v>
      </c>
      <c r="K13" s="115">
        <f>Table138958[[#This Row],[Last price]]*Table138958[[#This Row],[Current Quantity]]</f>
        <v>323487.75710088148</v>
      </c>
      <c r="L13" s="233">
        <f>Table138958[[#This Row],[Current Value Allocation]]/$K$2</f>
        <v>1.2427241867650355E-2</v>
      </c>
      <c r="M13" s="38"/>
    </row>
    <row r="14" spans="1:19" s="31" customFormat="1" ht="12.75" customHeight="1" x14ac:dyDescent="0.25">
      <c r="A14" s="34" t="s">
        <v>127</v>
      </c>
      <c r="B14" s="34" t="s">
        <v>3</v>
      </c>
      <c r="C14" s="34" t="s">
        <v>26</v>
      </c>
      <c r="D14" s="35">
        <v>1.2500000000000001E-2</v>
      </c>
      <c r="E14" s="36">
        <f>Table138958[[#This Row],[Target Allocation (%)]]*$C$6*$C$2</f>
        <v>323657.095975</v>
      </c>
      <c r="F14" s="36">
        <f>INDEX('TWS data'!M:M,MATCH(Table138958[[#This Row],[IB Ticker]],'TWS data'!B:B,0))</f>
        <v>423</v>
      </c>
      <c r="G14" s="37">
        <f>Table138958[[#This Row],[Target Value Allocation (USD)]]/Table138958[[#This Row],[Last price]]</f>
        <v>765.14679899527187</v>
      </c>
      <c r="H14" s="34">
        <f>INDEX('TWS data'!F:F,MATCH(Table138958[[#This Row],[IB Ticker]],'TWS data'!B:B,0))</f>
        <v>924</v>
      </c>
      <c r="I14" s="34">
        <v>765</v>
      </c>
      <c r="J14" s="162">
        <f t="shared" si="0"/>
        <v>-159</v>
      </c>
      <c r="K14" s="115">
        <f>Table138958[[#This Row],[Last price]]*Table138958[[#This Row],[Current Quantity]]</f>
        <v>323595</v>
      </c>
      <c r="L14" s="233">
        <f>Table138958[[#This Row],[Current Value Allocation]]/$K$2</f>
        <v>1.2431361756012987E-2</v>
      </c>
      <c r="M14" s="38"/>
    </row>
    <row r="15" spans="1:19" s="31" customFormat="1" ht="12.75" customHeight="1" x14ac:dyDescent="0.25">
      <c r="A15" s="34" t="s">
        <v>127</v>
      </c>
      <c r="B15" s="34" t="s">
        <v>37</v>
      </c>
      <c r="C15" s="34" t="s">
        <v>38</v>
      </c>
      <c r="D15" s="35">
        <v>1.2500000000000001E-2</v>
      </c>
      <c r="E15" s="36">
        <f>Table138958[[#This Row],[Target Allocation (%)]]*$C$6*$C$2</f>
        <v>323657.095975</v>
      </c>
      <c r="F15" s="36">
        <f>INDEX('TWS data'!M:M,MATCH(Table138958[[#This Row],[IB Ticker]],'TWS data'!B:B,0))</f>
        <v>262.6597614563716</v>
      </c>
      <c r="G15" s="37">
        <f>Table138958[[#This Row],[Target Value Allocation (USD)]]/Table138958[[#This Row],[Last price]]</f>
        <v>1232.2294598168216</v>
      </c>
      <c r="H15" s="34">
        <f>INDEX('TWS data'!F:F,MATCH(Table138958[[#This Row],[IB Ticker]],'TWS data'!B:B,0))</f>
        <v>1593</v>
      </c>
      <c r="I15" s="34">
        <v>1232</v>
      </c>
      <c r="J15" s="162">
        <f t="shared" si="0"/>
        <v>-361</v>
      </c>
      <c r="K15" s="115">
        <f>Table138958[[#This Row],[Last price]]*Table138958[[#This Row],[Current Quantity]]</f>
        <v>323596.82611424982</v>
      </c>
      <c r="L15" s="233">
        <f>Table138958[[#This Row],[Current Value Allocation]]/$K$2</f>
        <v>1.2431431908786816E-2</v>
      </c>
      <c r="M15" s="38"/>
    </row>
    <row r="16" spans="1:19" s="31" customFormat="1" ht="12.75" customHeight="1" x14ac:dyDescent="0.25">
      <c r="A16" s="34" t="s">
        <v>127</v>
      </c>
      <c r="B16" s="34" t="s">
        <v>6</v>
      </c>
      <c r="C16" s="34" t="s">
        <v>28</v>
      </c>
      <c r="D16" s="35">
        <v>1.2500000000000001E-2</v>
      </c>
      <c r="E16" s="36">
        <f>Table138958[[#This Row],[Target Allocation (%)]]*$C$6*$C$2</f>
        <v>323657.095975</v>
      </c>
      <c r="F16" s="36">
        <f>INDEX('TWS data'!M:M,MATCH(Table138958[[#This Row],[IB Ticker]],'TWS data'!B:B,0))</f>
        <v>60.839968404423381</v>
      </c>
      <c r="G16" s="37">
        <f>Table138958[[#This Row],[Target Value Allocation (USD)]]/Table138958[[#This Row],[Last price]]</f>
        <v>5319.8103888474152</v>
      </c>
      <c r="H16" s="34">
        <f>INDEX('TWS data'!F:F,MATCH(Table138958[[#This Row],[IB Ticker]],'TWS data'!B:B,0))</f>
        <v>6330</v>
      </c>
      <c r="I16" s="34">
        <v>5320</v>
      </c>
      <c r="J16" s="162">
        <f t="shared" si="0"/>
        <v>-1010</v>
      </c>
      <c r="K16" s="115">
        <f>Table138958[[#This Row],[Last price]]*Table138958[[#This Row],[Current Quantity]]</f>
        <v>323668.63191153237</v>
      </c>
      <c r="L16" s="233">
        <f>Table138958[[#This Row],[Current Value Allocation]]/$K$2</f>
        <v>1.2434190430526022E-2</v>
      </c>
      <c r="M16" s="38"/>
    </row>
    <row r="17" spans="1:17" s="31" customFormat="1" ht="12.75" customHeight="1" x14ac:dyDescent="0.25">
      <c r="A17" s="34" t="s">
        <v>127</v>
      </c>
      <c r="B17" s="34" t="s">
        <v>29</v>
      </c>
      <c r="C17" s="34" t="s">
        <v>30</v>
      </c>
      <c r="D17" s="35">
        <v>1.2500000000000001E-2</v>
      </c>
      <c r="E17" s="36">
        <f>Table138958[[#This Row],[Target Allocation (%)]]*$C$6*$C$2</f>
        <v>323657.095975</v>
      </c>
      <c r="F17" s="36">
        <f>INDEX('TWS data'!M:M,MATCH(Table138958[[#This Row],[IB Ticker]],'TWS data'!B:B,0))</f>
        <v>448.33023255813953</v>
      </c>
      <c r="G17" s="37">
        <f>Table138958[[#This Row],[Target Value Allocation (USD)]]/Table138958[[#This Row],[Last price]]</f>
        <v>721.91673117433163</v>
      </c>
      <c r="H17" s="34">
        <f>INDEX('TWS data'!F:F,MATCH(Table138958[[#This Row],[IB Ticker]],'TWS data'!B:B,0))</f>
        <v>860</v>
      </c>
      <c r="I17" s="34">
        <v>722</v>
      </c>
      <c r="J17" s="162">
        <f t="shared" si="0"/>
        <v>-138</v>
      </c>
      <c r="K17" s="115">
        <f>Table138958[[#This Row],[Last price]]*Table138958[[#This Row],[Current Quantity]]</f>
        <v>323694.42790697672</v>
      </c>
      <c r="L17" s="233">
        <f>Table138958[[#This Row],[Current Value Allocation]]/$K$2</f>
        <v>1.2435181420347326E-2</v>
      </c>
      <c r="M17" s="34"/>
    </row>
    <row r="18" spans="1:17" s="31" customFormat="1" ht="12.75" customHeight="1" x14ac:dyDescent="0.25">
      <c r="A18" s="34" t="s">
        <v>127</v>
      </c>
      <c r="B18" s="234" t="s">
        <v>32</v>
      </c>
      <c r="C18" s="34" t="s">
        <v>33</v>
      </c>
      <c r="D18" s="35">
        <v>0</v>
      </c>
      <c r="E18" s="36">
        <f>Table138958[[#This Row],[Target Allocation (%)]]*$C$6*$C$2</f>
        <v>0</v>
      </c>
      <c r="F18" s="36">
        <f>INDEX('TWS data'!M:M,MATCH(Table138958[[#This Row],[IB Ticker]],'TWS data'!B:B,0))</f>
        <v>182.23981042654029</v>
      </c>
      <c r="G18" s="37">
        <f>Table138958[[#This Row],[Target Value Allocation (USD)]]/Table138958[[#This Row],[Last price]]</f>
        <v>0</v>
      </c>
      <c r="H18" s="34">
        <f>INDEX('TWS data'!F:F,MATCH(Table138958[[#This Row],[IB Ticker]],'TWS data'!B:B,0))</f>
        <v>2110</v>
      </c>
      <c r="I18" s="34">
        <v>0</v>
      </c>
      <c r="J18" s="162">
        <f t="shared" si="0"/>
        <v>-2110</v>
      </c>
      <c r="K18" s="115">
        <f>Table138958[[#This Row],[Last price]]*Table138958[[#This Row],[Current Quantity]]</f>
        <v>0</v>
      </c>
      <c r="L18" s="233">
        <f>Table138958[[#This Row],[Current Value Allocation]]/$K$2</f>
        <v>0</v>
      </c>
      <c r="M18" s="34"/>
    </row>
    <row r="19" spans="1:17" s="31" customFormat="1" ht="12.75" customHeight="1" x14ac:dyDescent="0.25">
      <c r="A19" s="34" t="s">
        <v>127</v>
      </c>
      <c r="B19" s="234" t="s">
        <v>274</v>
      </c>
      <c r="C19" s="34" t="s">
        <v>275</v>
      </c>
      <c r="D19" s="35">
        <v>1.2500000000000001E-2</v>
      </c>
      <c r="E19" s="36">
        <f>Table138958[[#This Row],[Target Allocation (%)]]*$C$6*$C$2</f>
        <v>323657.095975</v>
      </c>
      <c r="F19" s="36">
        <v>66.75</v>
      </c>
      <c r="G19" s="37">
        <f>Table138958[[#This Row],[Target Value Allocation (USD)]]/Table138958[[#This Row],[Last price]]</f>
        <v>4848.795445318352</v>
      </c>
      <c r="H19" s="34">
        <v>0</v>
      </c>
      <c r="I19" s="34">
        <v>4849</v>
      </c>
      <c r="J19" s="162">
        <f t="shared" si="0"/>
        <v>4849</v>
      </c>
      <c r="K19" s="115">
        <f>Table138958[[#This Row],[Last price]]*Table138958[[#This Row],[Current Quantity]]</f>
        <v>323670.75</v>
      </c>
      <c r="L19" s="233">
        <f>Table138958[[#This Row],[Current Value Allocation]]/$K$2</f>
        <v>1.2434271799904327E-2</v>
      </c>
      <c r="M19" s="34"/>
    </row>
    <row r="20" spans="1:17" s="57" customFormat="1" ht="12.75" customHeight="1" x14ac:dyDescent="0.25">
      <c r="A20" s="34" t="s">
        <v>127</v>
      </c>
      <c r="B20" s="234" t="s">
        <v>1</v>
      </c>
      <c r="C20" s="34" t="s">
        <v>276</v>
      </c>
      <c r="D20" s="35">
        <v>1.2500000000000001E-2</v>
      </c>
      <c r="E20" s="36">
        <f>Table138958[[#This Row],[Target Allocation (%)]]*$C$6*$C$2</f>
        <v>323657.095975</v>
      </c>
      <c r="F20" s="36">
        <v>69.400000000000006</v>
      </c>
      <c r="G20" s="37">
        <f>Table138958[[#This Row],[Target Value Allocation (USD)]]/Table138958[[#This Row],[Last price]]</f>
        <v>4663.6469160662818</v>
      </c>
      <c r="H20" s="34">
        <v>0</v>
      </c>
      <c r="I20" s="34">
        <v>4664</v>
      </c>
      <c r="J20" s="162">
        <f t="shared" si="0"/>
        <v>4664</v>
      </c>
      <c r="K20" s="115">
        <f>Table138958[[#This Row],[Last price]]*Table138958[[#This Row],[Current Quantity]]</f>
        <v>323681.60000000003</v>
      </c>
      <c r="L20" s="233">
        <f>Table138958[[#This Row],[Current Value Allocation]]/$K$2</f>
        <v>1.2434688618072263E-2</v>
      </c>
      <c r="M20" s="34"/>
    </row>
    <row r="21" spans="1:17" s="57" customFormat="1" ht="12.75" customHeight="1" x14ac:dyDescent="0.25">
      <c r="A21" s="34" t="s">
        <v>127</v>
      </c>
      <c r="B21" s="234" t="s">
        <v>259</v>
      </c>
      <c r="C21" s="34" t="s">
        <v>260</v>
      </c>
      <c r="D21" s="35">
        <v>1.2500000000000001E-2</v>
      </c>
      <c r="E21" s="36">
        <f>Table138958[[#This Row],[Target Allocation (%)]]*$C$6*$C$2</f>
        <v>323657.095975</v>
      </c>
      <c r="F21" s="36">
        <f>123.37/7.0026</f>
        <v>17.61774198154971</v>
      </c>
      <c r="G21" s="37">
        <f>Table138958[[#This Row],[Target Value Allocation (USD)]]/Table138958[[#This Row],[Last price]]</f>
        <v>18371.088435393816</v>
      </c>
      <c r="H21" s="34">
        <v>0</v>
      </c>
      <c r="I21" s="34">
        <v>18400</v>
      </c>
      <c r="J21" s="162">
        <f t="shared" si="0"/>
        <v>18400</v>
      </c>
      <c r="K21" s="115">
        <f>Table138958[[#This Row],[Last price]]*Table138958[[#This Row],[Current Quantity]]</f>
        <v>324166.45246051467</v>
      </c>
      <c r="L21" s="233">
        <f>Table138958[[#This Row],[Current Value Allocation]]/$K$2</f>
        <v>1.245331491432205E-2</v>
      </c>
      <c r="M21" s="34"/>
    </row>
    <row r="22" spans="1:17" s="57" customFormat="1" ht="12.75" customHeight="1" x14ac:dyDescent="0.25">
      <c r="A22" s="34"/>
      <c r="B22" s="34"/>
      <c r="C22" s="34"/>
      <c r="D22" s="35"/>
      <c r="E22" s="36"/>
      <c r="F22" s="36"/>
      <c r="G22" s="37"/>
      <c r="H22" s="34"/>
      <c r="I22" s="34"/>
      <c r="J22" s="214"/>
      <c r="K22" s="36"/>
      <c r="L22" s="235"/>
      <c r="M22" s="34"/>
    </row>
    <row r="23" spans="1:17" s="68" customFormat="1" ht="12.75" customHeight="1" x14ac:dyDescent="0.25">
      <c r="A23" s="58" t="s">
        <v>158</v>
      </c>
      <c r="B23" s="58"/>
      <c r="C23" s="58"/>
      <c r="D23" s="236">
        <f>SUBTOTAL(9,D9:D22)</f>
        <v>0.15</v>
      </c>
      <c r="E23" s="237">
        <f>Table138958[[#This Row],[Target Allocation (%)]]*$C$6*$C$2</f>
        <v>3883885.1516999993</v>
      </c>
      <c r="F23" s="195"/>
      <c r="G23" s="205"/>
      <c r="H23" s="58"/>
      <c r="I23" s="58"/>
      <c r="J23" s="207"/>
      <c r="K23" s="237">
        <f>SUM(K9:K21)</f>
        <v>3884137.5859110323</v>
      </c>
      <c r="L23" s="238">
        <f>Table138958[[#This Row],[Current Value Allocation]]/$K$2</f>
        <v>0.1492146647525055</v>
      </c>
      <c r="M23" s="58"/>
    </row>
    <row r="24" spans="1:17" s="57" customFormat="1" ht="12.75" customHeight="1" x14ac:dyDescent="0.25">
      <c r="A24" s="34"/>
      <c r="B24" s="34"/>
      <c r="C24" s="34"/>
      <c r="D24" s="35"/>
      <c r="E24" s="36"/>
      <c r="F24" s="36"/>
      <c r="G24" s="37"/>
      <c r="H24" s="34"/>
      <c r="I24" s="34"/>
      <c r="J24" s="214"/>
      <c r="K24" s="36"/>
      <c r="L24" s="233"/>
      <c r="M24" s="34"/>
    </row>
    <row r="25" spans="1:17" s="31" customFormat="1" ht="12.75" customHeight="1" x14ac:dyDescent="0.25">
      <c r="A25" s="239"/>
      <c r="B25" s="58" t="s">
        <v>5</v>
      </c>
      <c r="C25" s="239" t="s">
        <v>27</v>
      </c>
      <c r="D25" s="240">
        <v>0.05</v>
      </c>
      <c r="E25" s="241">
        <f>Table138958[[#This Row],[Target Allocation (%)]]*$C$6*$C$2</f>
        <v>1294628.3839</v>
      </c>
      <c r="F25" s="241">
        <f>INDEX('TWS data'!M:M,MATCH(Table138958[[#This Row],[IB Ticker]],'TWS data'!B:B,0))</f>
        <v>18.169993669550539</v>
      </c>
      <c r="G25" s="242">
        <f>Table138958[[#This Row],[Target Value Allocation (USD)]]/Table138958[[#This Row],[Last price]]</f>
        <v>71250.899006616135</v>
      </c>
      <c r="H25" s="239">
        <f>INDEX('TWS data'!F:F,MATCH(Table138958[[#This Row],[IB Ticker]],'TWS data'!B:B,0))</f>
        <v>71085</v>
      </c>
      <c r="I25" s="239">
        <v>71251</v>
      </c>
      <c r="J25" s="197">
        <f>I25-H25</f>
        <v>166</v>
      </c>
      <c r="K25" s="195">
        <f>Table138958[[#This Row],[Last price]]*Table138958[[#This Row],[Current Quantity]]</f>
        <v>1294630.2189491454</v>
      </c>
      <c r="L25" s="238">
        <f>Table138958[[#This Row],[Current Value Allocation]]/$K$2</f>
        <v>4.9735059540546439E-2</v>
      </c>
      <c r="M25" s="58"/>
      <c r="Q25" s="42"/>
    </row>
    <row r="26" spans="1:17" s="31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214"/>
      <c r="K26" s="115"/>
      <c r="L26" s="233"/>
      <c r="M26" s="34"/>
      <c r="Q26" s="42"/>
    </row>
    <row r="27" spans="1:17" ht="26.25" x14ac:dyDescent="0.25">
      <c r="A27" s="34" t="s">
        <v>128</v>
      </c>
      <c r="B27" s="83" t="s">
        <v>94</v>
      </c>
      <c r="C27" s="83" t="s">
        <v>95</v>
      </c>
      <c r="D27" s="35">
        <v>4.5713999999999998E-2</v>
      </c>
      <c r="E27" s="36">
        <f>Table138958[[#This Row],[Target Allocation (%)]]*$C$6*$C$2</f>
        <v>1183652.8388320918</v>
      </c>
      <c r="F27" s="36">
        <f>INDEX('TWS data'!M:M,MATCH(Table138958[[#This Row],[IB Ticker]],'TWS data'!B:B,0))</f>
        <v>158506</v>
      </c>
      <c r="G27" s="86">
        <f>Table138958[[#This Row],[Target Value Allocation (USD)]]/Table138958[[#This Row],[Last price]]</f>
        <v>7.4675585708559407</v>
      </c>
      <c r="H27" s="34">
        <f>INDEX('TWS data'!F:F,MATCH(Table138958[[#This Row],[IB Ticker]],'TWS data'!B:B,0))</f>
        <v>7</v>
      </c>
      <c r="I27" s="34">
        <v>7</v>
      </c>
      <c r="J27" s="162">
        <f t="shared" ref="J27:J33" si="1">I27-H27</f>
        <v>0</v>
      </c>
      <c r="K27" s="115">
        <f>Table138958[[#This Row],[Last price]]*Table138958[[#This Row],[Current Quantity]]</f>
        <v>1109542</v>
      </c>
      <c r="L27" s="233">
        <f>Table138958[[#This Row],[Current Value Allocation]]/$K$2</f>
        <v>4.2624632597815668E-2</v>
      </c>
      <c r="M27" s="129"/>
    </row>
    <row r="28" spans="1:17" ht="26.25" x14ac:dyDescent="0.25">
      <c r="A28" s="34" t="s">
        <v>128</v>
      </c>
      <c r="B28" s="83" t="s">
        <v>98</v>
      </c>
      <c r="C28" s="83" t="s">
        <v>99</v>
      </c>
      <c r="D28" s="35">
        <v>4.5713999999999998E-2</v>
      </c>
      <c r="E28" s="36">
        <f>Table138958[[#This Row],[Target Allocation (%)]]*$C$6*$C$2</f>
        <v>1183652.8388320918</v>
      </c>
      <c r="F28" s="36">
        <f>INDEX('TWS data'!M:M,MATCH(Table138958[[#This Row],[IB Ticker]],'TWS data'!B:B,0))</f>
        <v>226144.6</v>
      </c>
      <c r="G28" s="86">
        <f>Table138958[[#This Row],[Target Value Allocation (USD)]]/Table138958[[#This Row],[Last price]]</f>
        <v>5.2340530741485392</v>
      </c>
      <c r="H28" s="34">
        <f>INDEX('TWS data'!F:F,MATCH(Table138958[[#This Row],[IB Ticker]],'TWS data'!B:B,0))</f>
        <v>5</v>
      </c>
      <c r="I28" s="34">
        <v>5</v>
      </c>
      <c r="J28" s="162">
        <f t="shared" si="1"/>
        <v>0</v>
      </c>
      <c r="K28" s="115">
        <f>Table138958[[#This Row],[Last price]]*Table138958[[#This Row],[Current Quantity]]</f>
        <v>1130723</v>
      </c>
      <c r="L28" s="233">
        <f>Table138958[[#This Row],[Current Value Allocation]]/$K$2</f>
        <v>4.3438330811181487E-2</v>
      </c>
      <c r="M28" s="129"/>
    </row>
    <row r="29" spans="1:17" ht="26.25" x14ac:dyDescent="0.25">
      <c r="A29" s="34" t="s">
        <v>128</v>
      </c>
      <c r="B29" s="83" t="s">
        <v>101</v>
      </c>
      <c r="C29" s="83" t="s">
        <v>102</v>
      </c>
      <c r="D29" s="35">
        <v>4.5713999999999998E-2</v>
      </c>
      <c r="E29" s="36">
        <f>Table138958[[#This Row],[Target Allocation (%)]]*$C$6*$C$2</f>
        <v>1183652.8388320918</v>
      </c>
      <c r="F29" s="36">
        <f>INDEX('TWS data'!M:M,MATCH(Table138958[[#This Row],[IB Ticker]],'TWS data'!B:B,0))</f>
        <v>181198.66666666666</v>
      </c>
      <c r="G29" s="86">
        <f>Table138958[[#This Row],[Target Value Allocation (USD)]]/Table138958[[#This Row],[Last price]]</f>
        <v>6.5323485023735923</v>
      </c>
      <c r="H29" s="34">
        <f>INDEX('TWS data'!F:F,MATCH(Table138958[[#This Row],[IB Ticker]],'TWS data'!B:B,0))</f>
        <v>6</v>
      </c>
      <c r="I29" s="34">
        <v>7</v>
      </c>
      <c r="J29" s="162">
        <f t="shared" si="1"/>
        <v>1</v>
      </c>
      <c r="K29" s="115">
        <f>Table138958[[#This Row],[Last price]]*Table138958[[#This Row],[Current Quantity]]</f>
        <v>1268390.6666666665</v>
      </c>
      <c r="L29" s="233">
        <f>Table138958[[#This Row],[Current Value Allocation]]/$K$2</f>
        <v>4.8727029853007045E-2</v>
      </c>
      <c r="M29" s="129"/>
    </row>
    <row r="30" spans="1:17" ht="26.25" x14ac:dyDescent="0.25">
      <c r="A30" s="34" t="s">
        <v>128</v>
      </c>
      <c r="B30" s="83" t="s">
        <v>104</v>
      </c>
      <c r="C30" s="83" t="s">
        <v>105</v>
      </c>
      <c r="D30" s="35">
        <v>4.5713999999999998E-2</v>
      </c>
      <c r="E30" s="36">
        <f>Table138958[[#This Row],[Target Allocation (%)]]*$C$6*$C$2</f>
        <v>1183652.8388320918</v>
      </c>
      <c r="F30" s="36">
        <f>INDEX('TWS data'!M:M,MATCH(Table138958[[#This Row],[IB Ticker]],'TWS data'!B:B,0))</f>
        <v>125823.11111111111</v>
      </c>
      <c r="G30" s="86">
        <f>Table138958[[#This Row],[Target Value Allocation (USD)]]/Table138958[[#This Row],[Last price]]</f>
        <v>9.4072768379319349</v>
      </c>
      <c r="H30" s="34">
        <f>INDEX('TWS data'!F:F,MATCH(Table138958[[#This Row],[IB Ticker]],'TWS data'!B:B,0))</f>
        <v>9</v>
      </c>
      <c r="I30" s="34">
        <v>9</v>
      </c>
      <c r="J30" s="162">
        <f t="shared" si="1"/>
        <v>0</v>
      </c>
      <c r="K30" s="115">
        <f>Table138958[[#This Row],[Last price]]*Table138958[[#This Row],[Current Quantity]]</f>
        <v>1132408</v>
      </c>
      <c r="L30" s="233">
        <f>Table138958[[#This Row],[Current Value Allocation]]/$K$2</f>
        <v>4.3503062480579599E-2</v>
      </c>
      <c r="M30" s="129"/>
    </row>
    <row r="31" spans="1:17" ht="26.25" x14ac:dyDescent="0.25">
      <c r="A31" s="34" t="s">
        <v>128</v>
      </c>
      <c r="B31" s="83" t="s">
        <v>107</v>
      </c>
      <c r="C31" s="83" t="s">
        <v>108</v>
      </c>
      <c r="D31" s="35">
        <v>4.5713999999999998E-2</v>
      </c>
      <c r="E31" s="36">
        <f>Table138958[[#This Row],[Target Allocation (%)]]*$C$6*$C$2</f>
        <v>1183652.8388320918</v>
      </c>
      <c r="F31" s="36">
        <f>INDEX('TWS data'!M:M,MATCH(Table138958[[#This Row],[IB Ticker]],'TWS data'!B:B,0))</f>
        <v>139611.375</v>
      </c>
      <c r="G31" s="86">
        <f>Table138958[[#This Row],[Target Value Allocation (USD)]]/Table138958[[#This Row],[Last price]]</f>
        <v>8.4781977029600331</v>
      </c>
      <c r="H31" s="34">
        <f>INDEX('TWS data'!F:F,MATCH(Table138958[[#This Row],[IB Ticker]],'TWS data'!B:B,0))</f>
        <v>8</v>
      </c>
      <c r="I31" s="34">
        <v>8</v>
      </c>
      <c r="J31" s="162">
        <f t="shared" si="1"/>
        <v>0</v>
      </c>
      <c r="K31" s="115">
        <f>Table138958[[#This Row],[Last price]]*Table138958[[#This Row],[Current Quantity]]</f>
        <v>1116891</v>
      </c>
      <c r="L31" s="233">
        <f>Table138958[[#This Row],[Current Value Allocation]]/$K$2</f>
        <v>4.2906954875801852E-2</v>
      </c>
      <c r="M31" s="129"/>
    </row>
    <row r="32" spans="1:17" ht="26.25" x14ac:dyDescent="0.25">
      <c r="A32" s="34" t="s">
        <v>128</v>
      </c>
      <c r="B32" s="255" t="s">
        <v>110</v>
      </c>
      <c r="C32" s="83" t="s">
        <v>111</v>
      </c>
      <c r="D32" s="35">
        <v>5.8500000000000003E-2</v>
      </c>
      <c r="E32" s="36">
        <f>Table138958[[#This Row],[Target Allocation (%)]]*$C$6*$C$2</f>
        <v>1514715.2091630001</v>
      </c>
      <c r="F32" s="36">
        <f>INDEX('TWS data'!M:M,MATCH(Table138958[[#This Row],[IB Ticker]],'TWS data'!B:B,0))</f>
        <v>416320</v>
      </c>
      <c r="G32" s="86">
        <f>Table138958[[#This Row],[Target Value Allocation (USD)]]/Table138958[[#This Row],[Last price]]</f>
        <v>3.63834360386962</v>
      </c>
      <c r="H32" s="34">
        <f>INDEX('TWS data'!F:F,MATCH(Table138958[[#This Row],[IB Ticker]],'TWS data'!B:B,0))</f>
        <v>4</v>
      </c>
      <c r="I32" s="34">
        <v>4</v>
      </c>
      <c r="J32" s="162">
        <f t="shared" si="1"/>
        <v>0</v>
      </c>
      <c r="K32" s="115">
        <f>Table138958[[#This Row],[Last price]]*Table138958[[#This Row],[Current Quantity]]</f>
        <v>1665280</v>
      </c>
      <c r="L32" s="233">
        <f>Table138958[[#This Row],[Current Value Allocation]]/$K$2</f>
        <v>6.3974097575838024E-2</v>
      </c>
      <c r="M32" s="129"/>
    </row>
    <row r="33" spans="1:17" ht="26.25" x14ac:dyDescent="0.25">
      <c r="A33" s="34" t="s">
        <v>128</v>
      </c>
      <c r="B33" s="83" t="s">
        <v>116</v>
      </c>
      <c r="C33" s="83" t="s">
        <v>117</v>
      </c>
      <c r="D33" s="35">
        <v>4.5713999999999998E-2</v>
      </c>
      <c r="E33" s="36">
        <f>Table138958[[#This Row],[Target Allocation (%)]]*$C$6*$C$2</f>
        <v>1183652.8388320918</v>
      </c>
      <c r="F33" s="36">
        <f>INDEX('TWS data'!M:M,MATCH(Table138958[[#This Row],[IB Ticker]],'TWS data'!B:B,0))</f>
        <v>220838</v>
      </c>
      <c r="G33" s="86">
        <f>Table138958[[#This Row],[Target Value Allocation (USD)]]/Table138958[[#This Row],[Last price]]</f>
        <v>5.3598241191828029</v>
      </c>
      <c r="H33" s="34">
        <f>INDEX('TWS data'!F:F,MATCH(Table138958[[#This Row],[IB Ticker]],'TWS data'!B:B,0))</f>
        <v>5</v>
      </c>
      <c r="I33" s="34">
        <v>5</v>
      </c>
      <c r="J33" s="162">
        <f t="shared" si="1"/>
        <v>0</v>
      </c>
      <c r="K33" s="115">
        <f>Table138958[[#This Row],[Last price]]*Table138958[[#This Row],[Current Quantity]]</f>
        <v>1104190</v>
      </c>
      <c r="L33" s="233">
        <f>Table138958[[#This Row],[Current Value Allocation]]/$K$2</f>
        <v>4.2419027912582022E-2</v>
      </c>
      <c r="M33" s="129"/>
    </row>
    <row r="34" spans="1:17" s="100" customFormat="1" ht="12.75" x14ac:dyDescent="0.2">
      <c r="A34" s="34"/>
      <c r="B34" s="83"/>
      <c r="C34" s="83"/>
      <c r="D34" s="35"/>
      <c r="E34" s="85"/>
      <c r="F34" s="36"/>
      <c r="G34" s="86"/>
      <c r="H34" s="34"/>
      <c r="I34" s="34"/>
      <c r="J34" s="214"/>
      <c r="K34" s="36"/>
      <c r="L34" s="235"/>
      <c r="M34" s="129"/>
    </row>
    <row r="35" spans="1:17" s="15" customFormat="1" ht="12.75" x14ac:dyDescent="0.2">
      <c r="A35" s="58" t="s">
        <v>159</v>
      </c>
      <c r="B35" s="156"/>
      <c r="C35" s="156"/>
      <c r="D35" s="240">
        <f>SUBTOTAL(9,D27:D34)</f>
        <v>0.33278399999999997</v>
      </c>
      <c r="E35" s="243">
        <f>Table138958[[#This Row],[Target Allocation (%)]]*$C$6*$C$2</f>
        <v>8616632.2421555519</v>
      </c>
      <c r="F35" s="241"/>
      <c r="G35" s="210"/>
      <c r="H35" s="239"/>
      <c r="I35" s="239"/>
      <c r="J35" s="197"/>
      <c r="K35" s="243">
        <f>SUM(K27:K33)</f>
        <v>8527424.666666666</v>
      </c>
      <c r="L35" s="244">
        <f>Table138958[[#This Row],[Current Value Allocation]]/$K$2</f>
        <v>0.32759313610680568</v>
      </c>
      <c r="M35" s="245"/>
    </row>
    <row r="36" spans="1:17" s="100" customFormat="1" ht="12.75" x14ac:dyDescent="0.2">
      <c r="A36" s="34"/>
      <c r="B36" s="83"/>
      <c r="C36" s="83"/>
      <c r="D36" s="35"/>
      <c r="E36" s="85"/>
      <c r="F36" s="36"/>
      <c r="G36" s="86"/>
      <c r="H36" s="34"/>
      <c r="I36" s="34"/>
      <c r="J36" s="214"/>
      <c r="K36" s="36"/>
      <c r="L36" s="233"/>
      <c r="M36" s="129"/>
    </row>
    <row r="37" spans="1:17" s="31" customFormat="1" ht="25.5" customHeight="1" x14ac:dyDescent="0.2">
      <c r="A37" s="34" t="s">
        <v>130</v>
      </c>
      <c r="B37" s="34" t="s">
        <v>39</v>
      </c>
      <c r="C37" s="34" t="s">
        <v>40</v>
      </c>
      <c r="D37" s="35">
        <v>2.0250000000000001E-2</v>
      </c>
      <c r="E37" s="36">
        <f>Table138958[[#This Row],[Target Allocation (%)]]*$C$6*$C$2</f>
        <v>524324.49547949992</v>
      </c>
      <c r="F37" s="36">
        <f>INDEX('TWS data'!M:M,MATCH(Table138958[[#This Row],[IB Ticker]],'TWS data'!B:B,0))</f>
        <v>93877.166666666672</v>
      </c>
      <c r="G37" s="37">
        <f>Table138958[[#This Row],[Target Value Allocation (USD)]]/Table138958[[#This Row],[Last price]]</f>
        <v>5.5852185797345104</v>
      </c>
      <c r="H37" s="34">
        <f>INDEX('TWS data'!F:F,MATCH(Table138958[[#This Row],[IB Ticker]],'TWS data'!B:B,0))</f>
        <v>6</v>
      </c>
      <c r="I37" s="34">
        <v>6</v>
      </c>
      <c r="J37" s="162">
        <f t="shared" ref="J37:J46" si="2">I37-H37</f>
        <v>0</v>
      </c>
      <c r="K37" s="115">
        <f>Table138958[[#This Row],[Last price]]*Table138958[[#This Row],[Current Quantity]]</f>
        <v>563263</v>
      </c>
      <c r="L37" s="233">
        <f>Table138958[[#This Row],[Current Value Allocation]]/$K$2</f>
        <v>2.1638548546105914E-2</v>
      </c>
      <c r="M37" s="38"/>
      <c r="N37" s="2"/>
      <c r="Q37" s="42"/>
    </row>
    <row r="38" spans="1:17" s="31" customFormat="1" ht="25.5" customHeight="1" x14ac:dyDescent="0.2">
      <c r="A38" s="34" t="s">
        <v>130</v>
      </c>
      <c r="B38" s="34" t="s">
        <v>50</v>
      </c>
      <c r="C38" s="34" t="s">
        <v>51</v>
      </c>
      <c r="D38" s="35">
        <v>4.5713999999999998E-2</v>
      </c>
      <c r="E38" s="36">
        <f>Table138958[[#This Row],[Target Allocation (%)]]*$C$6*$C$2</f>
        <v>1183652.8388320918</v>
      </c>
      <c r="F38" s="36">
        <f>INDEX('TWS data'!M:M,MATCH(Table138958[[#This Row],[IB Ticker]],'TWS data'!B:B,0))</f>
        <v>115044.7</v>
      </c>
      <c r="G38" s="37">
        <f>Table138958[[#This Row],[Target Value Allocation (USD)]]/Table138958[[#This Row],[Last price]]</f>
        <v>10.288634233755156</v>
      </c>
      <c r="H38" s="34">
        <f>INDEX('TWS data'!F:F,MATCH(Table138958[[#This Row],[IB Ticker]],'TWS data'!B:B,0))</f>
        <v>10</v>
      </c>
      <c r="I38" s="34">
        <v>10</v>
      </c>
      <c r="J38" s="162">
        <f t="shared" si="2"/>
        <v>0</v>
      </c>
      <c r="K38" s="115">
        <f>Table138958[[#This Row],[Last price]]*Table138958[[#This Row],[Current Quantity]]</f>
        <v>1150447</v>
      </c>
      <c r="L38" s="233">
        <f>Table138958[[#This Row],[Current Value Allocation]]/$K$2</f>
        <v>4.4196056299138961E-2</v>
      </c>
      <c r="M38" s="38"/>
      <c r="N38" s="2"/>
    </row>
    <row r="39" spans="1:17" s="31" customFormat="1" ht="25.5" customHeight="1" x14ac:dyDescent="0.2">
      <c r="A39" s="34" t="s">
        <v>130</v>
      </c>
      <c r="B39" s="34" t="s">
        <v>54</v>
      </c>
      <c r="C39" s="34" t="s">
        <v>55</v>
      </c>
      <c r="D39" s="35">
        <v>0</v>
      </c>
      <c r="E39" s="36">
        <f>Table138958[[#This Row],[Target Allocation (%)]]*$C$6*$C$2</f>
        <v>0</v>
      </c>
      <c r="F39" s="36">
        <f>INDEX('TWS data'!M:M,MATCH(Table138958[[#This Row],[IB Ticker]],'TWS data'!B:B,0))</f>
        <v>249591.28571428571</v>
      </c>
      <c r="G39" s="37">
        <f>Table138958[[#This Row],[Target Value Allocation (USD)]]/Table138958[[#This Row],[Last price]]</f>
        <v>0</v>
      </c>
      <c r="H39" s="34">
        <f>INDEX('TWS data'!F:F,MATCH(Table138958[[#This Row],[IB Ticker]],'TWS data'!B:B,0))</f>
        <v>7</v>
      </c>
      <c r="I39" s="34">
        <v>0</v>
      </c>
      <c r="J39" s="162">
        <f t="shared" si="2"/>
        <v>-7</v>
      </c>
      <c r="K39" s="115">
        <f>Table138958[[#This Row],[Last price]]*Table138958[[#This Row],[Current Quantity]]</f>
        <v>0</v>
      </c>
      <c r="L39" s="233">
        <f>Table138958[[#This Row],[Current Value Allocation]]/$K$2</f>
        <v>0</v>
      </c>
      <c r="M39" s="38"/>
      <c r="N39" s="2"/>
    </row>
    <row r="40" spans="1:17" s="31" customFormat="1" ht="25.5" customHeight="1" x14ac:dyDescent="0.2">
      <c r="A40" s="34" t="s">
        <v>130</v>
      </c>
      <c r="B40" s="34" t="s">
        <v>58</v>
      </c>
      <c r="C40" s="34" t="s">
        <v>59</v>
      </c>
      <c r="D40" s="35">
        <v>2.0250000000000001E-2</v>
      </c>
      <c r="E40" s="36">
        <f>Table138958[[#This Row],[Target Allocation (%)]]*$C$6*$C$2</f>
        <v>524324.49547949992</v>
      </c>
      <c r="F40" s="36">
        <f>INDEX('TWS data'!M:M,MATCH(Table138958[[#This Row],[IB Ticker]],'TWS data'!B:B,0))</f>
        <v>112721.4</v>
      </c>
      <c r="G40" s="37">
        <f>Table138958[[#This Row],[Target Value Allocation (USD)]]/Table138958[[#This Row],[Last price]]</f>
        <v>4.6515080142679199</v>
      </c>
      <c r="H40" s="34">
        <f>INDEX('TWS data'!F:F,MATCH(Table138958[[#This Row],[IB Ticker]],'TWS data'!B:B,0))</f>
        <v>5</v>
      </c>
      <c r="I40" s="34">
        <v>5</v>
      </c>
      <c r="J40" s="162">
        <f t="shared" si="2"/>
        <v>0</v>
      </c>
      <c r="K40" s="115">
        <f>Table138958[[#This Row],[Last price]]*Table138958[[#This Row],[Current Quantity]]</f>
        <v>563607</v>
      </c>
      <c r="L40" s="233">
        <f>Table138958[[#This Row],[Current Value Allocation]]/$K$2</f>
        <v>2.1651763794932589E-2</v>
      </c>
      <c r="M40" s="38"/>
      <c r="N40" s="2"/>
    </row>
    <row r="41" spans="1:17" s="31" customFormat="1" ht="25.5" x14ac:dyDescent="0.2">
      <c r="A41" s="34" t="s">
        <v>130</v>
      </c>
      <c r="B41" s="34" t="s">
        <v>60</v>
      </c>
      <c r="C41" s="34" t="s">
        <v>61</v>
      </c>
      <c r="D41" s="35">
        <v>5.8500000000000003E-2</v>
      </c>
      <c r="E41" s="36">
        <f>Table138958[[#This Row],[Target Allocation (%)]]*$C$6*$C$2</f>
        <v>1514715.2091630001</v>
      </c>
      <c r="F41" s="36">
        <f>INDEX('TWS data'!M:M,MATCH(Table138958[[#This Row],[IB Ticker]],'TWS data'!B:B,0))</f>
        <v>249400</v>
      </c>
      <c r="G41" s="37">
        <f>Table138958[[#This Row],[Target Value Allocation (USD)]]/Table138958[[#This Row],[Last price]]</f>
        <v>6.073437085657579</v>
      </c>
      <c r="H41" s="34">
        <f>INDEX('TWS data'!F:F,MATCH(Table138958[[#This Row],[IB Ticker]],'TWS data'!B:B,0))</f>
        <v>7</v>
      </c>
      <c r="I41" s="34">
        <v>6</v>
      </c>
      <c r="J41" s="162">
        <f t="shared" si="2"/>
        <v>-1</v>
      </c>
      <c r="K41" s="115">
        <f>Table138958[[#This Row],[Last price]]*Table138958[[#This Row],[Current Quantity]]</f>
        <v>1496400</v>
      </c>
      <c r="L41" s="233">
        <f>Table138958[[#This Row],[Current Value Allocation]]/$K$2</f>
        <v>5.7486332396043921E-2</v>
      </c>
      <c r="M41" s="38"/>
      <c r="N41" s="2"/>
    </row>
    <row r="42" spans="1:17" s="31" customFormat="1" ht="25.5" x14ac:dyDescent="0.2">
      <c r="A42" s="34" t="s">
        <v>130</v>
      </c>
      <c r="B42" s="256" t="s">
        <v>62</v>
      </c>
      <c r="C42" s="34" t="s">
        <v>63</v>
      </c>
      <c r="D42" s="35">
        <v>5.8500000000000003E-2</v>
      </c>
      <c r="E42" s="36">
        <f>Table138958[[#This Row],[Target Allocation (%)]]*$C$6*$C$2</f>
        <v>1514715.2091630001</v>
      </c>
      <c r="F42" s="36">
        <f>INDEX('TWS data'!M:M,MATCH(Table138958[[#This Row],[IB Ticker]],'TWS data'!B:B,0))</f>
        <v>175014.88888888888</v>
      </c>
      <c r="G42" s="37">
        <f>Table138958[[#This Row],[Target Value Allocation (USD)]]/Table138958[[#This Row],[Last price]]</f>
        <v>8.6547791378174814</v>
      </c>
      <c r="H42" s="34">
        <f>INDEX('TWS data'!F:F,MATCH(Table138958[[#This Row],[IB Ticker]],'TWS data'!B:B,0))</f>
        <v>9</v>
      </c>
      <c r="I42" s="34">
        <v>9</v>
      </c>
      <c r="J42" s="162">
        <f t="shared" si="2"/>
        <v>0</v>
      </c>
      <c r="K42" s="115">
        <f>Table138958[[#This Row],[Last price]]*Table138958[[#This Row],[Current Quantity]]</f>
        <v>1575134</v>
      </c>
      <c r="L42" s="233">
        <f>Table138958[[#This Row],[Current Value Allocation]]/$K$2</f>
        <v>6.0511010887670573E-2</v>
      </c>
      <c r="M42" s="38"/>
      <c r="N42" s="2"/>
    </row>
    <row r="43" spans="1:17" s="31" customFormat="1" ht="25.5" x14ac:dyDescent="0.2">
      <c r="A43" s="34" t="s">
        <v>130</v>
      </c>
      <c r="B43" s="34" t="s">
        <v>66</v>
      </c>
      <c r="C43" s="34" t="s">
        <v>67</v>
      </c>
      <c r="D43" s="35">
        <v>5.8500000000000003E-2</v>
      </c>
      <c r="E43" s="36">
        <f>Table138958[[#This Row],[Target Allocation (%)]]*$C$6*$C$2</f>
        <v>1514715.2091630001</v>
      </c>
      <c r="F43" s="36">
        <f>INDEX('TWS data'!M:M,MATCH(Table138958[[#This Row],[IB Ticker]],'TWS data'!B:B,0))</f>
        <v>710415.5</v>
      </c>
      <c r="G43" s="37">
        <f>Table138958[[#This Row],[Target Value Allocation (USD)]]/Table138958[[#This Row],[Last price]]</f>
        <v>2.1321539425350378</v>
      </c>
      <c r="H43" s="34">
        <f>INDEX('TWS data'!F:F,MATCH(Table138958[[#This Row],[IB Ticker]],'TWS data'!B:B,0))</f>
        <v>2</v>
      </c>
      <c r="I43" s="34">
        <v>2</v>
      </c>
      <c r="J43" s="162">
        <f t="shared" si="2"/>
        <v>0</v>
      </c>
      <c r="K43" s="115">
        <f>Table138958[[#This Row],[Last price]]*Table138958[[#This Row],[Current Quantity]]</f>
        <v>1420831</v>
      </c>
      <c r="L43" s="233">
        <f>Table138958[[#This Row],[Current Value Allocation]]/$K$2</f>
        <v>5.4583241876906899E-2</v>
      </c>
      <c r="M43" s="38"/>
      <c r="N43" s="2"/>
    </row>
    <row r="44" spans="1:17" s="31" customFormat="1" ht="25.5" x14ac:dyDescent="0.2">
      <c r="A44" s="34" t="s">
        <v>130</v>
      </c>
      <c r="B44" s="34" t="s">
        <v>68</v>
      </c>
      <c r="C44" s="34" t="s">
        <v>69</v>
      </c>
      <c r="D44" s="35">
        <v>5.8500000000000003E-2</v>
      </c>
      <c r="E44" s="36">
        <f>Table138958[[#This Row],[Target Allocation (%)]]*$C$6*$C$2</f>
        <v>1514715.2091630001</v>
      </c>
      <c r="F44" s="36">
        <f>INDEX('TWS data'!M:M,MATCH(Table138958[[#This Row],[IB Ticker]],'TWS data'!B:B,0))</f>
        <v>159779.29999999999</v>
      </c>
      <c r="G44" s="37">
        <f>Table138958[[#This Row],[Target Value Allocation (USD)]]/Table138958[[#This Row],[Last price]]</f>
        <v>9.4800465965428575</v>
      </c>
      <c r="H44" s="34">
        <f>INDEX('TWS data'!F:F,MATCH(Table138958[[#This Row],[IB Ticker]],'TWS data'!B:B,0))</f>
        <v>10</v>
      </c>
      <c r="I44" s="34">
        <v>9</v>
      </c>
      <c r="J44" s="162">
        <f t="shared" si="2"/>
        <v>-1</v>
      </c>
      <c r="K44" s="115">
        <f>Table138958[[#This Row],[Last price]]*Table138958[[#This Row],[Current Quantity]]</f>
        <v>1438013.7</v>
      </c>
      <c r="L44" s="233">
        <f>Table138958[[#This Row],[Current Value Allocation]]/$K$2</f>
        <v>5.5243339714157298E-2</v>
      </c>
      <c r="M44" s="38"/>
      <c r="N44" s="2"/>
    </row>
    <row r="45" spans="1:17" s="31" customFormat="1" ht="25.5" x14ac:dyDescent="0.2">
      <c r="A45" s="34" t="s">
        <v>130</v>
      </c>
      <c r="B45" s="34" t="s">
        <v>277</v>
      </c>
      <c r="C45" s="34" t="s">
        <v>278</v>
      </c>
      <c r="D45" s="35">
        <v>5.8500000000000003E-2</v>
      </c>
      <c r="E45" s="36">
        <f>Table138958[[#This Row],[Target Allocation (%)]]*$C$6*$C$2</f>
        <v>1514715.2091630001</v>
      </c>
      <c r="F45" s="36">
        <v>416324.97</v>
      </c>
      <c r="G45" s="37">
        <f>Table138958[[#This Row],[Target Value Allocation (USD)]]/Table138958[[#This Row],[Last price]]</f>
        <v>3.6383001700882853</v>
      </c>
      <c r="H45" s="34">
        <v>0</v>
      </c>
      <c r="I45" s="34">
        <v>4</v>
      </c>
      <c r="J45" s="162">
        <f t="shared" si="2"/>
        <v>4</v>
      </c>
      <c r="K45" s="115">
        <f>Table138958[[#This Row],[Last price]]*Table138958[[#This Row],[Current Quantity]]</f>
        <v>1665299.88</v>
      </c>
      <c r="L45" s="233">
        <f>Table138958[[#This Row],[Current Value Allocation]]/$K$2</f>
        <v>6.3974861294287658E-2</v>
      </c>
      <c r="M45" s="38"/>
      <c r="N45" s="2"/>
    </row>
    <row r="46" spans="1:17" s="31" customFormat="1" ht="25.5" x14ac:dyDescent="0.2">
      <c r="A46" s="34" t="s">
        <v>130</v>
      </c>
      <c r="B46" s="34" t="s">
        <v>279</v>
      </c>
      <c r="C46" s="34" t="s">
        <v>280</v>
      </c>
      <c r="D46" s="35">
        <v>5.8500000000000003E-2</v>
      </c>
      <c r="E46" s="36">
        <f>Table138958[[#This Row],[Target Allocation (%)]]*$C$6*$C$2</f>
        <v>1514715.2091630001</v>
      </c>
      <c r="F46" s="36">
        <v>249768.75</v>
      </c>
      <c r="G46" s="37">
        <f>Table138958[[#This Row],[Target Value Allocation (USD)]]/Table138958[[#This Row],[Last price]]</f>
        <v>6.064470471838451</v>
      </c>
      <c r="H46" s="34">
        <v>0</v>
      </c>
      <c r="I46" s="34">
        <v>6</v>
      </c>
      <c r="J46" s="162">
        <f t="shared" si="2"/>
        <v>6</v>
      </c>
      <c r="K46" s="115">
        <f>Table138958[[#This Row],[Last price]]*Table138958[[#This Row],[Current Quantity]]</f>
        <v>1498612.5</v>
      </c>
      <c r="L46" s="233">
        <f>Table138958[[#This Row],[Current Value Allocation]]/$K$2</f>
        <v>5.7571328727523637E-2</v>
      </c>
      <c r="M46" s="38"/>
      <c r="N46" s="2"/>
    </row>
    <row r="47" spans="1:17" s="31" customFormat="1" ht="12.75" x14ac:dyDescent="0.2">
      <c r="A47" s="34"/>
      <c r="B47" s="34"/>
      <c r="C47" s="34"/>
      <c r="D47" s="35"/>
      <c r="E47" s="36"/>
      <c r="F47" s="36"/>
      <c r="G47" s="37"/>
      <c r="H47" s="34"/>
      <c r="I47" s="34"/>
      <c r="J47" s="162"/>
      <c r="K47" s="115"/>
      <c r="L47" s="233"/>
      <c r="M47" s="38"/>
      <c r="N47" s="2"/>
    </row>
    <row r="48" spans="1:17" s="31" customFormat="1" ht="12.75" x14ac:dyDescent="0.2">
      <c r="A48" s="34"/>
      <c r="B48" s="34"/>
      <c r="C48" s="34"/>
      <c r="D48" s="35"/>
      <c r="E48" s="36"/>
      <c r="F48" s="36"/>
      <c r="G48" s="37"/>
      <c r="H48" s="34"/>
      <c r="I48" s="34"/>
      <c r="J48" s="162"/>
      <c r="K48" s="115"/>
      <c r="L48" s="233"/>
      <c r="M48" s="38"/>
      <c r="N48" s="2"/>
    </row>
    <row r="49" spans="1:18" s="57" customFormat="1" ht="12.75" x14ac:dyDescent="0.2">
      <c r="A49" s="34"/>
      <c r="B49" s="34"/>
      <c r="C49" s="34"/>
      <c r="D49" s="35"/>
      <c r="E49" s="36"/>
      <c r="F49" s="36"/>
      <c r="G49" s="37"/>
      <c r="H49" s="34"/>
      <c r="I49" s="34"/>
      <c r="J49" s="214"/>
      <c r="K49" s="36"/>
      <c r="L49" s="233"/>
      <c r="M49" s="34"/>
      <c r="N49" s="100"/>
    </row>
    <row r="50" spans="1:18" s="68" customFormat="1" ht="12.75" x14ac:dyDescent="0.2">
      <c r="A50" s="58" t="s">
        <v>185</v>
      </c>
      <c r="B50" s="58"/>
      <c r="C50" s="58"/>
      <c r="D50" s="240">
        <f>SUBTOTAL(9,D37:D49)</f>
        <v>0.43721399999999999</v>
      </c>
      <c r="E50" s="237">
        <f>Table138958[[#This Row],[Target Allocation (%)]]*$C$6*$C$2</f>
        <v>11320593.084769093</v>
      </c>
      <c r="F50" s="241"/>
      <c r="G50" s="196"/>
      <c r="H50" s="239"/>
      <c r="I50" s="239"/>
      <c r="J50" s="197"/>
      <c r="K50" s="237">
        <f>SUM(K37:K48)</f>
        <v>11371608.08</v>
      </c>
      <c r="L50" s="244">
        <f>Table138958[[#This Row],[Current Value Allocation]]/$K$2</f>
        <v>0.43685648353676748</v>
      </c>
      <c r="M50" s="58"/>
      <c r="N50" s="15"/>
    </row>
    <row r="51" spans="1:18" s="57" customFormat="1" ht="12.75" x14ac:dyDescent="0.2">
      <c r="A51" s="34"/>
      <c r="B51" s="34"/>
      <c r="C51" s="34"/>
      <c r="D51" s="35"/>
      <c r="E51" s="36"/>
      <c r="F51" s="36"/>
      <c r="G51" s="37"/>
      <c r="H51" s="34"/>
      <c r="I51" s="34"/>
      <c r="J51" s="214"/>
      <c r="K51" s="36"/>
      <c r="L51" s="233"/>
      <c r="M51" s="34"/>
      <c r="N51" s="100"/>
    </row>
    <row r="52" spans="1:18" s="31" customFormat="1" ht="12.75" x14ac:dyDescent="0.2">
      <c r="A52" s="34"/>
      <c r="B52" s="34"/>
      <c r="C52" s="34"/>
      <c r="D52" s="35"/>
      <c r="E52" s="36"/>
      <c r="F52" s="36"/>
      <c r="G52" s="116"/>
      <c r="H52" s="34"/>
      <c r="I52" s="34"/>
      <c r="J52" s="162"/>
      <c r="K52" s="115"/>
      <c r="L52" s="233"/>
      <c r="M52" s="38"/>
      <c r="N52" s="2"/>
    </row>
    <row r="53" spans="1:18" s="31" customFormat="1" ht="25.5" x14ac:dyDescent="0.2">
      <c r="A53" s="34" t="s">
        <v>131</v>
      </c>
      <c r="B53" s="34" t="s">
        <v>43</v>
      </c>
      <c r="C53" s="34" t="s">
        <v>44</v>
      </c>
      <c r="D53" s="35">
        <v>3.0000000000000001E-3</v>
      </c>
      <c r="E53" s="36">
        <f>Table138958[[#This Row],[Target Allocation (%)]]*$C$6*$C$2</f>
        <v>77677.703033999991</v>
      </c>
      <c r="F53" s="36">
        <f>INDEX('TWS data'!M:M,MATCH(Table138958[[#This Row],[IB Ticker]],'TWS data'!B:B,0))</f>
        <v>41876</v>
      </c>
      <c r="G53" s="116">
        <f>Table138958[[#This Row],[Target Value Allocation (USD)]]/Table138958[[#This Row],[Last price]]</f>
        <v>1.8549456259910209</v>
      </c>
      <c r="H53" s="34">
        <f>INDEX('TWS data'!F:F,MATCH(Table138958[[#This Row],[IB Ticker]],'TWS data'!B:B,0))</f>
        <v>1</v>
      </c>
      <c r="I53" s="34">
        <v>1</v>
      </c>
      <c r="J53" s="162">
        <f t="shared" ref="J53:J62" si="3">I53-H53</f>
        <v>0</v>
      </c>
      <c r="K53" s="115">
        <f>Table138958[[#This Row],[Last price]]*Table138958[[#This Row],[Current Quantity]]</f>
        <v>41876</v>
      </c>
      <c r="L53" s="233">
        <f>Table138958[[#This Row],[Current Value Allocation]]/$K$2</f>
        <v>1.6087260461218494E-3</v>
      </c>
      <c r="M53" s="38"/>
      <c r="N53" s="2"/>
    </row>
    <row r="54" spans="1:18" s="31" customFormat="1" ht="25.5" x14ac:dyDescent="0.2">
      <c r="A54" s="34" t="s">
        <v>131</v>
      </c>
      <c r="B54" s="34" t="s">
        <v>47</v>
      </c>
      <c r="C54" s="34" t="s">
        <v>48</v>
      </c>
      <c r="D54" s="35">
        <v>3.0000000000000001E-3</v>
      </c>
      <c r="E54" s="36">
        <f>Table138958[[#This Row],[Target Allocation (%)]]*$C$6*$C$2</f>
        <v>77677.703033999991</v>
      </c>
      <c r="F54" s="36">
        <f>INDEX('TWS data'!M:M,MATCH(Table138958[[#This Row],[IB Ticker]],'TWS data'!B:B,0))</f>
        <v>161499</v>
      </c>
      <c r="G54" s="116">
        <f>Table138958[[#This Row],[Target Value Allocation (USD)]]/Table138958[[#This Row],[Last price]]</f>
        <v>0.48097946757565058</v>
      </c>
      <c r="H54" s="34">
        <f>INDEX('TWS data'!F:F,MATCH(Table138958[[#This Row],[IB Ticker]],'TWS data'!B:B,0))</f>
        <v>1</v>
      </c>
      <c r="I54" s="34">
        <v>1</v>
      </c>
      <c r="J54" s="162">
        <f t="shared" si="3"/>
        <v>0</v>
      </c>
      <c r="K54" s="115">
        <f>Table138958[[#This Row],[Last price]]*Table138958[[#This Row],[Current Quantity]]</f>
        <v>161499</v>
      </c>
      <c r="L54" s="233">
        <f>Table138958[[#This Row],[Current Value Allocation]]/$K$2</f>
        <v>6.2042135763356711E-3</v>
      </c>
      <c r="M54" s="38"/>
      <c r="N54" s="2"/>
      <c r="R54" s="31" t="s">
        <v>188</v>
      </c>
    </row>
    <row r="55" spans="1:18" s="31" customFormat="1" ht="25.5" x14ac:dyDescent="0.2">
      <c r="A55" s="34" t="s">
        <v>131</v>
      </c>
      <c r="B55" s="34" t="s">
        <v>73</v>
      </c>
      <c r="C55" s="34" t="s">
        <v>74</v>
      </c>
      <c r="D55" s="35">
        <v>3.0000000000000001E-3</v>
      </c>
      <c r="E55" s="36">
        <f>Table138958[[#This Row],[Target Allocation (%)]]*$C$6*$C$2</f>
        <v>77677.703033999991</v>
      </c>
      <c r="F55" s="36">
        <f>INDEX('TWS data'!M:M,MATCH(Table138958[[#This Row],[IB Ticker]],'TWS data'!B:B,0))</f>
        <v>82665</v>
      </c>
      <c r="G55" s="116">
        <f>Table138958[[#This Row],[Target Value Allocation (USD)]]/Table138958[[#This Row],[Last price]]</f>
        <v>0.93966857840682261</v>
      </c>
      <c r="H55" s="34">
        <f>INDEX('TWS data'!F:F,MATCH(Table138958[[#This Row],[IB Ticker]],'TWS data'!B:B,0))</f>
        <v>1</v>
      </c>
      <c r="I55" s="34">
        <v>1</v>
      </c>
      <c r="J55" s="162">
        <f t="shared" si="3"/>
        <v>0</v>
      </c>
      <c r="K55" s="115">
        <f>Table138958[[#This Row],[Last price]]*Table138958[[#This Row],[Current Quantity]]</f>
        <v>82665</v>
      </c>
      <c r="L55" s="233">
        <f>Table138958[[#This Row],[Current Value Allocation]]/$K$2</f>
        <v>3.1756934426082403E-3</v>
      </c>
      <c r="M55" s="38"/>
      <c r="N55" s="2"/>
    </row>
    <row r="56" spans="1:18" s="31" customFormat="1" ht="25.5" x14ac:dyDescent="0.2">
      <c r="A56" s="34" t="s">
        <v>131</v>
      </c>
      <c r="B56" s="34" t="s">
        <v>76</v>
      </c>
      <c r="C56" s="34" t="s">
        <v>77</v>
      </c>
      <c r="D56" s="35">
        <v>3.0000000000000001E-3</v>
      </c>
      <c r="E56" s="36">
        <f>Table138958[[#This Row],[Target Allocation (%)]]*$C$6*$C$2</f>
        <v>77677.703033999991</v>
      </c>
      <c r="F56" s="36">
        <f>INDEX('TWS data'!M:M,MATCH(Table138958[[#This Row],[IB Ticker]],'TWS data'!B:B,0))</f>
        <v>232636</v>
      </c>
      <c r="G56" s="116">
        <f>Table138958[[#This Row],[Target Value Allocation (USD)]]/Table138958[[#This Row],[Last price]]</f>
        <v>0.3339023325452638</v>
      </c>
      <c r="H56" s="34">
        <f>INDEX('TWS data'!F:F,MATCH(Table138958[[#This Row],[IB Ticker]],'TWS data'!B:B,0))</f>
        <v>1</v>
      </c>
      <c r="I56" s="34">
        <v>1</v>
      </c>
      <c r="J56" s="162">
        <f t="shared" si="3"/>
        <v>0</v>
      </c>
      <c r="K56" s="115">
        <f>Table138958[[#This Row],[Last price]]*Table138958[[#This Row],[Current Quantity]]</f>
        <v>232636</v>
      </c>
      <c r="L56" s="233">
        <f>Table138958[[#This Row],[Current Value Allocation]]/$K$2</f>
        <v>8.9370425175662078E-3</v>
      </c>
      <c r="M56" s="38"/>
      <c r="N56" s="2"/>
    </row>
    <row r="57" spans="1:18" s="31" customFormat="1" ht="25.5" x14ac:dyDescent="0.2">
      <c r="A57" s="34" t="s">
        <v>131</v>
      </c>
      <c r="B57" s="34" t="s">
        <v>79</v>
      </c>
      <c r="C57" s="34" t="s">
        <v>80</v>
      </c>
      <c r="D57" s="35">
        <v>3.0000000000000001E-3</v>
      </c>
      <c r="E57" s="36">
        <f>Table138958[[#This Row],[Target Allocation (%)]]*$C$6*$C$2</f>
        <v>77677.703033999991</v>
      </c>
      <c r="F57" s="36">
        <f>INDEX('TWS data'!M:M,MATCH(Table138958[[#This Row],[IB Ticker]],'TWS data'!B:B,0))</f>
        <v>46088</v>
      </c>
      <c r="G57" s="116">
        <f>Table138958[[#This Row],[Target Value Allocation (USD)]]/Table138958[[#This Row],[Last price]]</f>
        <v>1.6854214336486719</v>
      </c>
      <c r="H57" s="34">
        <f>INDEX('TWS data'!F:F,MATCH(Table138958[[#This Row],[IB Ticker]],'TWS data'!B:B,0))</f>
        <v>1</v>
      </c>
      <c r="I57" s="34">
        <v>1</v>
      </c>
      <c r="J57" s="162">
        <f t="shared" si="3"/>
        <v>0</v>
      </c>
      <c r="K57" s="115">
        <f>Table138958[[#This Row],[Last price]]*Table138958[[#This Row],[Current Quantity]]</f>
        <v>46088</v>
      </c>
      <c r="L57" s="233">
        <f>Table138958[[#This Row],[Current Value Allocation]]/$K$2</f>
        <v>1.7705360114066242E-3</v>
      </c>
      <c r="M57" s="38"/>
      <c r="N57" s="2"/>
    </row>
    <row r="58" spans="1:18" s="31" customFormat="1" ht="25.5" x14ac:dyDescent="0.2">
      <c r="A58" s="34" t="s">
        <v>131</v>
      </c>
      <c r="B58" s="34" t="s">
        <v>82</v>
      </c>
      <c r="C58" s="34" t="s">
        <v>83</v>
      </c>
      <c r="D58" s="35">
        <v>3.0000000000000001E-3</v>
      </c>
      <c r="E58" s="36">
        <f>Table138958[[#This Row],[Target Allocation (%)]]*$C$6*$C$2</f>
        <v>77677.703033999991</v>
      </c>
      <c r="F58" s="36">
        <f>INDEX('TWS data'!M:M,MATCH(Table138958[[#This Row],[IB Ticker]],'TWS data'!B:B,0))</f>
        <v>48709</v>
      </c>
      <c r="G58" s="116">
        <f>Table138958[[#This Row],[Target Value Allocation (USD)]]/Table138958[[#This Row],[Last price]]</f>
        <v>1.5947299889958733</v>
      </c>
      <c r="H58" s="34">
        <f>INDEX('TWS data'!F:F,MATCH(Table138958[[#This Row],[IB Ticker]],'TWS data'!B:B,0))</f>
        <v>1</v>
      </c>
      <c r="I58" s="34">
        <v>1</v>
      </c>
      <c r="J58" s="162">
        <f t="shared" si="3"/>
        <v>0</v>
      </c>
      <c r="K58" s="115">
        <f>Table138958[[#This Row],[Last price]]*Table138958[[#This Row],[Current Quantity]]</f>
        <v>48709</v>
      </c>
      <c r="L58" s="233">
        <f>Table138958[[#This Row],[Current Value Allocation]]/$K$2</f>
        <v>1.8712254508680189E-3</v>
      </c>
      <c r="M58" s="38"/>
      <c r="N58" s="2"/>
    </row>
    <row r="59" spans="1:18" s="31" customFormat="1" ht="25.5" x14ac:dyDescent="0.2">
      <c r="A59" s="34" t="s">
        <v>131</v>
      </c>
      <c r="B59" s="256" t="s">
        <v>84</v>
      </c>
      <c r="C59" s="34" t="s">
        <v>85</v>
      </c>
      <c r="D59" s="35">
        <v>3.0000000000000001E-3</v>
      </c>
      <c r="E59" s="36">
        <f>Table138958[[#This Row],[Target Allocation (%)]]*$C$6*$C$2</f>
        <v>77677.703033999991</v>
      </c>
      <c r="F59" s="36">
        <f>INDEX('TWS data'!M:M,MATCH(Table138958[[#This Row],[IB Ticker]],'TWS data'!B:B,0))</f>
        <v>10748.666666666666</v>
      </c>
      <c r="G59" s="116">
        <f>Table138958[[#This Row],[Target Value Allocation (USD)]]/Table138958[[#This Row],[Last price]]</f>
        <v>7.2267291788748986</v>
      </c>
      <c r="H59" s="34">
        <f>INDEX('TWS data'!F:F,MATCH(Table138958[[#This Row],[IB Ticker]],'TWS data'!B:B,0))</f>
        <v>6</v>
      </c>
      <c r="I59" s="34">
        <v>7</v>
      </c>
      <c r="J59" s="162">
        <f t="shared" si="3"/>
        <v>1</v>
      </c>
      <c r="K59" s="115">
        <f>Table138958[[#This Row],[Last price]]*Table138958[[#This Row],[Current Quantity]]</f>
        <v>75240.666666666657</v>
      </c>
      <c r="L59" s="233">
        <f>Table138958[[#This Row],[Current Value Allocation]]/$K$2</f>
        <v>2.8904771275728024E-3</v>
      </c>
      <c r="M59" s="38"/>
      <c r="N59" s="2"/>
    </row>
    <row r="60" spans="1:18" s="31" customFormat="1" ht="25.5" x14ac:dyDescent="0.2">
      <c r="A60" s="34" t="s">
        <v>131</v>
      </c>
      <c r="B60" s="34" t="s">
        <v>91</v>
      </c>
      <c r="C60" s="34" t="s">
        <v>92</v>
      </c>
      <c r="D60" s="35">
        <v>3.0000000000000001E-3</v>
      </c>
      <c r="E60" s="36">
        <f>Table138958[[#This Row],[Target Allocation (%)]]*$C$6*$C$2</f>
        <v>77677.703033999991</v>
      </c>
      <c r="F60" s="36">
        <f>INDEX('TWS data'!M:M,MATCH(Table138958[[#This Row],[IB Ticker]],'TWS data'!B:B,0))</f>
        <v>88225</v>
      </c>
      <c r="G60" s="116">
        <f>Table138958[[#This Row],[Target Value Allocation (USD)]]/Table138958[[#This Row],[Last price]]</f>
        <v>0.8804500202210257</v>
      </c>
      <c r="H60" s="34">
        <f>INDEX('TWS data'!F:F,MATCH(Table138958[[#This Row],[IB Ticker]],'TWS data'!B:B,0))</f>
        <v>1</v>
      </c>
      <c r="I60" s="34">
        <v>1</v>
      </c>
      <c r="J60" s="162">
        <f t="shared" si="3"/>
        <v>0</v>
      </c>
      <c r="K60" s="115">
        <f>Table138958[[#This Row],[Last price]]*Table138958[[#This Row],[Current Quantity]]</f>
        <v>88225</v>
      </c>
      <c r="L60" s="233">
        <f>Table138958[[#This Row],[Current Value Allocation]]/$K$2</f>
        <v>3.3892887434115045E-3</v>
      </c>
      <c r="M60" s="38"/>
      <c r="N60" s="2"/>
    </row>
    <row r="61" spans="1:18" ht="26.25" x14ac:dyDescent="0.25">
      <c r="A61" s="34" t="s">
        <v>131</v>
      </c>
      <c r="B61" s="83" t="s">
        <v>113</v>
      </c>
      <c r="C61" s="83" t="s">
        <v>114</v>
      </c>
      <c r="D61" s="35">
        <v>3.0000000000000001E-3</v>
      </c>
      <c r="E61" s="36">
        <f>Table138958[[#This Row],[Target Allocation (%)]]*$C$6*$C$2</f>
        <v>77677.703033999991</v>
      </c>
      <c r="F61" s="36">
        <f>INDEX('TWS data'!M:M,MATCH(Table138958[[#This Row],[IB Ticker]],'TWS data'!B:B,0))</f>
        <v>55239</v>
      </c>
      <c r="G61" s="116">
        <f>Table138958[[#This Row],[Target Value Allocation (USD)]]/Table138958[[#This Row],[Last price]]</f>
        <v>1.4062112462933796</v>
      </c>
      <c r="H61" s="34">
        <f>INDEX('TWS data'!F:F,MATCH(Table138958[[#This Row],[IB Ticker]],'TWS data'!B:B,0))</f>
        <v>1</v>
      </c>
      <c r="I61" s="34">
        <v>1</v>
      </c>
      <c r="J61" s="162">
        <f t="shared" si="3"/>
        <v>0</v>
      </c>
      <c r="K61" s="115">
        <f>Table138958[[#This Row],[Last price]]*Table138958[[#This Row],[Current Quantity]]</f>
        <v>55239</v>
      </c>
      <c r="L61" s="233">
        <f>Table138958[[#This Row],[Current Value Allocation]]/$K$2</f>
        <v>2.1220846800488308E-3</v>
      </c>
      <c r="M61" s="129"/>
    </row>
    <row r="62" spans="1:18" s="31" customFormat="1" ht="25.5" x14ac:dyDescent="0.2">
      <c r="A62" s="34" t="s">
        <v>131</v>
      </c>
      <c r="B62" s="34" t="s">
        <v>89</v>
      </c>
      <c r="C62" s="34" t="s">
        <v>90</v>
      </c>
      <c r="D62" s="35">
        <v>3.0000000000000001E-3</v>
      </c>
      <c r="E62" s="36">
        <f>Table138958[[#This Row],[Target Allocation (%)]]*$C$6*$C$2</f>
        <v>77677.703033999991</v>
      </c>
      <c r="F62" s="36">
        <f>INDEX('TWS data'!M:M,MATCH(Table138958[[#This Row],[IB Ticker]],'TWS data'!B:B,0))</f>
        <v>120557</v>
      </c>
      <c r="G62" s="116">
        <f>Table138958[[#This Row],[Target Value Allocation (USD)]]/Table138958[[#This Row],[Last price]]</f>
        <v>0.64432345723599616</v>
      </c>
      <c r="H62" s="34">
        <f>INDEX('TWS data'!F:F,MATCH(Table138958[[#This Row],[IB Ticker]],'TWS data'!B:B,0))</f>
        <v>1</v>
      </c>
      <c r="I62" s="34">
        <v>1</v>
      </c>
      <c r="J62" s="162">
        <f t="shared" si="3"/>
        <v>0</v>
      </c>
      <c r="K62" s="115">
        <f>Table138958[[#This Row],[Last price]]*Table138958[[#This Row],[Current Quantity]]</f>
        <v>120557</v>
      </c>
      <c r="L62" s="233">
        <f>Table138958[[#This Row],[Current Value Allocation]]/$K$2</f>
        <v>4.6313684674350892E-3</v>
      </c>
      <c r="M62" s="38"/>
      <c r="N62" s="2"/>
    </row>
    <row r="63" spans="1:18" s="31" customFormat="1" ht="12.75" x14ac:dyDescent="0.2">
      <c r="A63" s="34"/>
      <c r="B63" s="34"/>
      <c r="C63" s="34"/>
      <c r="D63" s="35"/>
      <c r="E63" s="36"/>
      <c r="F63" s="36"/>
      <c r="G63" s="37"/>
      <c r="H63" s="34"/>
      <c r="I63" s="34"/>
      <c r="J63" s="38"/>
      <c r="K63" s="115"/>
      <c r="L63" s="233"/>
      <c r="M63" s="38"/>
      <c r="N63" s="2"/>
    </row>
    <row r="64" spans="1:18" s="31" customFormat="1" ht="12.75" x14ac:dyDescent="0.2">
      <c r="A64" s="34"/>
      <c r="B64" s="34"/>
      <c r="C64" s="34"/>
      <c r="D64" s="35"/>
      <c r="E64" s="36"/>
      <c r="F64" s="36"/>
      <c r="G64" s="37"/>
      <c r="H64" s="34"/>
      <c r="I64" s="34"/>
      <c r="J64" s="38"/>
      <c r="K64" s="115"/>
      <c r="L64" s="233"/>
      <c r="M64" s="38"/>
      <c r="N64" s="2"/>
    </row>
    <row r="65" spans="1:14" s="31" customFormat="1" ht="12.75" x14ac:dyDescent="0.2">
      <c r="A65" s="34"/>
      <c r="B65" s="34"/>
      <c r="C65" s="34"/>
      <c r="D65" s="35"/>
      <c r="E65" s="36"/>
      <c r="F65" s="36"/>
      <c r="G65" s="37"/>
      <c r="H65" s="34"/>
      <c r="I65" s="34"/>
      <c r="J65" s="38"/>
      <c r="K65" s="115"/>
      <c r="L65" s="233"/>
      <c r="M65" s="38"/>
      <c r="N65" s="2"/>
    </row>
    <row r="66" spans="1:14" s="31" customFormat="1" ht="12.75" x14ac:dyDescent="0.2">
      <c r="A66" s="34"/>
      <c r="B66" s="34"/>
      <c r="C66" s="34"/>
      <c r="D66" s="35"/>
      <c r="E66" s="36"/>
      <c r="F66" s="36"/>
      <c r="G66" s="37"/>
      <c r="H66" s="34"/>
      <c r="I66" s="34"/>
      <c r="J66" s="38"/>
      <c r="K66" s="115"/>
      <c r="L66" s="233"/>
      <c r="M66" s="38"/>
      <c r="N66" s="2"/>
    </row>
    <row r="67" spans="1:14" s="31" customFormat="1" ht="12.75" x14ac:dyDescent="0.2">
      <c r="A67" s="34"/>
      <c r="B67" s="34"/>
      <c r="C67" s="34"/>
      <c r="D67" s="35"/>
      <c r="E67" s="36"/>
      <c r="F67" s="36"/>
      <c r="G67" s="37"/>
      <c r="H67" s="34"/>
      <c r="I67" s="34"/>
      <c r="J67" s="38"/>
      <c r="K67" s="115"/>
      <c r="L67" s="233"/>
      <c r="M67" s="38"/>
      <c r="N67" s="2"/>
    </row>
    <row r="68" spans="1:14" s="31" customFormat="1" ht="12.75" x14ac:dyDescent="0.2">
      <c r="A68" s="34"/>
      <c r="B68" s="34"/>
      <c r="C68" s="34"/>
      <c r="D68" s="35"/>
      <c r="E68" s="36"/>
      <c r="F68" s="36"/>
      <c r="G68" s="37"/>
      <c r="H68" s="34"/>
      <c r="I68" s="34"/>
      <c r="J68" s="38"/>
      <c r="K68" s="115"/>
      <c r="L68" s="233"/>
      <c r="M68" s="38"/>
      <c r="N68" s="2"/>
    </row>
    <row r="69" spans="1:14" s="31" customFormat="1" ht="12.75" x14ac:dyDescent="0.2">
      <c r="A69" s="34"/>
      <c r="B69" s="34"/>
      <c r="C69" s="34"/>
      <c r="D69" s="35"/>
      <c r="E69" s="36"/>
      <c r="F69" s="36"/>
      <c r="G69" s="37"/>
      <c r="H69" s="34"/>
      <c r="I69" s="34"/>
      <c r="J69" s="38"/>
      <c r="K69" s="115"/>
      <c r="L69" s="233"/>
      <c r="M69" s="38"/>
      <c r="N69" s="2"/>
    </row>
    <row r="70" spans="1:14" s="15" customFormat="1" ht="12.75" x14ac:dyDescent="0.2">
      <c r="A70" s="58" t="s">
        <v>242</v>
      </c>
      <c r="B70" s="156"/>
      <c r="C70" s="156"/>
      <c r="D70" s="201">
        <f>SUM(D53:D69)</f>
        <v>2.9999999999999995E-2</v>
      </c>
      <c r="E70" s="237">
        <f>SUM(E52:E69)</f>
        <v>776777.03033999994</v>
      </c>
      <c r="F70" s="196"/>
      <c r="G70" s="196"/>
      <c r="H70" s="156"/>
      <c r="I70" s="156"/>
      <c r="J70" s="58"/>
      <c r="K70" s="237">
        <f>SUM(K52:K69)</f>
        <v>952734.66666666663</v>
      </c>
      <c r="L70" s="238">
        <f>Table138958[[#This Row],[Current Value Allocation]]/$K$2</f>
        <v>3.6600656063374835E-2</v>
      </c>
      <c r="M70" s="195"/>
    </row>
    <row r="71" spans="1:14" x14ac:dyDescent="0.25">
      <c r="A71" s="34"/>
      <c r="B71" s="83"/>
      <c r="C71" s="83"/>
      <c r="D71" s="79"/>
      <c r="E71" s="36"/>
      <c r="F71" s="36"/>
      <c r="G71" s="37"/>
      <c r="H71" s="83"/>
      <c r="I71" s="83"/>
      <c r="J71" s="34"/>
      <c r="K71" s="34"/>
      <c r="L71" s="233"/>
      <c r="M71" s="129"/>
    </row>
    <row r="72" spans="1:14" x14ac:dyDescent="0.25">
      <c r="A72" s="34"/>
      <c r="B72" s="83"/>
      <c r="C72" s="83"/>
      <c r="D72" s="247"/>
      <c r="E72" s="85"/>
      <c r="F72" s="36"/>
      <c r="G72" s="86"/>
      <c r="H72" s="83"/>
      <c r="I72" s="83"/>
      <c r="J72" s="34"/>
      <c r="K72" s="34"/>
      <c r="L72" s="233"/>
      <c r="M72" s="129"/>
    </row>
    <row r="73" spans="1:14" s="15" customFormat="1" ht="12.75" x14ac:dyDescent="0.2">
      <c r="A73" s="58" t="s">
        <v>11</v>
      </c>
      <c r="B73" s="156"/>
      <c r="C73" s="156"/>
      <c r="D73" s="156"/>
      <c r="E73" s="246"/>
      <c r="F73" s="156"/>
      <c r="G73" s="156"/>
      <c r="H73" s="156"/>
      <c r="I73" s="156"/>
      <c r="J73" s="156"/>
      <c r="K73" s="246">
        <f>SUM(K23,K25,K35,K50,K70)</f>
        <v>26030535.218193512</v>
      </c>
      <c r="L73" s="238">
        <f>Table138958[[#This Row],[Current Value Allocation]]/$K$2</f>
        <v>1</v>
      </c>
      <c r="M73" s="156"/>
    </row>
    <row r="74" spans="1:14" x14ac:dyDescent="0.25">
      <c r="A74" s="129"/>
      <c r="B74" s="129"/>
      <c r="C74" s="129"/>
      <c r="D74" s="130"/>
      <c r="E74" s="249"/>
      <c r="F74" s="36"/>
      <c r="G74" s="131"/>
      <c r="H74" s="129"/>
      <c r="I74" s="129"/>
      <c r="J74" s="129"/>
      <c r="K74" s="129"/>
      <c r="L74" s="233"/>
      <c r="M74" s="129"/>
    </row>
    <row r="75" spans="1:14" x14ac:dyDescent="0.25">
      <c r="A75" s="129"/>
      <c r="B75" s="129"/>
      <c r="C75" s="129"/>
      <c r="D75" s="130"/>
      <c r="E75" s="249"/>
      <c r="F75" s="36"/>
      <c r="G75" s="131"/>
      <c r="H75" s="129"/>
      <c r="I75" s="129"/>
      <c r="J75" s="129"/>
      <c r="K75" s="129"/>
      <c r="L75" s="233"/>
      <c r="M75" s="129"/>
    </row>
    <row r="76" spans="1:14" x14ac:dyDescent="0.25">
      <c r="A76" s="129"/>
      <c r="B76" s="129"/>
      <c r="C76" s="129"/>
      <c r="D76" s="130"/>
      <c r="E76" s="249"/>
      <c r="F76" s="36"/>
      <c r="G76" s="131"/>
      <c r="H76" s="129"/>
      <c r="I76" s="129"/>
      <c r="J76" s="129"/>
      <c r="K76" s="129"/>
      <c r="L76" s="233"/>
      <c r="M76" s="129"/>
    </row>
    <row r="77" spans="1:14" x14ac:dyDescent="0.25">
      <c r="A77" s="129"/>
      <c r="B77" s="129"/>
      <c r="C77" s="129"/>
      <c r="D77" s="130"/>
      <c r="E77" s="249"/>
      <c r="F77" s="36"/>
      <c r="G77" s="131"/>
      <c r="H77" s="129"/>
      <c r="I77" s="129"/>
      <c r="J77" s="129"/>
      <c r="K77" s="129"/>
      <c r="L77" s="233"/>
      <c r="M77" s="129"/>
    </row>
    <row r="78" spans="1:14" x14ac:dyDescent="0.25">
      <c r="A78" s="129"/>
      <c r="B78" s="129"/>
      <c r="C78" s="129"/>
      <c r="D78" s="130"/>
      <c r="E78" s="249"/>
      <c r="F78" s="36"/>
      <c r="G78" s="131"/>
      <c r="H78" s="129"/>
      <c r="I78" s="129"/>
      <c r="J78" s="129"/>
      <c r="K78" s="129"/>
      <c r="L78" s="233"/>
      <c r="M78" s="129"/>
    </row>
    <row r="79" spans="1:14" x14ac:dyDescent="0.25">
      <c r="A79" s="129"/>
      <c r="B79" s="129"/>
      <c r="C79" s="129"/>
      <c r="D79" s="130"/>
      <c r="E79" s="249"/>
      <c r="F79" s="36"/>
      <c r="G79" s="131"/>
      <c r="H79" s="129"/>
      <c r="I79" s="129"/>
      <c r="J79" s="129"/>
      <c r="K79" s="129"/>
      <c r="L79" s="233"/>
      <c r="M79" s="129"/>
    </row>
    <row r="80" spans="1:14" x14ac:dyDescent="0.25">
      <c r="A80" s="129"/>
      <c r="B80" s="129"/>
      <c r="C80" s="129"/>
      <c r="D80" s="130"/>
      <c r="E80" s="249"/>
      <c r="F80" s="36"/>
      <c r="G80" s="131"/>
      <c r="H80" s="129"/>
      <c r="I80" s="129"/>
      <c r="J80" s="129"/>
      <c r="K80" s="129"/>
      <c r="L80" s="233"/>
      <c r="M80" s="129"/>
    </row>
    <row r="81" spans="1:13" x14ac:dyDescent="0.25">
      <c r="A81" s="129"/>
      <c r="B81" s="129"/>
      <c r="C81" s="129"/>
      <c r="D81" s="130"/>
      <c r="E81" s="249"/>
      <c r="F81" s="36"/>
      <c r="G81" s="131"/>
      <c r="H81" s="129"/>
      <c r="I81" s="129"/>
      <c r="J81" s="129"/>
      <c r="K81" s="129"/>
      <c r="L81" s="233"/>
      <c r="M81" s="129"/>
    </row>
    <row r="82" spans="1:13" x14ac:dyDescent="0.25">
      <c r="A82" s="129"/>
      <c r="B82" s="129"/>
      <c r="C82" s="129"/>
      <c r="D82" s="130"/>
      <c r="E82" s="249"/>
      <c r="F82" s="36"/>
      <c r="G82" s="131"/>
      <c r="H82" s="129"/>
      <c r="I82" s="129"/>
      <c r="J82" s="129"/>
      <c r="K82" s="129"/>
      <c r="L82" s="233"/>
      <c r="M82" s="129"/>
    </row>
    <row r="83" spans="1:13" s="2" customFormat="1" ht="12.75" x14ac:dyDescent="0.2"/>
    <row r="84" spans="1:13" s="2" customFormat="1" ht="12.75" x14ac:dyDescent="0.2"/>
    <row r="86" spans="1:13" s="2" customFormat="1" ht="12.75" x14ac:dyDescent="0.2">
      <c r="A86" s="136"/>
      <c r="B86" s="136"/>
      <c r="E86" s="136"/>
      <c r="F86" s="136"/>
      <c r="G86" s="136"/>
      <c r="H86" s="137"/>
      <c r="M86" s="136"/>
    </row>
    <row r="87" spans="1:13" s="2" customFormat="1" ht="12.75" x14ac:dyDescent="0.2">
      <c r="A87" s="136"/>
      <c r="B87" s="136"/>
      <c r="E87" s="136"/>
      <c r="F87" s="136"/>
      <c r="G87" s="136"/>
      <c r="H87" s="137"/>
      <c r="M87" s="136"/>
    </row>
    <row r="88" spans="1:13" s="2" customFormat="1" ht="12.75" x14ac:dyDescent="0.2">
      <c r="A88" s="138"/>
      <c r="B88" s="138"/>
    </row>
    <row r="89" spans="1:13" s="2" customFormat="1" ht="12.75" x14ac:dyDescent="0.2">
      <c r="A89" s="139"/>
      <c r="B89" s="139"/>
      <c r="E89" s="139"/>
      <c r="F89" s="138"/>
      <c r="G89" s="138"/>
      <c r="M89" s="140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TWS data</vt:lpstr>
      <vt:lpstr>July 1-7</vt:lpstr>
      <vt:lpstr>July 7-14</vt:lpstr>
      <vt:lpstr>July 7-14 - Second_old</vt:lpstr>
      <vt:lpstr>July 7-14 - Second</vt:lpstr>
      <vt:lpstr>July 15-29</vt:lpstr>
      <vt:lpstr>July 20 - 26</vt:lpstr>
      <vt:lpstr>July 27-31</vt:lpstr>
      <vt:lpstr>'July 1-7'!Print_Area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Golden Horse</dc:creator>
  <dc:description/>
  <cp:lastModifiedBy>Golden Horse</cp:lastModifiedBy>
  <cp:revision>16</cp:revision>
  <cp:lastPrinted>2020-06-30T06:21:10Z</cp:lastPrinted>
  <dcterms:created xsi:type="dcterms:W3CDTF">2020-06-30T03:42:56Z</dcterms:created>
  <dcterms:modified xsi:type="dcterms:W3CDTF">2020-08-08T04:11:09Z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f59dd16a-6f38-4c61-8740-1c2c41fd22a2</vt:lpwstr>
  </property>
</Properties>
</file>