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46EAE1FB-411C-4535-816C-247330CF3597}" xr6:coauthVersionLast="45" xr6:coauthVersionMax="45" xr10:uidLastSave="{00000000-0000-0000-0000-000000000000}"/>
  <bookViews>
    <workbookView xWindow="-120" yWindow="-120" windowWidth="29040" windowHeight="15840" tabRatio="796" firstSheet="1" activeTab="19" xr2:uid="{00000000-000D-0000-FFFF-FFFF00000000}"/>
  </bookViews>
  <sheets>
    <sheet name="TWS data" sheetId="1" r:id="rId1"/>
    <sheet name="Nov 02" sheetId="2" r:id="rId2"/>
    <sheet name="Nov 03" sheetId="3" r:id="rId3"/>
    <sheet name="Nov 04" sheetId="4" r:id="rId4"/>
    <sheet name="Nov 05" sheetId="5" r:id="rId5"/>
    <sheet name="Nov 06" sheetId="6" r:id="rId6"/>
    <sheet name="Nov 09" sheetId="7" r:id="rId7"/>
    <sheet name="Nov 10" sheetId="8" r:id="rId8"/>
    <sheet name="Nov 11" sheetId="9" r:id="rId9"/>
    <sheet name="Nov 12" sheetId="10" r:id="rId10"/>
    <sheet name="Nov 13" sheetId="11" r:id="rId11"/>
    <sheet name="Nov 16" sheetId="12" r:id="rId12"/>
    <sheet name="Nov 17" sheetId="13" r:id="rId13"/>
    <sheet name="Nov 18" sheetId="14" r:id="rId14"/>
    <sheet name="Nov 19" sheetId="15" r:id="rId15"/>
    <sheet name="Nov 20" sheetId="16" r:id="rId16"/>
    <sheet name="Nov 23" sheetId="17" r:id="rId17"/>
    <sheet name="Nov 24" sheetId="18" r:id="rId18"/>
    <sheet name="Nov 25" sheetId="19" r:id="rId19"/>
    <sheet name="Nov 30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7" i="20" l="1"/>
  <c r="H34" i="20"/>
  <c r="F34" i="20"/>
  <c r="H33" i="20"/>
  <c r="F33" i="20"/>
  <c r="H32" i="20"/>
  <c r="F32" i="20"/>
  <c r="H31" i="20"/>
  <c r="F31" i="20"/>
  <c r="H30" i="20"/>
  <c r="F30" i="20"/>
  <c r="H29" i="20"/>
  <c r="F29" i="20"/>
  <c r="H28" i="20"/>
  <c r="F28" i="20"/>
  <c r="H27" i="20"/>
  <c r="F27" i="20"/>
  <c r="H26" i="20"/>
  <c r="F26" i="20"/>
  <c r="H73" i="20" l="1"/>
  <c r="J73" i="20" s="1"/>
  <c r="F73" i="20"/>
  <c r="K73" i="20" s="1"/>
  <c r="D75" i="20"/>
  <c r="K77" i="20" l="1"/>
  <c r="J77" i="20"/>
  <c r="H72" i="20"/>
  <c r="J72" i="20" s="1"/>
  <c r="H71" i="20"/>
  <c r="J71" i="20" s="1"/>
  <c r="H70" i="20"/>
  <c r="J70" i="20" s="1"/>
  <c r="H69" i="20"/>
  <c r="J69" i="20" s="1"/>
  <c r="H68" i="20"/>
  <c r="J68" i="20" s="1"/>
  <c r="H67" i="20"/>
  <c r="J67" i="20" s="1"/>
  <c r="H66" i="20"/>
  <c r="J66" i="20" s="1"/>
  <c r="H65" i="20"/>
  <c r="J65" i="20" s="1"/>
  <c r="H64" i="20"/>
  <c r="J64" i="20" s="1"/>
  <c r="H63" i="20"/>
  <c r="J63" i="20" s="1"/>
  <c r="D60" i="20"/>
  <c r="H58" i="20"/>
  <c r="J58" i="20" s="1"/>
  <c r="H57" i="20"/>
  <c r="J57" i="20" s="1"/>
  <c r="H56" i="20"/>
  <c r="J56" i="20" s="1"/>
  <c r="H55" i="20"/>
  <c r="J55" i="20" s="1"/>
  <c r="H54" i="20"/>
  <c r="J54" i="20" s="1"/>
  <c r="D52" i="20"/>
  <c r="G5" i="20" s="1"/>
  <c r="H50" i="20"/>
  <c r="H49" i="20"/>
  <c r="H48" i="20"/>
  <c r="H47" i="20"/>
  <c r="H46" i="20"/>
  <c r="H45" i="20"/>
  <c r="H44" i="20"/>
  <c r="H43" i="20"/>
  <c r="H42" i="20"/>
  <c r="H41" i="20"/>
  <c r="H39" i="20"/>
  <c r="H35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C6" i="20"/>
  <c r="E44" i="20" s="1"/>
  <c r="E47" i="20" l="1"/>
  <c r="E48" i="20"/>
  <c r="E16" i="20"/>
  <c r="E15" i="20"/>
  <c r="E19" i="20"/>
  <c r="E39" i="20"/>
  <c r="E18" i="20"/>
  <c r="E20" i="20"/>
  <c r="E24" i="20"/>
  <c r="E35" i="20"/>
  <c r="E42" i="20"/>
  <c r="E22" i="20"/>
  <c r="E65" i="20"/>
  <c r="E11" i="20"/>
  <c r="E23" i="20"/>
  <c r="E43" i="20"/>
  <c r="E54" i="20"/>
  <c r="E57" i="20"/>
  <c r="E66" i="20"/>
  <c r="E12" i="20"/>
  <c r="E67" i="20"/>
  <c r="E50" i="20"/>
  <c r="E55" i="20"/>
  <c r="E60" i="20"/>
  <c r="E14" i="20"/>
  <c r="E72" i="20"/>
  <c r="E58" i="20"/>
  <c r="E77" i="20"/>
  <c r="E27" i="20"/>
  <c r="G27" i="20" s="1"/>
  <c r="I27" i="20" s="1"/>
  <c r="E29" i="20"/>
  <c r="G29" i="20" s="1"/>
  <c r="I29" i="20" s="1"/>
  <c r="E31" i="20"/>
  <c r="G31" i="20" s="1"/>
  <c r="I31" i="20" s="1"/>
  <c r="E30" i="20"/>
  <c r="G30" i="20" s="1"/>
  <c r="I30" i="20" s="1"/>
  <c r="E26" i="20"/>
  <c r="G26" i="20" s="1"/>
  <c r="I26" i="20" s="1"/>
  <c r="E34" i="20"/>
  <c r="G34" i="20" s="1"/>
  <c r="I34" i="20" s="1"/>
  <c r="E28" i="20"/>
  <c r="G28" i="20" s="1"/>
  <c r="I28" i="20" s="1"/>
  <c r="E33" i="20"/>
  <c r="G33" i="20" s="1"/>
  <c r="I33" i="20" s="1"/>
  <c r="E32" i="20"/>
  <c r="G32" i="20" s="1"/>
  <c r="I32" i="20" s="1"/>
  <c r="E73" i="20"/>
  <c r="G73" i="20" s="1"/>
  <c r="E63" i="20"/>
  <c r="E10" i="20"/>
  <c r="E46" i="20"/>
  <c r="E37" i="20"/>
  <c r="G20" i="20"/>
  <c r="I20" i="20" s="1"/>
  <c r="J20" i="20" s="1"/>
  <c r="E70" i="20"/>
  <c r="E52" i="20"/>
  <c r="E71" i="20"/>
  <c r="E68" i="20"/>
  <c r="E41" i="20"/>
  <c r="E45" i="20"/>
  <c r="E49" i="20"/>
  <c r="E56" i="20"/>
  <c r="E64" i="20"/>
  <c r="E9" i="20"/>
  <c r="E13" i="20"/>
  <c r="E17" i="20"/>
  <c r="E21" i="20"/>
  <c r="E25" i="20"/>
  <c r="E69" i="20"/>
  <c r="E55" i="19"/>
  <c r="G55" i="19"/>
  <c r="J55" i="19"/>
  <c r="M45" i="1"/>
  <c r="F46" i="20" s="1"/>
  <c r="M44" i="1"/>
  <c r="F69" i="20" s="1"/>
  <c r="K69" i="20" s="1"/>
  <c r="M43" i="1"/>
  <c r="F54" i="20" s="1"/>
  <c r="K54" i="20" s="1"/>
  <c r="M42" i="1"/>
  <c r="F45" i="20" s="1"/>
  <c r="M41" i="1"/>
  <c r="F44" i="20" s="1"/>
  <c r="G44" i="20" s="1"/>
  <c r="I44" i="20" s="1"/>
  <c r="M40" i="1"/>
  <c r="F43" i="20" s="1"/>
  <c r="M39" i="1"/>
  <c r="F42" i="20" s="1"/>
  <c r="M38" i="1"/>
  <c r="M37" i="1"/>
  <c r="F41" i="20" s="1"/>
  <c r="M36" i="1"/>
  <c r="M35" i="1"/>
  <c r="F56" i="20" s="1"/>
  <c r="K56" i="20" s="1"/>
  <c r="M34" i="1"/>
  <c r="F68" i="20" s="1"/>
  <c r="K68" i="20" s="1"/>
  <c r="M33" i="1"/>
  <c r="M32" i="1"/>
  <c r="M31" i="1"/>
  <c r="M30" i="1"/>
  <c r="M29" i="1"/>
  <c r="M28" i="1"/>
  <c r="M27" i="1"/>
  <c r="F64" i="20" s="1"/>
  <c r="K64" i="20" s="1"/>
  <c r="M26" i="1"/>
  <c r="F55" i="20" s="1"/>
  <c r="K55" i="20" s="1"/>
  <c r="M25" i="1"/>
  <c r="F50" i="20" s="1"/>
  <c r="M24" i="1"/>
  <c r="F47" i="20" s="1"/>
  <c r="G47" i="20" s="1"/>
  <c r="I47" i="20" s="1"/>
  <c r="J47" i="20" s="1"/>
  <c r="M23" i="1"/>
  <c r="F48" i="20" s="1"/>
  <c r="G48" i="20" s="1"/>
  <c r="I48" i="20" s="1"/>
  <c r="J48" i="20" s="1"/>
  <c r="M22" i="1"/>
  <c r="F49" i="20" s="1"/>
  <c r="M21" i="1"/>
  <c r="F63" i="20" s="1"/>
  <c r="G63" i="20" s="1"/>
  <c r="M20" i="1"/>
  <c r="F12" i="20" s="1"/>
  <c r="M19" i="1"/>
  <c r="F9" i="20" s="1"/>
  <c r="M18" i="1"/>
  <c r="F22" i="20" s="1"/>
  <c r="G22" i="20" s="1"/>
  <c r="I22" i="20" s="1"/>
  <c r="J22" i="20" s="1"/>
  <c r="M17" i="1"/>
  <c r="F20" i="20" s="1"/>
  <c r="M16" i="1"/>
  <c r="F24" i="20" s="1"/>
  <c r="G24" i="20" s="1"/>
  <c r="I24" i="20" s="1"/>
  <c r="J24" i="20" s="1"/>
  <c r="M15" i="1"/>
  <c r="F13" i="20" s="1"/>
  <c r="M14" i="1"/>
  <c r="F16" i="20" s="1"/>
  <c r="G16" i="20" s="1"/>
  <c r="I16" i="20" s="1"/>
  <c r="J16" i="20" s="1"/>
  <c r="M13" i="1"/>
  <c r="F10" i="20" s="1"/>
  <c r="G10" i="20" s="1"/>
  <c r="I10" i="20" s="1"/>
  <c r="J10" i="20" s="1"/>
  <c r="M12" i="1"/>
  <c r="F39" i="20" s="1"/>
  <c r="G39" i="20" s="1"/>
  <c r="I39" i="20" s="1"/>
  <c r="J39" i="20" s="1"/>
  <c r="M11" i="1"/>
  <c r="F18" i="20" s="1"/>
  <c r="G18" i="20" s="1"/>
  <c r="I18" i="20" s="1"/>
  <c r="J18" i="20" s="1"/>
  <c r="M10" i="1"/>
  <c r="F14" i="20" s="1"/>
  <c r="M9" i="1"/>
  <c r="F15" i="20" s="1"/>
  <c r="G15" i="20" s="1"/>
  <c r="I15" i="20" s="1"/>
  <c r="J15" i="20" s="1"/>
  <c r="M8" i="1"/>
  <c r="F11" i="20" s="1"/>
  <c r="M7" i="1"/>
  <c r="F25" i="20" s="1"/>
  <c r="M6" i="1"/>
  <c r="F21" i="20" s="1"/>
  <c r="M5" i="1"/>
  <c r="F19" i="20" s="1"/>
  <c r="G19" i="20" s="1"/>
  <c r="I19" i="20" s="1"/>
  <c r="J19" i="20" s="1"/>
  <c r="M4" i="1"/>
  <c r="F17" i="20" s="1"/>
  <c r="M3" i="1"/>
  <c r="F23" i="20" s="1"/>
  <c r="M2" i="1"/>
  <c r="F35" i="20" s="1"/>
  <c r="G35" i="20" s="1"/>
  <c r="I35" i="20" s="1"/>
  <c r="J35" i="20" s="1"/>
  <c r="K68" i="19"/>
  <c r="J68" i="19"/>
  <c r="D66" i="19"/>
  <c r="J63" i="19"/>
  <c r="J62" i="19"/>
  <c r="J61" i="19"/>
  <c r="J60" i="19"/>
  <c r="J59" i="19"/>
  <c r="J58" i="19"/>
  <c r="J57" i="19"/>
  <c r="J56" i="19"/>
  <c r="J54" i="19"/>
  <c r="D51" i="19"/>
  <c r="E51" i="19" s="1"/>
  <c r="J49" i="19"/>
  <c r="E49" i="19"/>
  <c r="J48" i="19"/>
  <c r="J47" i="19"/>
  <c r="J46" i="19"/>
  <c r="J45" i="19"/>
  <c r="D43" i="19"/>
  <c r="E43" i="19" s="1"/>
  <c r="E41" i="19"/>
  <c r="D28" i="19"/>
  <c r="E24" i="19"/>
  <c r="E23" i="19"/>
  <c r="E19" i="19"/>
  <c r="E15" i="19"/>
  <c r="C6" i="19"/>
  <c r="E54" i="19" s="1"/>
  <c r="K68" i="18"/>
  <c r="J68" i="18"/>
  <c r="D66" i="18"/>
  <c r="K63" i="18"/>
  <c r="J63" i="18"/>
  <c r="K62" i="18"/>
  <c r="J62" i="18"/>
  <c r="K61" i="18"/>
  <c r="J61" i="18"/>
  <c r="K60" i="18"/>
  <c r="J60" i="18"/>
  <c r="K59" i="18"/>
  <c r="J59" i="18"/>
  <c r="K58" i="18"/>
  <c r="J58" i="18"/>
  <c r="E58" i="18"/>
  <c r="G58" i="18" s="1"/>
  <c r="K57" i="18"/>
  <c r="J57" i="18"/>
  <c r="K56" i="18"/>
  <c r="K66" i="18" s="1"/>
  <c r="J56" i="18"/>
  <c r="K55" i="18"/>
  <c r="J55" i="18"/>
  <c r="K54" i="18"/>
  <c r="J54" i="18"/>
  <c r="D51" i="18"/>
  <c r="E51" i="18" s="1"/>
  <c r="K49" i="18"/>
  <c r="J49" i="18"/>
  <c r="E49" i="18"/>
  <c r="G49" i="18" s="1"/>
  <c r="K48" i="18"/>
  <c r="J48" i="18"/>
  <c r="E48" i="18"/>
  <c r="G48" i="18" s="1"/>
  <c r="K47" i="18"/>
  <c r="K51" i="18" s="1"/>
  <c r="J47" i="18"/>
  <c r="E47" i="18"/>
  <c r="G47" i="18" s="1"/>
  <c r="K46" i="18"/>
  <c r="J46" i="18"/>
  <c r="K45" i="18"/>
  <c r="J45" i="18"/>
  <c r="D43" i="18"/>
  <c r="E43" i="18" s="1"/>
  <c r="K40" i="18"/>
  <c r="J40" i="18"/>
  <c r="E35" i="18"/>
  <c r="G35" i="18" s="1"/>
  <c r="I35" i="18" s="1"/>
  <c r="K35" i="18" s="1"/>
  <c r="I34" i="18"/>
  <c r="E34" i="18"/>
  <c r="G34" i="18" s="1"/>
  <c r="D28" i="18"/>
  <c r="E28" i="18" s="1"/>
  <c r="E26" i="18"/>
  <c r="G26" i="18" s="1"/>
  <c r="I26" i="18" s="1"/>
  <c r="J25" i="18"/>
  <c r="G25" i="18"/>
  <c r="I25" i="18" s="1"/>
  <c r="K25" i="18" s="1"/>
  <c r="E25" i="18"/>
  <c r="E20" i="18"/>
  <c r="G20" i="18" s="1"/>
  <c r="I20" i="18" s="1"/>
  <c r="K20" i="18" s="1"/>
  <c r="E15" i="18"/>
  <c r="G15" i="18" s="1"/>
  <c r="I15" i="18" s="1"/>
  <c r="G14" i="18"/>
  <c r="I14" i="18" s="1"/>
  <c r="K14" i="18" s="1"/>
  <c r="E14" i="18"/>
  <c r="E11" i="18"/>
  <c r="G11" i="18" s="1"/>
  <c r="I11" i="18" s="1"/>
  <c r="K9" i="18"/>
  <c r="E9" i="18"/>
  <c r="G9" i="18" s="1"/>
  <c r="I9" i="18" s="1"/>
  <c r="J9" i="18" s="1"/>
  <c r="C6" i="18"/>
  <c r="E63" i="18" s="1"/>
  <c r="G63" i="18" s="1"/>
  <c r="K68" i="17"/>
  <c r="J68" i="17"/>
  <c r="D66" i="17"/>
  <c r="K63" i="17"/>
  <c r="J63" i="17"/>
  <c r="K62" i="17"/>
  <c r="J62" i="17"/>
  <c r="E62" i="17"/>
  <c r="G62" i="17" s="1"/>
  <c r="K61" i="17"/>
  <c r="J61" i="17"/>
  <c r="K60" i="17"/>
  <c r="J60" i="17"/>
  <c r="G60" i="17"/>
  <c r="K59" i="17"/>
  <c r="J59" i="17"/>
  <c r="K58" i="17"/>
  <c r="J58" i="17"/>
  <c r="K57" i="17"/>
  <c r="J57" i="17"/>
  <c r="K56" i="17"/>
  <c r="J56" i="17"/>
  <c r="G56" i="17"/>
  <c r="E56" i="17"/>
  <c r="K55" i="17"/>
  <c r="J55" i="17"/>
  <c r="K54" i="17"/>
  <c r="J54" i="17"/>
  <c r="E54" i="17"/>
  <c r="E51" i="17"/>
  <c r="D51" i="17"/>
  <c r="K49" i="17"/>
  <c r="J49" i="17"/>
  <c r="K48" i="17"/>
  <c r="J48" i="17"/>
  <c r="K47" i="17"/>
  <c r="J47" i="17"/>
  <c r="K46" i="17"/>
  <c r="J46" i="17"/>
  <c r="K45" i="17"/>
  <c r="J45" i="17"/>
  <c r="E45" i="17"/>
  <c r="G45" i="17" s="1"/>
  <c r="D43" i="17"/>
  <c r="G5" i="17" s="1"/>
  <c r="E39" i="17"/>
  <c r="G39" i="17" s="1"/>
  <c r="I39" i="17" s="1"/>
  <c r="J37" i="17"/>
  <c r="E37" i="17"/>
  <c r="G37" i="17" s="1"/>
  <c r="I37" i="17" s="1"/>
  <c r="K37" i="17" s="1"/>
  <c r="I36" i="17"/>
  <c r="J36" i="17" s="1"/>
  <c r="G36" i="17"/>
  <c r="E36" i="17"/>
  <c r="E33" i="17"/>
  <c r="G33" i="17" s="1"/>
  <c r="I33" i="17" s="1"/>
  <c r="G32" i="17"/>
  <c r="I32" i="17" s="1"/>
  <c r="J32" i="17" s="1"/>
  <c r="E32" i="17"/>
  <c r="J30" i="17"/>
  <c r="E30" i="17"/>
  <c r="G30" i="17" s="1"/>
  <c r="I30" i="17" s="1"/>
  <c r="K30" i="17" s="1"/>
  <c r="E28" i="17"/>
  <c r="D28" i="17"/>
  <c r="E24" i="17"/>
  <c r="G24" i="17" s="1"/>
  <c r="I24" i="17" s="1"/>
  <c r="G23" i="17"/>
  <c r="I23" i="17" s="1"/>
  <c r="E23" i="17"/>
  <c r="E22" i="17"/>
  <c r="G22" i="17" s="1"/>
  <c r="I22" i="17" s="1"/>
  <c r="G19" i="17"/>
  <c r="I19" i="17" s="1"/>
  <c r="E19" i="17"/>
  <c r="E17" i="17"/>
  <c r="G17" i="17" s="1"/>
  <c r="I17" i="17" s="1"/>
  <c r="J17" i="17" s="1"/>
  <c r="I16" i="17"/>
  <c r="K16" i="17" s="1"/>
  <c r="G16" i="17"/>
  <c r="E16" i="17"/>
  <c r="E13" i="17"/>
  <c r="G13" i="17" s="1"/>
  <c r="I13" i="17" s="1"/>
  <c r="I12" i="17"/>
  <c r="G12" i="17"/>
  <c r="E12" i="17"/>
  <c r="E11" i="17"/>
  <c r="G11" i="17" s="1"/>
  <c r="I11" i="17" s="1"/>
  <c r="C6" i="17"/>
  <c r="E60" i="17" s="1"/>
  <c r="K68" i="16"/>
  <c r="J68" i="16"/>
  <c r="E66" i="16"/>
  <c r="D66" i="16"/>
  <c r="K63" i="16"/>
  <c r="J63" i="16"/>
  <c r="G63" i="16"/>
  <c r="E63" i="16"/>
  <c r="K62" i="16"/>
  <c r="J62" i="16"/>
  <c r="E62" i="16"/>
  <c r="G62" i="16" s="1"/>
  <c r="K61" i="16"/>
  <c r="J61" i="16"/>
  <c r="E61" i="16"/>
  <c r="G61" i="16" s="1"/>
  <c r="K60" i="16"/>
  <c r="J60" i="16"/>
  <c r="G60" i="16"/>
  <c r="E60" i="16"/>
  <c r="K59" i="16"/>
  <c r="J59" i="16"/>
  <c r="G59" i="16"/>
  <c r="E59" i="16"/>
  <c r="K58" i="16"/>
  <c r="J58" i="16"/>
  <c r="E58" i="16"/>
  <c r="G58" i="16" s="1"/>
  <c r="K57" i="16"/>
  <c r="J57" i="16"/>
  <c r="E57" i="16"/>
  <c r="G57" i="16" s="1"/>
  <c r="K56" i="16"/>
  <c r="J56" i="16"/>
  <c r="E56" i="16"/>
  <c r="G56" i="16" s="1"/>
  <c r="K55" i="16"/>
  <c r="J55" i="16"/>
  <c r="E55" i="16"/>
  <c r="G55" i="16" s="1"/>
  <c r="K54" i="16"/>
  <c r="J54" i="16"/>
  <c r="G54" i="16"/>
  <c r="E54" i="16"/>
  <c r="D51" i="16"/>
  <c r="E51" i="16" s="1"/>
  <c r="K49" i="16"/>
  <c r="J49" i="16"/>
  <c r="E49" i="16"/>
  <c r="G49" i="16" s="1"/>
  <c r="K48" i="16"/>
  <c r="J48" i="16"/>
  <c r="E48" i="16"/>
  <c r="G48" i="16" s="1"/>
  <c r="K47" i="16"/>
  <c r="J47" i="16"/>
  <c r="G47" i="16"/>
  <c r="E47" i="16"/>
  <c r="K46" i="16"/>
  <c r="K51" i="16" s="1"/>
  <c r="J46" i="16"/>
  <c r="E46" i="16"/>
  <c r="G46" i="16" s="1"/>
  <c r="K45" i="16"/>
  <c r="J45" i="16"/>
  <c r="E45" i="16"/>
  <c r="G45" i="16" s="1"/>
  <c r="E43" i="16"/>
  <c r="D43" i="16"/>
  <c r="K41" i="16"/>
  <c r="J41" i="16"/>
  <c r="E41" i="16"/>
  <c r="G41" i="16" s="1"/>
  <c r="K40" i="16"/>
  <c r="J40" i="16"/>
  <c r="E40" i="16"/>
  <c r="G40" i="16" s="1"/>
  <c r="K39" i="16"/>
  <c r="J39" i="16"/>
  <c r="G39" i="16"/>
  <c r="E39" i="16"/>
  <c r="K38" i="16"/>
  <c r="J38" i="16"/>
  <c r="G38" i="16"/>
  <c r="E38" i="16"/>
  <c r="K37" i="16"/>
  <c r="J37" i="16"/>
  <c r="E37" i="16"/>
  <c r="G37" i="16" s="1"/>
  <c r="K36" i="16"/>
  <c r="J36" i="16"/>
  <c r="E36" i="16"/>
  <c r="G36" i="16" s="1"/>
  <c r="K35" i="16"/>
  <c r="J35" i="16"/>
  <c r="G35" i="16"/>
  <c r="E35" i="16"/>
  <c r="K34" i="16"/>
  <c r="J34" i="16"/>
  <c r="G34" i="16"/>
  <c r="E34" i="16"/>
  <c r="K33" i="16"/>
  <c r="J33" i="16"/>
  <c r="G33" i="16"/>
  <c r="E33" i="16"/>
  <c r="K32" i="16"/>
  <c r="J32" i="16"/>
  <c r="E32" i="16"/>
  <c r="G32" i="16" s="1"/>
  <c r="E30" i="16"/>
  <c r="G30" i="16" s="1"/>
  <c r="I30" i="16" s="1"/>
  <c r="D28" i="16"/>
  <c r="E28" i="16" s="1"/>
  <c r="I26" i="16"/>
  <c r="K26" i="16" s="1"/>
  <c r="G26" i="16"/>
  <c r="E26" i="16"/>
  <c r="E25" i="16"/>
  <c r="G25" i="16" s="1"/>
  <c r="I25" i="16" s="1"/>
  <c r="I24" i="16"/>
  <c r="G24" i="16"/>
  <c r="E24" i="16"/>
  <c r="G23" i="16"/>
  <c r="I23" i="16" s="1"/>
  <c r="E23" i="16"/>
  <c r="E22" i="16"/>
  <c r="G22" i="16" s="1"/>
  <c r="I22" i="16" s="1"/>
  <c r="E21" i="16"/>
  <c r="G21" i="16" s="1"/>
  <c r="I21" i="16" s="1"/>
  <c r="I20" i="16"/>
  <c r="K20" i="16" s="1"/>
  <c r="G20" i="16"/>
  <c r="E20" i="16"/>
  <c r="E19" i="16"/>
  <c r="G19" i="16" s="1"/>
  <c r="I19" i="16" s="1"/>
  <c r="G18" i="16"/>
  <c r="I18" i="16" s="1"/>
  <c r="J18" i="16" s="1"/>
  <c r="E18" i="16"/>
  <c r="E17" i="16"/>
  <c r="G17" i="16" s="1"/>
  <c r="I17" i="16" s="1"/>
  <c r="K17" i="16" s="1"/>
  <c r="E16" i="16"/>
  <c r="G16" i="16" s="1"/>
  <c r="I16" i="16" s="1"/>
  <c r="I15" i="16"/>
  <c r="G15" i="16"/>
  <c r="E15" i="16"/>
  <c r="E14" i="16"/>
  <c r="G14" i="16" s="1"/>
  <c r="I14" i="16" s="1"/>
  <c r="I13" i="16"/>
  <c r="G13" i="16"/>
  <c r="E13" i="16"/>
  <c r="G12" i="16"/>
  <c r="I12" i="16" s="1"/>
  <c r="E12" i="16"/>
  <c r="E11" i="16"/>
  <c r="G11" i="16" s="1"/>
  <c r="I11" i="16" s="1"/>
  <c r="E10" i="16"/>
  <c r="G10" i="16" s="1"/>
  <c r="I10" i="16" s="1"/>
  <c r="I9" i="16"/>
  <c r="G9" i="16"/>
  <c r="E9" i="16"/>
  <c r="C6" i="16"/>
  <c r="E68" i="16" s="1"/>
  <c r="G5" i="16"/>
  <c r="K68" i="15"/>
  <c r="J68" i="15"/>
  <c r="D66" i="15"/>
  <c r="K63" i="15"/>
  <c r="J63" i="15"/>
  <c r="K62" i="15"/>
  <c r="J62" i="15"/>
  <c r="K61" i="15"/>
  <c r="J61" i="15"/>
  <c r="K60" i="15"/>
  <c r="J60" i="15"/>
  <c r="K59" i="15"/>
  <c r="J59" i="15"/>
  <c r="K58" i="15"/>
  <c r="K66" i="15" s="1"/>
  <c r="J58" i="15"/>
  <c r="K57" i="15"/>
  <c r="J57" i="15"/>
  <c r="K56" i="15"/>
  <c r="J56" i="15"/>
  <c r="K55" i="15"/>
  <c r="J55" i="15"/>
  <c r="K54" i="15"/>
  <c r="J54" i="15"/>
  <c r="D51" i="15"/>
  <c r="E51" i="15" s="1"/>
  <c r="K49" i="15"/>
  <c r="J49" i="15"/>
  <c r="K48" i="15"/>
  <c r="K51" i="15" s="1"/>
  <c r="J48" i="15"/>
  <c r="E48" i="15"/>
  <c r="G48" i="15" s="1"/>
  <c r="K47" i="15"/>
  <c r="J47" i="15"/>
  <c r="K46" i="15"/>
  <c r="J46" i="15"/>
  <c r="E46" i="15"/>
  <c r="G46" i="15" s="1"/>
  <c r="K45" i="15"/>
  <c r="J45" i="15"/>
  <c r="E43" i="15"/>
  <c r="D43" i="15"/>
  <c r="K41" i="15"/>
  <c r="J41" i="15"/>
  <c r="K40" i="15"/>
  <c r="J40" i="15"/>
  <c r="K39" i="15"/>
  <c r="J39" i="15"/>
  <c r="K38" i="15"/>
  <c r="J38" i="15"/>
  <c r="K37" i="15"/>
  <c r="J37" i="15"/>
  <c r="K36" i="15"/>
  <c r="J36" i="15"/>
  <c r="K35" i="15"/>
  <c r="J35" i="15"/>
  <c r="E35" i="15"/>
  <c r="G35" i="15" s="1"/>
  <c r="K34" i="15"/>
  <c r="J34" i="15"/>
  <c r="K33" i="15"/>
  <c r="K43" i="15" s="1"/>
  <c r="J33" i="15"/>
  <c r="K32" i="15"/>
  <c r="J32" i="15"/>
  <c r="E30" i="15"/>
  <c r="G30" i="15" s="1"/>
  <c r="I30" i="15" s="1"/>
  <c r="D28" i="15"/>
  <c r="C6" i="15"/>
  <c r="E20" i="15" s="1"/>
  <c r="G20" i="15" s="1"/>
  <c r="I20" i="15" s="1"/>
  <c r="K68" i="14"/>
  <c r="J68" i="14"/>
  <c r="D66" i="14"/>
  <c r="K63" i="14"/>
  <c r="J63" i="14"/>
  <c r="E63" i="14"/>
  <c r="G63" i="14" s="1"/>
  <c r="K62" i="14"/>
  <c r="J62" i="14"/>
  <c r="K61" i="14"/>
  <c r="J61" i="14"/>
  <c r="K60" i="14"/>
  <c r="J60" i="14"/>
  <c r="E60" i="14"/>
  <c r="G60" i="14" s="1"/>
  <c r="K59" i="14"/>
  <c r="J59" i="14"/>
  <c r="K58" i="14"/>
  <c r="J58" i="14"/>
  <c r="K57" i="14"/>
  <c r="J57" i="14"/>
  <c r="K56" i="14"/>
  <c r="J56" i="14"/>
  <c r="G56" i="14"/>
  <c r="E56" i="14"/>
  <c r="K55" i="14"/>
  <c r="J55" i="14"/>
  <c r="E55" i="14"/>
  <c r="G55" i="14" s="1"/>
  <c r="K54" i="14"/>
  <c r="J54" i="14"/>
  <c r="D51" i="14"/>
  <c r="K49" i="14"/>
  <c r="J49" i="14"/>
  <c r="K48" i="14"/>
  <c r="J48" i="14"/>
  <c r="K47" i="14"/>
  <c r="J47" i="14"/>
  <c r="E47" i="14"/>
  <c r="G47" i="14" s="1"/>
  <c r="K46" i="14"/>
  <c r="J46" i="14"/>
  <c r="E46" i="14"/>
  <c r="G46" i="14" s="1"/>
  <c r="K45" i="14"/>
  <c r="J45" i="14"/>
  <c r="E45" i="14"/>
  <c r="G45" i="14" s="1"/>
  <c r="E43" i="14"/>
  <c r="D43" i="14"/>
  <c r="K41" i="14"/>
  <c r="J41" i="14"/>
  <c r="E41" i="14"/>
  <c r="G41" i="14" s="1"/>
  <c r="K40" i="14"/>
  <c r="J40" i="14"/>
  <c r="K39" i="14"/>
  <c r="J39" i="14"/>
  <c r="K38" i="14"/>
  <c r="J38" i="14"/>
  <c r="K37" i="14"/>
  <c r="J37" i="14"/>
  <c r="K36" i="14"/>
  <c r="J36" i="14"/>
  <c r="G36" i="14"/>
  <c r="E36" i="14"/>
  <c r="K35" i="14"/>
  <c r="J35" i="14"/>
  <c r="E35" i="14"/>
  <c r="G35" i="14" s="1"/>
  <c r="K34" i="14"/>
  <c r="J34" i="14"/>
  <c r="K33" i="14"/>
  <c r="J33" i="14"/>
  <c r="K32" i="14"/>
  <c r="J32" i="14"/>
  <c r="E30" i="14"/>
  <c r="G30" i="14" s="1"/>
  <c r="I30" i="14" s="1"/>
  <c r="E28" i="14"/>
  <c r="D28" i="14"/>
  <c r="E26" i="14"/>
  <c r="G26" i="14" s="1"/>
  <c r="I26" i="14" s="1"/>
  <c r="E23" i="14"/>
  <c r="G23" i="14" s="1"/>
  <c r="I23" i="14" s="1"/>
  <c r="K23" i="14" s="1"/>
  <c r="E21" i="14"/>
  <c r="G21" i="14" s="1"/>
  <c r="I21" i="14" s="1"/>
  <c r="E20" i="14"/>
  <c r="G20" i="14" s="1"/>
  <c r="I20" i="14" s="1"/>
  <c r="E18" i="14"/>
  <c r="G18" i="14" s="1"/>
  <c r="I18" i="14" s="1"/>
  <c r="I17" i="14"/>
  <c r="K17" i="14" s="1"/>
  <c r="E17" i="14"/>
  <c r="G17" i="14" s="1"/>
  <c r="E15" i="14"/>
  <c r="G15" i="14" s="1"/>
  <c r="I15" i="14" s="1"/>
  <c r="E12" i="14"/>
  <c r="G12" i="14" s="1"/>
  <c r="I12" i="14" s="1"/>
  <c r="E11" i="14"/>
  <c r="G11" i="14" s="1"/>
  <c r="I11" i="14" s="1"/>
  <c r="E10" i="14"/>
  <c r="G10" i="14" s="1"/>
  <c r="I10" i="14" s="1"/>
  <c r="C6" i="14"/>
  <c r="E61" i="14" s="1"/>
  <c r="G61" i="14" s="1"/>
  <c r="K67" i="13"/>
  <c r="J67" i="13"/>
  <c r="E67" i="13"/>
  <c r="D65" i="13"/>
  <c r="K62" i="13"/>
  <c r="J62" i="13"/>
  <c r="E62" i="13"/>
  <c r="G62" i="13" s="1"/>
  <c r="K61" i="13"/>
  <c r="J61" i="13"/>
  <c r="G61" i="13"/>
  <c r="E61" i="13"/>
  <c r="K60" i="13"/>
  <c r="J60" i="13"/>
  <c r="E60" i="13"/>
  <c r="G60" i="13" s="1"/>
  <c r="K59" i="13"/>
  <c r="J59" i="13"/>
  <c r="K58" i="13"/>
  <c r="J58" i="13"/>
  <c r="K57" i="13"/>
  <c r="J57" i="13"/>
  <c r="K56" i="13"/>
  <c r="J56" i="13"/>
  <c r="E56" i="13"/>
  <c r="G56" i="13" s="1"/>
  <c r="K55" i="13"/>
  <c r="J55" i="13"/>
  <c r="E55" i="13"/>
  <c r="G55" i="13" s="1"/>
  <c r="K54" i="13"/>
  <c r="J54" i="13"/>
  <c r="G54" i="13"/>
  <c r="E54" i="13"/>
  <c r="K53" i="13"/>
  <c r="J53" i="13"/>
  <c r="D50" i="13"/>
  <c r="E50" i="13" s="1"/>
  <c r="K48" i="13"/>
  <c r="J48" i="13"/>
  <c r="E48" i="13"/>
  <c r="G48" i="13" s="1"/>
  <c r="K47" i="13"/>
  <c r="J47" i="13"/>
  <c r="E47" i="13"/>
  <c r="G47" i="13" s="1"/>
  <c r="K46" i="13"/>
  <c r="J46" i="13"/>
  <c r="K45" i="13"/>
  <c r="J45" i="13"/>
  <c r="E45" i="13"/>
  <c r="G45" i="13" s="1"/>
  <c r="K44" i="13"/>
  <c r="J44" i="13"/>
  <c r="E44" i="13"/>
  <c r="G44" i="13" s="1"/>
  <c r="D42" i="13"/>
  <c r="K40" i="13"/>
  <c r="J40" i="13"/>
  <c r="K39" i="13"/>
  <c r="J39" i="13"/>
  <c r="K38" i="13"/>
  <c r="J38" i="13"/>
  <c r="G38" i="13"/>
  <c r="E38" i="13"/>
  <c r="K37" i="13"/>
  <c r="J37" i="13"/>
  <c r="G37" i="13"/>
  <c r="E37" i="13"/>
  <c r="K36" i="13"/>
  <c r="J36" i="13"/>
  <c r="K35" i="13"/>
  <c r="J35" i="13"/>
  <c r="E35" i="13"/>
  <c r="G35" i="13" s="1"/>
  <c r="K34" i="13"/>
  <c r="J34" i="13"/>
  <c r="K33" i="13"/>
  <c r="J33" i="13"/>
  <c r="E33" i="13"/>
  <c r="G33" i="13" s="1"/>
  <c r="K32" i="13"/>
  <c r="J32" i="13"/>
  <c r="E32" i="13"/>
  <c r="G32" i="13" s="1"/>
  <c r="K31" i="13"/>
  <c r="J31" i="13"/>
  <c r="E31" i="13"/>
  <c r="G31" i="13" s="1"/>
  <c r="E29" i="13"/>
  <c r="G29" i="13" s="1"/>
  <c r="I29" i="13" s="1"/>
  <c r="D27" i="13"/>
  <c r="E23" i="13"/>
  <c r="G23" i="13" s="1"/>
  <c r="I23" i="13" s="1"/>
  <c r="E22" i="13"/>
  <c r="G22" i="13" s="1"/>
  <c r="I22" i="13" s="1"/>
  <c r="G21" i="13"/>
  <c r="I21" i="13" s="1"/>
  <c r="E21" i="13"/>
  <c r="I20" i="13"/>
  <c r="K20" i="13" s="1"/>
  <c r="E20" i="13"/>
  <c r="G20" i="13" s="1"/>
  <c r="E18" i="13"/>
  <c r="G18" i="13" s="1"/>
  <c r="I18" i="13" s="1"/>
  <c r="G15" i="13"/>
  <c r="I15" i="13" s="1"/>
  <c r="E15" i="13"/>
  <c r="E12" i="13"/>
  <c r="G12" i="13" s="1"/>
  <c r="I12" i="13" s="1"/>
  <c r="I11" i="13"/>
  <c r="K11" i="13" s="1"/>
  <c r="G11" i="13"/>
  <c r="E11" i="13"/>
  <c r="C6" i="13"/>
  <c r="E16" i="13" s="1"/>
  <c r="G16" i="13" s="1"/>
  <c r="I16" i="13" s="1"/>
  <c r="K67" i="12"/>
  <c r="J67" i="12"/>
  <c r="E67" i="12"/>
  <c r="D65" i="12"/>
  <c r="K62" i="12"/>
  <c r="J62" i="12"/>
  <c r="G62" i="12"/>
  <c r="E62" i="12"/>
  <c r="K61" i="12"/>
  <c r="J61" i="12"/>
  <c r="K60" i="12"/>
  <c r="J60" i="12"/>
  <c r="E60" i="12"/>
  <c r="G60" i="12" s="1"/>
  <c r="K59" i="12"/>
  <c r="J59" i="12"/>
  <c r="K58" i="12"/>
  <c r="J58" i="12"/>
  <c r="E58" i="12"/>
  <c r="G58" i="12" s="1"/>
  <c r="K57" i="12"/>
  <c r="J57" i="12"/>
  <c r="G57" i="12"/>
  <c r="E57" i="12"/>
  <c r="K56" i="12"/>
  <c r="J56" i="12"/>
  <c r="G56" i="12"/>
  <c r="E56" i="12"/>
  <c r="K55" i="12"/>
  <c r="J55" i="12"/>
  <c r="E55" i="12"/>
  <c r="G55" i="12" s="1"/>
  <c r="K54" i="12"/>
  <c r="J54" i="12"/>
  <c r="E54" i="12"/>
  <c r="G54" i="12" s="1"/>
  <c r="K53" i="12"/>
  <c r="K65" i="12" s="1"/>
  <c r="J53" i="12"/>
  <c r="E50" i="12"/>
  <c r="D50" i="12"/>
  <c r="K48" i="12"/>
  <c r="J48" i="12"/>
  <c r="G48" i="12"/>
  <c r="E48" i="12"/>
  <c r="K47" i="12"/>
  <c r="J47" i="12"/>
  <c r="G47" i="12"/>
  <c r="E47" i="12"/>
  <c r="K46" i="12"/>
  <c r="J46" i="12"/>
  <c r="E46" i="12"/>
  <c r="G46" i="12" s="1"/>
  <c r="K45" i="12"/>
  <c r="J45" i="12"/>
  <c r="K44" i="12"/>
  <c r="J44" i="12"/>
  <c r="E44" i="12"/>
  <c r="G44" i="12" s="1"/>
  <c r="D42" i="12"/>
  <c r="E42" i="12" s="1"/>
  <c r="K40" i="12"/>
  <c r="J40" i="12"/>
  <c r="G40" i="12"/>
  <c r="E40" i="12"/>
  <c r="K39" i="12"/>
  <c r="J39" i="12"/>
  <c r="E39" i="12"/>
  <c r="G39" i="12" s="1"/>
  <c r="K38" i="12"/>
  <c r="J38" i="12"/>
  <c r="G38" i="12"/>
  <c r="E38" i="12"/>
  <c r="K37" i="12"/>
  <c r="J37" i="12"/>
  <c r="G37" i="12"/>
  <c r="E37" i="12"/>
  <c r="K36" i="12"/>
  <c r="J36" i="12"/>
  <c r="E36" i="12"/>
  <c r="G36" i="12" s="1"/>
  <c r="K35" i="12"/>
  <c r="J35" i="12"/>
  <c r="K34" i="12"/>
  <c r="J34" i="12"/>
  <c r="E34" i="12"/>
  <c r="G34" i="12" s="1"/>
  <c r="K33" i="12"/>
  <c r="J33" i="12"/>
  <c r="E33" i="12"/>
  <c r="G33" i="12" s="1"/>
  <c r="K32" i="12"/>
  <c r="J32" i="12"/>
  <c r="E32" i="12"/>
  <c r="G32" i="12" s="1"/>
  <c r="K31" i="12"/>
  <c r="J31" i="12"/>
  <c r="E31" i="12"/>
  <c r="G31" i="12" s="1"/>
  <c r="E29" i="12"/>
  <c r="G29" i="12" s="1"/>
  <c r="I29" i="12" s="1"/>
  <c r="D27" i="12"/>
  <c r="E24" i="12"/>
  <c r="G24" i="12" s="1"/>
  <c r="I24" i="12" s="1"/>
  <c r="I23" i="12"/>
  <c r="K23" i="12" s="1"/>
  <c r="E23" i="12"/>
  <c r="G23" i="12" s="1"/>
  <c r="G22" i="12"/>
  <c r="I22" i="12" s="1"/>
  <c r="E22" i="12"/>
  <c r="E21" i="12"/>
  <c r="G21" i="12" s="1"/>
  <c r="I21" i="12" s="1"/>
  <c r="G19" i="12"/>
  <c r="I19" i="12" s="1"/>
  <c r="E19" i="12"/>
  <c r="E18" i="12"/>
  <c r="G18" i="12" s="1"/>
  <c r="I18" i="12" s="1"/>
  <c r="E17" i="12"/>
  <c r="G17" i="12" s="1"/>
  <c r="I17" i="12" s="1"/>
  <c r="I16" i="12"/>
  <c r="K16" i="12" s="1"/>
  <c r="E16" i="12"/>
  <c r="G16" i="12" s="1"/>
  <c r="G15" i="12"/>
  <c r="I15" i="12" s="1"/>
  <c r="E15" i="12"/>
  <c r="G13" i="12"/>
  <c r="I13" i="12" s="1"/>
  <c r="E13" i="12"/>
  <c r="I12" i="12"/>
  <c r="K12" i="12" s="1"/>
  <c r="E12" i="12"/>
  <c r="G12" i="12" s="1"/>
  <c r="E11" i="12"/>
  <c r="G11" i="12" s="1"/>
  <c r="I11" i="12" s="1"/>
  <c r="E10" i="12"/>
  <c r="G10" i="12" s="1"/>
  <c r="I10" i="12" s="1"/>
  <c r="C6" i="12"/>
  <c r="E53" i="12" s="1"/>
  <c r="G53" i="12" s="1"/>
  <c r="K67" i="11"/>
  <c r="J67" i="11"/>
  <c r="E67" i="11"/>
  <c r="D65" i="11"/>
  <c r="K62" i="11"/>
  <c r="J62" i="11"/>
  <c r="E62" i="11"/>
  <c r="G62" i="11" s="1"/>
  <c r="K61" i="11"/>
  <c r="J61" i="11"/>
  <c r="E61" i="11"/>
  <c r="G61" i="11" s="1"/>
  <c r="K60" i="11"/>
  <c r="J60" i="11"/>
  <c r="K59" i="11"/>
  <c r="J59" i="11"/>
  <c r="E59" i="11"/>
  <c r="G59" i="11" s="1"/>
  <c r="K58" i="11"/>
  <c r="J58" i="11"/>
  <c r="E58" i="11"/>
  <c r="G58" i="11" s="1"/>
  <c r="K57" i="11"/>
  <c r="J57" i="11"/>
  <c r="E57" i="11"/>
  <c r="G57" i="11" s="1"/>
  <c r="K56" i="11"/>
  <c r="J56" i="11"/>
  <c r="E56" i="11"/>
  <c r="G56" i="11" s="1"/>
  <c r="K55" i="11"/>
  <c r="J55" i="11"/>
  <c r="E55" i="11"/>
  <c r="G55" i="11" s="1"/>
  <c r="K54" i="11"/>
  <c r="K65" i="11" s="1"/>
  <c r="J54" i="11"/>
  <c r="G54" i="11"/>
  <c r="E54" i="11"/>
  <c r="K53" i="11"/>
  <c r="J53" i="11"/>
  <c r="D50" i="11"/>
  <c r="K48" i="11"/>
  <c r="J48" i="11"/>
  <c r="E48" i="11"/>
  <c r="G48" i="11" s="1"/>
  <c r="K47" i="11"/>
  <c r="J47" i="11"/>
  <c r="E47" i="11"/>
  <c r="G47" i="11" s="1"/>
  <c r="K46" i="11"/>
  <c r="J46" i="11"/>
  <c r="E46" i="11"/>
  <c r="G46" i="11" s="1"/>
  <c r="K45" i="11"/>
  <c r="J45" i="11"/>
  <c r="E45" i="11"/>
  <c r="G45" i="11" s="1"/>
  <c r="K44" i="11"/>
  <c r="J44" i="11"/>
  <c r="D42" i="11"/>
  <c r="E42" i="11" s="1"/>
  <c r="K40" i="11"/>
  <c r="J40" i="11"/>
  <c r="G40" i="11"/>
  <c r="E40" i="11"/>
  <c r="K39" i="11"/>
  <c r="J39" i="11"/>
  <c r="E39" i="11"/>
  <c r="G39" i="11" s="1"/>
  <c r="K38" i="11"/>
  <c r="J38" i="11"/>
  <c r="G38" i="11"/>
  <c r="K37" i="11"/>
  <c r="J37" i="11"/>
  <c r="E37" i="11"/>
  <c r="G37" i="11" s="1"/>
  <c r="K36" i="11"/>
  <c r="J36" i="11"/>
  <c r="E36" i="11"/>
  <c r="G36" i="11" s="1"/>
  <c r="K35" i="11"/>
  <c r="J35" i="11"/>
  <c r="K34" i="11"/>
  <c r="J34" i="11"/>
  <c r="E34" i="11"/>
  <c r="G34" i="11" s="1"/>
  <c r="K33" i="11"/>
  <c r="J33" i="11"/>
  <c r="E33" i="11"/>
  <c r="G33" i="11" s="1"/>
  <c r="K32" i="11"/>
  <c r="K42" i="11" s="1"/>
  <c r="J32" i="11"/>
  <c r="G32" i="11"/>
  <c r="E32" i="11"/>
  <c r="K31" i="11"/>
  <c r="J31" i="11"/>
  <c r="E31" i="11"/>
  <c r="G31" i="11" s="1"/>
  <c r="E29" i="11"/>
  <c r="G29" i="11" s="1"/>
  <c r="I29" i="11" s="1"/>
  <c r="E27" i="11"/>
  <c r="D27" i="11"/>
  <c r="G25" i="11"/>
  <c r="I25" i="11" s="1"/>
  <c r="E25" i="11"/>
  <c r="I24" i="11"/>
  <c r="K24" i="11" s="1"/>
  <c r="E24" i="11"/>
  <c r="G24" i="11" s="1"/>
  <c r="E23" i="11"/>
  <c r="G23" i="11" s="1"/>
  <c r="I23" i="11" s="1"/>
  <c r="K22" i="11"/>
  <c r="J22" i="11"/>
  <c r="I22" i="11"/>
  <c r="G22" i="11"/>
  <c r="E22" i="11"/>
  <c r="G21" i="11"/>
  <c r="I21" i="11" s="1"/>
  <c r="E21" i="11"/>
  <c r="G19" i="11"/>
  <c r="I19" i="11" s="1"/>
  <c r="E19" i="11"/>
  <c r="G18" i="11"/>
  <c r="I18" i="11" s="1"/>
  <c r="E18" i="11"/>
  <c r="E17" i="11"/>
  <c r="G17" i="11" s="1"/>
  <c r="I17" i="11" s="1"/>
  <c r="E16" i="11"/>
  <c r="G16" i="11" s="1"/>
  <c r="I16" i="11" s="1"/>
  <c r="G14" i="11"/>
  <c r="I14" i="11" s="1"/>
  <c r="E14" i="11"/>
  <c r="E13" i="11"/>
  <c r="G13" i="11" s="1"/>
  <c r="I13" i="11" s="1"/>
  <c r="I12" i="11"/>
  <c r="K12" i="11" s="1"/>
  <c r="E12" i="11"/>
  <c r="G12" i="11" s="1"/>
  <c r="I11" i="11"/>
  <c r="K11" i="11" s="1"/>
  <c r="G11" i="11"/>
  <c r="E11" i="11"/>
  <c r="E10" i="11"/>
  <c r="G10" i="11" s="1"/>
  <c r="I10" i="11" s="1"/>
  <c r="C6" i="11"/>
  <c r="E38" i="11" s="1"/>
  <c r="K67" i="10"/>
  <c r="J67" i="10"/>
  <c r="E67" i="10"/>
  <c r="D65" i="10"/>
  <c r="K62" i="10"/>
  <c r="J62" i="10"/>
  <c r="E62" i="10"/>
  <c r="G62" i="10" s="1"/>
  <c r="K61" i="10"/>
  <c r="J61" i="10"/>
  <c r="G61" i="10"/>
  <c r="K60" i="10"/>
  <c r="J60" i="10"/>
  <c r="K59" i="10"/>
  <c r="J59" i="10"/>
  <c r="E59" i="10"/>
  <c r="G59" i="10" s="1"/>
  <c r="K58" i="10"/>
  <c r="J58" i="10"/>
  <c r="E58" i="10"/>
  <c r="G58" i="10" s="1"/>
  <c r="K57" i="10"/>
  <c r="J57" i="10"/>
  <c r="E57" i="10"/>
  <c r="G57" i="10" s="1"/>
  <c r="K56" i="10"/>
  <c r="J56" i="10"/>
  <c r="E56" i="10"/>
  <c r="G56" i="10" s="1"/>
  <c r="K55" i="10"/>
  <c r="J55" i="10"/>
  <c r="E55" i="10"/>
  <c r="G55" i="10" s="1"/>
  <c r="K54" i="10"/>
  <c r="K65" i="10" s="1"/>
  <c r="J54" i="10"/>
  <c r="K53" i="10"/>
  <c r="J53" i="10"/>
  <c r="E50" i="10"/>
  <c r="D50" i="10"/>
  <c r="G5" i="10" s="1"/>
  <c r="K48" i="10"/>
  <c r="J48" i="10"/>
  <c r="E48" i="10"/>
  <c r="G48" i="10" s="1"/>
  <c r="K47" i="10"/>
  <c r="J47" i="10"/>
  <c r="E47" i="10"/>
  <c r="G47" i="10" s="1"/>
  <c r="K46" i="10"/>
  <c r="K50" i="10" s="1"/>
  <c r="J46" i="10"/>
  <c r="G46" i="10"/>
  <c r="E46" i="10"/>
  <c r="K45" i="10"/>
  <c r="J45" i="10"/>
  <c r="G45" i="10"/>
  <c r="E45" i="10"/>
  <c r="K44" i="10"/>
  <c r="J44" i="10"/>
  <c r="D42" i="10"/>
  <c r="E42" i="10" s="1"/>
  <c r="K40" i="10"/>
  <c r="J40" i="10"/>
  <c r="E40" i="10"/>
  <c r="G40" i="10" s="1"/>
  <c r="K39" i="10"/>
  <c r="J39" i="10"/>
  <c r="E39" i="10"/>
  <c r="G39" i="10" s="1"/>
  <c r="K38" i="10"/>
  <c r="J38" i="10"/>
  <c r="E38" i="10"/>
  <c r="G38" i="10" s="1"/>
  <c r="K37" i="10"/>
  <c r="J37" i="10"/>
  <c r="E37" i="10"/>
  <c r="G37" i="10" s="1"/>
  <c r="K36" i="10"/>
  <c r="J36" i="10"/>
  <c r="K35" i="10"/>
  <c r="J35" i="10"/>
  <c r="K34" i="10"/>
  <c r="J34" i="10"/>
  <c r="E34" i="10"/>
  <c r="G34" i="10" s="1"/>
  <c r="K33" i="10"/>
  <c r="J33" i="10"/>
  <c r="E33" i="10"/>
  <c r="G33" i="10" s="1"/>
  <c r="K32" i="10"/>
  <c r="J32" i="10"/>
  <c r="E32" i="10"/>
  <c r="G32" i="10" s="1"/>
  <c r="K31" i="10"/>
  <c r="J31" i="10"/>
  <c r="E31" i="10"/>
  <c r="G31" i="10" s="1"/>
  <c r="G29" i="10"/>
  <c r="I29" i="10" s="1"/>
  <c r="E29" i="10"/>
  <c r="D27" i="10"/>
  <c r="E27" i="10" s="1"/>
  <c r="E25" i="10"/>
  <c r="G25" i="10" s="1"/>
  <c r="I25" i="10" s="1"/>
  <c r="I24" i="10"/>
  <c r="J24" i="10" s="1"/>
  <c r="E24" i="10"/>
  <c r="G24" i="10" s="1"/>
  <c r="E23" i="10"/>
  <c r="G23" i="10" s="1"/>
  <c r="I23" i="10" s="1"/>
  <c r="I22" i="10"/>
  <c r="K22" i="10" s="1"/>
  <c r="G22" i="10"/>
  <c r="E22" i="10"/>
  <c r="E21" i="10"/>
  <c r="G21" i="10" s="1"/>
  <c r="I21" i="10" s="1"/>
  <c r="G19" i="10"/>
  <c r="I19" i="10" s="1"/>
  <c r="E19" i="10"/>
  <c r="E18" i="10"/>
  <c r="G18" i="10" s="1"/>
  <c r="I18" i="10" s="1"/>
  <c r="I17" i="10"/>
  <c r="K17" i="10" s="1"/>
  <c r="G17" i="10"/>
  <c r="E17" i="10"/>
  <c r="G16" i="10"/>
  <c r="I16" i="10" s="1"/>
  <c r="E16" i="10"/>
  <c r="E14" i="10"/>
  <c r="G14" i="10" s="1"/>
  <c r="I14" i="10" s="1"/>
  <c r="G13" i="10"/>
  <c r="I13" i="10" s="1"/>
  <c r="E13" i="10"/>
  <c r="G12" i="10"/>
  <c r="I12" i="10" s="1"/>
  <c r="E12" i="10"/>
  <c r="E11" i="10"/>
  <c r="G11" i="10" s="1"/>
  <c r="I11" i="10" s="1"/>
  <c r="K10" i="10"/>
  <c r="J10" i="10"/>
  <c r="I10" i="10"/>
  <c r="G10" i="10"/>
  <c r="E10" i="10"/>
  <c r="E9" i="10"/>
  <c r="G9" i="10" s="1"/>
  <c r="I9" i="10" s="1"/>
  <c r="C6" i="10"/>
  <c r="E61" i="10" s="1"/>
  <c r="K69" i="9"/>
  <c r="J69" i="9"/>
  <c r="D67" i="9"/>
  <c r="K64" i="9"/>
  <c r="J64" i="9"/>
  <c r="K63" i="9"/>
  <c r="J63" i="9"/>
  <c r="K62" i="9"/>
  <c r="J62" i="9"/>
  <c r="K61" i="9"/>
  <c r="J61" i="9"/>
  <c r="K60" i="9"/>
  <c r="J60" i="9"/>
  <c r="K59" i="9"/>
  <c r="J59" i="9"/>
  <c r="K58" i="9"/>
  <c r="J58" i="9"/>
  <c r="K57" i="9"/>
  <c r="K67" i="9" s="1"/>
  <c r="J57" i="9"/>
  <c r="K56" i="9"/>
  <c r="J56" i="9"/>
  <c r="K55" i="9"/>
  <c r="J55" i="9"/>
  <c r="K52" i="9"/>
  <c r="E52" i="9"/>
  <c r="D52" i="9"/>
  <c r="G5" i="9" s="1"/>
  <c r="K50" i="9"/>
  <c r="J50" i="9"/>
  <c r="K49" i="9"/>
  <c r="J49" i="9"/>
  <c r="K48" i="9"/>
  <c r="J48" i="9"/>
  <c r="K47" i="9"/>
  <c r="J47" i="9"/>
  <c r="K46" i="9"/>
  <c r="J46" i="9"/>
  <c r="D44" i="9"/>
  <c r="K42" i="9"/>
  <c r="J42" i="9"/>
  <c r="K41" i="9"/>
  <c r="J41" i="9"/>
  <c r="K40" i="9"/>
  <c r="J40" i="9"/>
  <c r="K39" i="9"/>
  <c r="J39" i="9"/>
  <c r="K38" i="9"/>
  <c r="J38" i="9"/>
  <c r="K37" i="9"/>
  <c r="J37" i="9"/>
  <c r="K36" i="9"/>
  <c r="J36" i="9"/>
  <c r="K35" i="9"/>
  <c r="J35" i="9"/>
  <c r="K34" i="9"/>
  <c r="J34" i="9"/>
  <c r="E34" i="9"/>
  <c r="G34" i="9" s="1"/>
  <c r="K33" i="9"/>
  <c r="K44" i="9" s="1"/>
  <c r="J33" i="9"/>
  <c r="D29" i="9"/>
  <c r="E25" i="9"/>
  <c r="G25" i="9" s="1"/>
  <c r="I25" i="9" s="1"/>
  <c r="E24" i="9"/>
  <c r="G24" i="9" s="1"/>
  <c r="I24" i="9" s="1"/>
  <c r="C6" i="9"/>
  <c r="K66" i="8"/>
  <c r="J66" i="8"/>
  <c r="D64" i="8"/>
  <c r="K61" i="8"/>
  <c r="J61" i="8"/>
  <c r="K60" i="8"/>
  <c r="J60" i="8"/>
  <c r="K59" i="8"/>
  <c r="J59" i="8"/>
  <c r="K58" i="8"/>
  <c r="J58" i="8"/>
  <c r="E58" i="8"/>
  <c r="G58" i="8" s="1"/>
  <c r="K57" i="8"/>
  <c r="J57" i="8"/>
  <c r="K56" i="8"/>
  <c r="J56" i="8"/>
  <c r="K55" i="8"/>
  <c r="J55" i="8"/>
  <c r="K54" i="8"/>
  <c r="J54" i="8"/>
  <c r="K53" i="8"/>
  <c r="J53" i="8"/>
  <c r="K52" i="8"/>
  <c r="J52" i="8"/>
  <c r="E52" i="8"/>
  <c r="D49" i="8"/>
  <c r="E49" i="8" s="1"/>
  <c r="K47" i="8"/>
  <c r="J47" i="8"/>
  <c r="E47" i="8"/>
  <c r="G47" i="8" s="1"/>
  <c r="K46" i="8"/>
  <c r="K49" i="8" s="1"/>
  <c r="J46" i="8"/>
  <c r="K45" i="8"/>
  <c r="J45" i="8"/>
  <c r="K44" i="8"/>
  <c r="J44" i="8"/>
  <c r="K43" i="8"/>
  <c r="J43" i="8"/>
  <c r="D41" i="8"/>
  <c r="E41" i="8" s="1"/>
  <c r="K39" i="8"/>
  <c r="J39" i="8"/>
  <c r="E39" i="8"/>
  <c r="G39" i="8" s="1"/>
  <c r="K38" i="8"/>
  <c r="J38" i="8"/>
  <c r="K37" i="8"/>
  <c r="J37" i="8"/>
  <c r="K36" i="8"/>
  <c r="J36" i="8"/>
  <c r="K35" i="8"/>
  <c r="J35" i="8"/>
  <c r="K34" i="8"/>
  <c r="J34" i="8"/>
  <c r="K33" i="8"/>
  <c r="J33" i="8"/>
  <c r="K32" i="8"/>
  <c r="J32" i="8"/>
  <c r="K31" i="8"/>
  <c r="K41" i="8" s="1"/>
  <c r="J31" i="8"/>
  <c r="K30" i="8"/>
  <c r="J30" i="8"/>
  <c r="G28" i="8"/>
  <c r="I28" i="8" s="1"/>
  <c r="E28" i="8"/>
  <c r="D26" i="8"/>
  <c r="E26" i="8" s="1"/>
  <c r="E21" i="8"/>
  <c r="G21" i="8" s="1"/>
  <c r="I21" i="8" s="1"/>
  <c r="E20" i="8"/>
  <c r="G20" i="8" s="1"/>
  <c r="I20" i="8" s="1"/>
  <c r="K20" i="8" s="1"/>
  <c r="E15" i="8"/>
  <c r="G15" i="8" s="1"/>
  <c r="I15" i="8" s="1"/>
  <c r="E13" i="8"/>
  <c r="G13" i="8" s="1"/>
  <c r="I13" i="8" s="1"/>
  <c r="C6" i="8"/>
  <c r="E32" i="8" s="1"/>
  <c r="G32" i="8" s="1"/>
  <c r="G5" i="8"/>
  <c r="K66" i="7"/>
  <c r="J66" i="7"/>
  <c r="D64" i="7"/>
  <c r="K61" i="7"/>
  <c r="J61" i="7"/>
  <c r="K60" i="7"/>
  <c r="J60" i="7"/>
  <c r="K59" i="7"/>
  <c r="J59" i="7"/>
  <c r="K58" i="7"/>
  <c r="J58" i="7"/>
  <c r="K57" i="7"/>
  <c r="J57" i="7"/>
  <c r="K56" i="7"/>
  <c r="J56" i="7"/>
  <c r="K55" i="7"/>
  <c r="J55" i="7"/>
  <c r="K54" i="7"/>
  <c r="J54" i="7"/>
  <c r="K53" i="7"/>
  <c r="J53" i="7"/>
  <c r="K52" i="7"/>
  <c r="J52" i="7"/>
  <c r="D49" i="7"/>
  <c r="K47" i="7"/>
  <c r="J47" i="7"/>
  <c r="K46" i="7"/>
  <c r="K49" i="7" s="1"/>
  <c r="J46" i="7"/>
  <c r="K45" i="7"/>
  <c r="J45" i="7"/>
  <c r="K44" i="7"/>
  <c r="J44" i="7"/>
  <c r="K43" i="7"/>
  <c r="J43" i="7"/>
  <c r="D41" i="7"/>
  <c r="E41" i="7" s="1"/>
  <c r="K39" i="7"/>
  <c r="J39" i="7"/>
  <c r="K38" i="7"/>
  <c r="J38" i="7"/>
  <c r="K37" i="7"/>
  <c r="J37" i="7"/>
  <c r="K36" i="7"/>
  <c r="J36" i="7"/>
  <c r="K35" i="7"/>
  <c r="J35" i="7"/>
  <c r="K34" i="7"/>
  <c r="J34" i="7"/>
  <c r="K33" i="7"/>
  <c r="J33" i="7"/>
  <c r="K32" i="7"/>
  <c r="J32" i="7"/>
  <c r="K31" i="7"/>
  <c r="K41" i="7" s="1"/>
  <c r="J31" i="7"/>
  <c r="K30" i="7"/>
  <c r="J30" i="7"/>
  <c r="D26" i="7"/>
  <c r="K24" i="7"/>
  <c r="J24" i="7"/>
  <c r="C6" i="7"/>
  <c r="G5" i="7"/>
  <c r="K66" i="6"/>
  <c r="J66" i="6"/>
  <c r="D64" i="6"/>
  <c r="K61" i="6"/>
  <c r="J61" i="6"/>
  <c r="K60" i="6"/>
  <c r="J60" i="6"/>
  <c r="E60" i="6"/>
  <c r="G60" i="6" s="1"/>
  <c r="K59" i="6"/>
  <c r="J59" i="6"/>
  <c r="G59" i="6"/>
  <c r="E59" i="6"/>
  <c r="K58" i="6"/>
  <c r="J58" i="6"/>
  <c r="K57" i="6"/>
  <c r="J57" i="6"/>
  <c r="K56" i="6"/>
  <c r="J56" i="6"/>
  <c r="E56" i="6"/>
  <c r="G56" i="6" s="1"/>
  <c r="K55" i="6"/>
  <c r="J55" i="6"/>
  <c r="E55" i="6"/>
  <c r="G55" i="6" s="1"/>
  <c r="K54" i="6"/>
  <c r="J54" i="6"/>
  <c r="K53" i="6"/>
  <c r="K64" i="6" s="1"/>
  <c r="J53" i="6"/>
  <c r="K52" i="6"/>
  <c r="J52" i="6"/>
  <c r="E52" i="6"/>
  <c r="D49" i="6"/>
  <c r="E49" i="6" s="1"/>
  <c r="K47" i="6"/>
  <c r="J47" i="6"/>
  <c r="K46" i="6"/>
  <c r="J46" i="6"/>
  <c r="E46" i="6"/>
  <c r="G46" i="6" s="1"/>
  <c r="K45" i="6"/>
  <c r="J45" i="6"/>
  <c r="E45" i="6"/>
  <c r="G45" i="6" s="1"/>
  <c r="K44" i="6"/>
  <c r="J44" i="6"/>
  <c r="G44" i="6"/>
  <c r="E44" i="6"/>
  <c r="K43" i="6"/>
  <c r="K49" i="6" s="1"/>
  <c r="J43" i="6"/>
  <c r="E43" i="6"/>
  <c r="G43" i="6" s="1"/>
  <c r="D41" i="6"/>
  <c r="K39" i="6"/>
  <c r="J39" i="6"/>
  <c r="K38" i="6"/>
  <c r="J38" i="6"/>
  <c r="K37" i="6"/>
  <c r="J37" i="6"/>
  <c r="G37" i="6"/>
  <c r="E37" i="6"/>
  <c r="K36" i="6"/>
  <c r="J36" i="6"/>
  <c r="G36" i="6"/>
  <c r="E36" i="6"/>
  <c r="K35" i="6"/>
  <c r="J35" i="6"/>
  <c r="K34" i="6"/>
  <c r="J34" i="6"/>
  <c r="G34" i="6"/>
  <c r="E34" i="6"/>
  <c r="K33" i="6"/>
  <c r="J33" i="6"/>
  <c r="K32" i="6"/>
  <c r="J32" i="6"/>
  <c r="K31" i="6"/>
  <c r="K41" i="6" s="1"/>
  <c r="J31" i="6"/>
  <c r="K30" i="6"/>
  <c r="J30" i="6"/>
  <c r="E28" i="6"/>
  <c r="G28" i="6" s="1"/>
  <c r="I28" i="6" s="1"/>
  <c r="E26" i="6"/>
  <c r="D26" i="6"/>
  <c r="K24" i="6"/>
  <c r="J24" i="6"/>
  <c r="I22" i="6"/>
  <c r="K22" i="6" s="1"/>
  <c r="G22" i="6"/>
  <c r="E22" i="6"/>
  <c r="E21" i="6"/>
  <c r="G21" i="6" s="1"/>
  <c r="I21" i="6" s="1"/>
  <c r="G15" i="6"/>
  <c r="I15" i="6" s="1"/>
  <c r="E15" i="6"/>
  <c r="I14" i="6"/>
  <c r="J14" i="6" s="1"/>
  <c r="G14" i="6"/>
  <c r="E14" i="6"/>
  <c r="E11" i="6"/>
  <c r="G11" i="6" s="1"/>
  <c r="I11" i="6" s="1"/>
  <c r="C6" i="6"/>
  <c r="E54" i="6" s="1"/>
  <c r="G54" i="6" s="1"/>
  <c r="G5" i="6"/>
  <c r="K66" i="5"/>
  <c r="J66" i="5"/>
  <c r="E66" i="5"/>
  <c r="D64" i="5"/>
  <c r="G5" i="5" s="1"/>
  <c r="K61" i="5"/>
  <c r="J61" i="5"/>
  <c r="E61" i="5"/>
  <c r="G61" i="5" s="1"/>
  <c r="K60" i="5"/>
  <c r="J60" i="5"/>
  <c r="E60" i="5"/>
  <c r="G60" i="5" s="1"/>
  <c r="K59" i="5"/>
  <c r="J59" i="5"/>
  <c r="K58" i="5"/>
  <c r="J58" i="5"/>
  <c r="K57" i="5"/>
  <c r="J57" i="5"/>
  <c r="K56" i="5"/>
  <c r="J56" i="5"/>
  <c r="E56" i="5"/>
  <c r="G56" i="5" s="1"/>
  <c r="K55" i="5"/>
  <c r="J55" i="5"/>
  <c r="K54" i="5"/>
  <c r="J54" i="5"/>
  <c r="E54" i="5"/>
  <c r="G54" i="5" s="1"/>
  <c r="K53" i="5"/>
  <c r="J53" i="5"/>
  <c r="E53" i="5"/>
  <c r="G53" i="5" s="1"/>
  <c r="K52" i="5"/>
  <c r="K64" i="5" s="1"/>
  <c r="J52" i="5"/>
  <c r="D49" i="5"/>
  <c r="E49" i="5" s="1"/>
  <c r="K47" i="5"/>
  <c r="J47" i="5"/>
  <c r="K46" i="5"/>
  <c r="J46" i="5"/>
  <c r="K45" i="5"/>
  <c r="J45" i="5"/>
  <c r="E45" i="5"/>
  <c r="G45" i="5" s="1"/>
  <c r="K44" i="5"/>
  <c r="J44" i="5"/>
  <c r="G44" i="5"/>
  <c r="E44" i="5"/>
  <c r="K43" i="5"/>
  <c r="J43" i="5"/>
  <c r="E43" i="5"/>
  <c r="G43" i="5" s="1"/>
  <c r="D41" i="5"/>
  <c r="K39" i="5"/>
  <c r="J39" i="5"/>
  <c r="K38" i="5"/>
  <c r="J38" i="5"/>
  <c r="E38" i="5"/>
  <c r="G38" i="5" s="1"/>
  <c r="K37" i="5"/>
  <c r="J37" i="5"/>
  <c r="K36" i="5"/>
  <c r="J36" i="5"/>
  <c r="K35" i="5"/>
  <c r="J35" i="5"/>
  <c r="K34" i="5"/>
  <c r="J34" i="5"/>
  <c r="G34" i="5"/>
  <c r="E34" i="5"/>
  <c r="K33" i="5"/>
  <c r="J33" i="5"/>
  <c r="K32" i="5"/>
  <c r="J32" i="5"/>
  <c r="K31" i="5"/>
  <c r="J31" i="5"/>
  <c r="E31" i="5"/>
  <c r="G31" i="5" s="1"/>
  <c r="K30" i="5"/>
  <c r="K41" i="5" s="1"/>
  <c r="J30" i="5"/>
  <c r="E30" i="5"/>
  <c r="G30" i="5" s="1"/>
  <c r="D26" i="5"/>
  <c r="E26" i="5" s="1"/>
  <c r="K24" i="5"/>
  <c r="J24" i="5"/>
  <c r="G22" i="5"/>
  <c r="I22" i="5" s="1"/>
  <c r="E22" i="5"/>
  <c r="E21" i="5"/>
  <c r="G21" i="5" s="1"/>
  <c r="I21" i="5" s="1"/>
  <c r="G17" i="5"/>
  <c r="I17" i="5" s="1"/>
  <c r="E17" i="5"/>
  <c r="E15" i="5"/>
  <c r="G15" i="5" s="1"/>
  <c r="I15" i="5" s="1"/>
  <c r="J14" i="5"/>
  <c r="I14" i="5"/>
  <c r="K14" i="5" s="1"/>
  <c r="G14" i="5"/>
  <c r="E14" i="5"/>
  <c r="E12" i="5"/>
  <c r="G12" i="5" s="1"/>
  <c r="I12" i="5" s="1"/>
  <c r="E11" i="5"/>
  <c r="G11" i="5" s="1"/>
  <c r="I11" i="5" s="1"/>
  <c r="E10" i="5"/>
  <c r="G10" i="5" s="1"/>
  <c r="I10" i="5" s="1"/>
  <c r="E9" i="5"/>
  <c r="G9" i="5" s="1"/>
  <c r="I9" i="5" s="1"/>
  <c r="C6" i="5"/>
  <c r="E46" i="5" s="1"/>
  <c r="G46" i="5" s="1"/>
  <c r="K66" i="4"/>
  <c r="J66" i="4"/>
  <c r="D64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K64" i="4" s="1"/>
  <c r="J52" i="4"/>
  <c r="D49" i="4"/>
  <c r="K47" i="4"/>
  <c r="J47" i="4"/>
  <c r="K46" i="4"/>
  <c r="J46" i="4"/>
  <c r="E46" i="4"/>
  <c r="G46" i="4" s="1"/>
  <c r="K45" i="4"/>
  <c r="J45" i="4"/>
  <c r="K44" i="4"/>
  <c r="J44" i="4"/>
  <c r="K43" i="4"/>
  <c r="J43" i="4"/>
  <c r="D41" i="4"/>
  <c r="K39" i="4"/>
  <c r="J39" i="4"/>
  <c r="K38" i="4"/>
  <c r="J38" i="4"/>
  <c r="K37" i="4"/>
  <c r="J37" i="4"/>
  <c r="K36" i="4"/>
  <c r="J36" i="4"/>
  <c r="E36" i="4"/>
  <c r="G36" i="4" s="1"/>
  <c r="K35" i="4"/>
  <c r="J35" i="4"/>
  <c r="K34" i="4"/>
  <c r="J34" i="4"/>
  <c r="K33" i="4"/>
  <c r="J33" i="4"/>
  <c r="K32" i="4"/>
  <c r="J32" i="4"/>
  <c r="K31" i="4"/>
  <c r="J31" i="4"/>
  <c r="K30" i="4"/>
  <c r="J30" i="4"/>
  <c r="D26" i="4"/>
  <c r="G5" i="4" s="1"/>
  <c r="E23" i="4"/>
  <c r="G23" i="4" s="1"/>
  <c r="I23" i="4" s="1"/>
  <c r="E16" i="4"/>
  <c r="G16" i="4" s="1"/>
  <c r="I16" i="4" s="1"/>
  <c r="C6" i="4"/>
  <c r="E61" i="4" s="1"/>
  <c r="G61" i="4" s="1"/>
  <c r="K71" i="3"/>
  <c r="J71" i="3"/>
  <c r="E71" i="3"/>
  <c r="G71" i="3" s="1"/>
  <c r="D69" i="3"/>
  <c r="K66" i="3"/>
  <c r="J66" i="3"/>
  <c r="K65" i="3"/>
  <c r="J65" i="3"/>
  <c r="E65" i="3"/>
  <c r="G65" i="3" s="1"/>
  <c r="K64" i="3"/>
  <c r="J64" i="3"/>
  <c r="K63" i="3"/>
  <c r="J63" i="3"/>
  <c r="K62" i="3"/>
  <c r="J62" i="3"/>
  <c r="E62" i="3"/>
  <c r="G62" i="3" s="1"/>
  <c r="K61" i="3"/>
  <c r="J61" i="3"/>
  <c r="E61" i="3"/>
  <c r="G61" i="3" s="1"/>
  <c r="K60" i="3"/>
  <c r="J60" i="3"/>
  <c r="E60" i="3"/>
  <c r="G60" i="3" s="1"/>
  <c r="K59" i="3"/>
  <c r="J59" i="3"/>
  <c r="K58" i="3"/>
  <c r="J58" i="3"/>
  <c r="K57" i="3"/>
  <c r="J57" i="3"/>
  <c r="K56" i="3"/>
  <c r="J56" i="3"/>
  <c r="K55" i="3"/>
  <c r="K69" i="3" s="1"/>
  <c r="J55" i="3"/>
  <c r="E55" i="3"/>
  <c r="D52" i="3"/>
  <c r="E52" i="3" s="1"/>
  <c r="K50" i="3"/>
  <c r="J50" i="3"/>
  <c r="G50" i="3"/>
  <c r="E50" i="3"/>
  <c r="K49" i="3"/>
  <c r="J49" i="3"/>
  <c r="E49" i="3"/>
  <c r="G49" i="3" s="1"/>
  <c r="K48" i="3"/>
  <c r="K52" i="3" s="1"/>
  <c r="J48" i="3"/>
  <c r="K47" i="3"/>
  <c r="J47" i="3"/>
  <c r="K46" i="3"/>
  <c r="J46" i="3"/>
  <c r="D44" i="3"/>
  <c r="E44" i="3" s="1"/>
  <c r="K42" i="3"/>
  <c r="J42" i="3"/>
  <c r="E42" i="3"/>
  <c r="G42" i="3" s="1"/>
  <c r="K41" i="3"/>
  <c r="J41" i="3"/>
  <c r="G41" i="3"/>
  <c r="E41" i="3"/>
  <c r="K40" i="3"/>
  <c r="J40" i="3"/>
  <c r="G40" i="3"/>
  <c r="E40" i="3"/>
  <c r="K39" i="3"/>
  <c r="J39" i="3"/>
  <c r="K38" i="3"/>
  <c r="J38" i="3"/>
  <c r="K37" i="3"/>
  <c r="J37" i="3"/>
  <c r="G37" i="3"/>
  <c r="E37" i="3"/>
  <c r="K36" i="3"/>
  <c r="J36" i="3"/>
  <c r="E36" i="3"/>
  <c r="G36" i="3" s="1"/>
  <c r="K35" i="3"/>
  <c r="J35" i="3"/>
  <c r="E35" i="3"/>
  <c r="G35" i="3" s="1"/>
  <c r="K34" i="3"/>
  <c r="J34" i="3"/>
  <c r="E34" i="3"/>
  <c r="G34" i="3" s="1"/>
  <c r="K33" i="3"/>
  <c r="J33" i="3"/>
  <c r="D29" i="3"/>
  <c r="G5" i="3" s="1"/>
  <c r="E26" i="3"/>
  <c r="G26" i="3" s="1"/>
  <c r="I26" i="3" s="1"/>
  <c r="E25" i="3"/>
  <c r="G25" i="3" s="1"/>
  <c r="I25" i="3" s="1"/>
  <c r="E22" i="3"/>
  <c r="G22" i="3" s="1"/>
  <c r="I22" i="3" s="1"/>
  <c r="E21" i="3"/>
  <c r="G21" i="3" s="1"/>
  <c r="I21" i="3" s="1"/>
  <c r="G20" i="3"/>
  <c r="I20" i="3" s="1"/>
  <c r="E20" i="3"/>
  <c r="G17" i="3"/>
  <c r="I17" i="3" s="1"/>
  <c r="E17" i="3"/>
  <c r="E15" i="3"/>
  <c r="G15" i="3" s="1"/>
  <c r="I15" i="3" s="1"/>
  <c r="E14" i="3"/>
  <c r="G14" i="3" s="1"/>
  <c r="I14" i="3" s="1"/>
  <c r="E12" i="3"/>
  <c r="G12" i="3" s="1"/>
  <c r="I12" i="3" s="1"/>
  <c r="E10" i="3"/>
  <c r="G10" i="3" s="1"/>
  <c r="I10" i="3" s="1"/>
  <c r="E9" i="3"/>
  <c r="G9" i="3" s="1"/>
  <c r="I9" i="3" s="1"/>
  <c r="C6" i="3"/>
  <c r="E66" i="3" s="1"/>
  <c r="G66" i="3" s="1"/>
  <c r="K67" i="2"/>
  <c r="J67" i="2"/>
  <c r="E67" i="2"/>
  <c r="G67" i="2" s="1"/>
  <c r="D65" i="2"/>
  <c r="K61" i="2"/>
  <c r="J61" i="2"/>
  <c r="E61" i="2"/>
  <c r="G61" i="2" s="1"/>
  <c r="K60" i="2"/>
  <c r="J60" i="2"/>
  <c r="E60" i="2"/>
  <c r="G60" i="2" s="1"/>
  <c r="K59" i="2"/>
  <c r="J59" i="2"/>
  <c r="G59" i="2"/>
  <c r="K58" i="2"/>
  <c r="J58" i="2"/>
  <c r="G58" i="2"/>
  <c r="E58" i="2"/>
  <c r="K57" i="2"/>
  <c r="J57" i="2"/>
  <c r="E57" i="2"/>
  <c r="G57" i="2" s="1"/>
  <c r="K56" i="2"/>
  <c r="J56" i="2"/>
  <c r="E56" i="2"/>
  <c r="G56" i="2" s="1"/>
  <c r="K55" i="2"/>
  <c r="J55" i="2"/>
  <c r="E55" i="2"/>
  <c r="G55" i="2" s="1"/>
  <c r="K54" i="2"/>
  <c r="J54" i="2"/>
  <c r="E54" i="2"/>
  <c r="G54" i="2" s="1"/>
  <c r="K53" i="2"/>
  <c r="K65" i="2" s="1"/>
  <c r="J53" i="2"/>
  <c r="G53" i="2"/>
  <c r="E53" i="2"/>
  <c r="K52" i="2"/>
  <c r="J52" i="2"/>
  <c r="D49" i="2"/>
  <c r="E49" i="2" s="1"/>
  <c r="K47" i="2"/>
  <c r="J47" i="2"/>
  <c r="G47" i="2"/>
  <c r="E47" i="2"/>
  <c r="K46" i="2"/>
  <c r="J46" i="2"/>
  <c r="G46" i="2"/>
  <c r="E46" i="2"/>
  <c r="K45" i="2"/>
  <c r="J45" i="2"/>
  <c r="E45" i="2"/>
  <c r="G45" i="2" s="1"/>
  <c r="K44" i="2"/>
  <c r="J44" i="2"/>
  <c r="E44" i="2"/>
  <c r="G44" i="2" s="1"/>
  <c r="K43" i="2"/>
  <c r="K49" i="2" s="1"/>
  <c r="J43" i="2"/>
  <c r="G43" i="2"/>
  <c r="E43" i="2"/>
  <c r="D41" i="2"/>
  <c r="E41" i="2" s="1"/>
  <c r="K39" i="2"/>
  <c r="J39" i="2"/>
  <c r="E39" i="2"/>
  <c r="G39" i="2" s="1"/>
  <c r="K38" i="2"/>
  <c r="J38" i="2"/>
  <c r="E38" i="2"/>
  <c r="G38" i="2" s="1"/>
  <c r="K37" i="2"/>
  <c r="J37" i="2"/>
  <c r="E37" i="2"/>
  <c r="G37" i="2" s="1"/>
  <c r="K36" i="2"/>
  <c r="J36" i="2"/>
  <c r="E36" i="2"/>
  <c r="G36" i="2" s="1"/>
  <c r="K35" i="2"/>
  <c r="J35" i="2"/>
  <c r="E35" i="2"/>
  <c r="G35" i="2" s="1"/>
  <c r="K34" i="2"/>
  <c r="J34" i="2"/>
  <c r="K33" i="2"/>
  <c r="J33" i="2"/>
  <c r="E33" i="2"/>
  <c r="G33" i="2" s="1"/>
  <c r="K32" i="2"/>
  <c r="J32" i="2"/>
  <c r="E32" i="2"/>
  <c r="G32" i="2" s="1"/>
  <c r="K31" i="2"/>
  <c r="J31" i="2"/>
  <c r="E31" i="2"/>
  <c r="G31" i="2" s="1"/>
  <c r="K30" i="2"/>
  <c r="J30" i="2"/>
  <c r="G30" i="2"/>
  <c r="E30" i="2"/>
  <c r="E28" i="2"/>
  <c r="G28" i="2" s="1"/>
  <c r="I28" i="2" s="1"/>
  <c r="E26" i="2"/>
  <c r="D26" i="2"/>
  <c r="G5" i="2" s="1"/>
  <c r="I24" i="2"/>
  <c r="K24" i="2" s="1"/>
  <c r="G24" i="2"/>
  <c r="E24" i="2"/>
  <c r="E23" i="2"/>
  <c r="G23" i="2" s="1"/>
  <c r="I23" i="2" s="1"/>
  <c r="E22" i="2"/>
  <c r="G22" i="2" s="1"/>
  <c r="I22" i="2" s="1"/>
  <c r="E21" i="2"/>
  <c r="G21" i="2" s="1"/>
  <c r="I21" i="2" s="1"/>
  <c r="E20" i="2"/>
  <c r="G20" i="2" s="1"/>
  <c r="I20" i="2" s="1"/>
  <c r="E19" i="2"/>
  <c r="G19" i="2" s="1"/>
  <c r="I19" i="2" s="1"/>
  <c r="E18" i="2"/>
  <c r="G18" i="2" s="1"/>
  <c r="I18" i="2" s="1"/>
  <c r="E17" i="2"/>
  <c r="G17" i="2" s="1"/>
  <c r="I17" i="2" s="1"/>
  <c r="E16" i="2"/>
  <c r="G16" i="2" s="1"/>
  <c r="I16" i="2" s="1"/>
  <c r="I15" i="2"/>
  <c r="J15" i="2" s="1"/>
  <c r="G15" i="2"/>
  <c r="E15" i="2"/>
  <c r="E13" i="2"/>
  <c r="G13" i="2" s="1"/>
  <c r="I13" i="2" s="1"/>
  <c r="I12" i="2"/>
  <c r="K12" i="2" s="1"/>
  <c r="G12" i="2"/>
  <c r="E12" i="2"/>
  <c r="G11" i="2"/>
  <c r="I11" i="2" s="1"/>
  <c r="E11" i="2"/>
  <c r="E10" i="2"/>
  <c r="G10" i="2" s="1"/>
  <c r="I10" i="2" s="1"/>
  <c r="G9" i="2"/>
  <c r="I9" i="2" s="1"/>
  <c r="E9" i="2"/>
  <c r="C6" i="2"/>
  <c r="E59" i="2" s="1"/>
  <c r="K60" i="19"/>
  <c r="K45" i="19"/>
  <c r="K47" i="19"/>
  <c r="K59" i="19"/>
  <c r="K46" i="19"/>
  <c r="K54" i="19"/>
  <c r="G12" i="20" l="1"/>
  <c r="I12" i="20" s="1"/>
  <c r="J12" i="20" s="1"/>
  <c r="G50" i="20"/>
  <c r="I50" i="20" s="1"/>
  <c r="J50" i="20" s="1"/>
  <c r="G42" i="20"/>
  <c r="I42" i="20" s="1"/>
  <c r="J42" i="20" s="1"/>
  <c r="G11" i="20"/>
  <c r="I11" i="20" s="1"/>
  <c r="J11" i="20" s="1"/>
  <c r="G43" i="20"/>
  <c r="I43" i="20" s="1"/>
  <c r="J43" i="20" s="1"/>
  <c r="G14" i="20"/>
  <c r="I14" i="20" s="1"/>
  <c r="J14" i="20" s="1"/>
  <c r="G23" i="20"/>
  <c r="I23" i="20" s="1"/>
  <c r="K23" i="20" s="1"/>
  <c r="K63" i="20"/>
  <c r="G46" i="20"/>
  <c r="I46" i="20" s="1"/>
  <c r="G56" i="20"/>
  <c r="G49" i="20"/>
  <c r="I49" i="20" s="1"/>
  <c r="G45" i="20"/>
  <c r="I45" i="20" s="1"/>
  <c r="J45" i="20" s="1"/>
  <c r="J44" i="20"/>
  <c r="K44" i="20"/>
  <c r="G41" i="20"/>
  <c r="I41" i="20" s="1"/>
  <c r="J41" i="20" s="1"/>
  <c r="K63" i="19"/>
  <c r="F72" i="20"/>
  <c r="G68" i="20"/>
  <c r="K49" i="19"/>
  <c r="F58" i="20"/>
  <c r="K61" i="19"/>
  <c r="F70" i="20"/>
  <c r="K70" i="20" s="1"/>
  <c r="K56" i="19"/>
  <c r="F65" i="20"/>
  <c r="K57" i="19"/>
  <c r="F66" i="20"/>
  <c r="K58" i="19"/>
  <c r="F67" i="20"/>
  <c r="K48" i="19"/>
  <c r="F57" i="20"/>
  <c r="K19" i="20"/>
  <c r="K62" i="19"/>
  <c r="F71" i="20"/>
  <c r="G55" i="20"/>
  <c r="G69" i="20"/>
  <c r="G54" i="20"/>
  <c r="G25" i="20"/>
  <c r="I25" i="20" s="1"/>
  <c r="J25" i="20" s="1"/>
  <c r="G21" i="20"/>
  <c r="I21" i="20" s="1"/>
  <c r="K21" i="20" s="1"/>
  <c r="G17" i="20"/>
  <c r="I17" i="20" s="1"/>
  <c r="K17" i="20" s="1"/>
  <c r="G13" i="20"/>
  <c r="I13" i="20" s="1"/>
  <c r="J13" i="20" s="1"/>
  <c r="J23" i="20"/>
  <c r="G9" i="20"/>
  <c r="I9" i="20" s="1"/>
  <c r="J9" i="20" s="1"/>
  <c r="K22" i="20"/>
  <c r="J46" i="20"/>
  <c r="K46" i="20"/>
  <c r="K16" i="20"/>
  <c r="K15" i="20"/>
  <c r="J32" i="20"/>
  <c r="K32" i="20"/>
  <c r="J33" i="20"/>
  <c r="K33" i="20"/>
  <c r="J28" i="20"/>
  <c r="K28" i="20"/>
  <c r="K20" i="20"/>
  <c r="J34" i="20"/>
  <c r="K34" i="20"/>
  <c r="J26" i="20"/>
  <c r="K26" i="20"/>
  <c r="J30" i="20"/>
  <c r="K30" i="20"/>
  <c r="K35" i="20"/>
  <c r="J31" i="20"/>
  <c r="K31" i="20"/>
  <c r="J29" i="20"/>
  <c r="K29" i="20"/>
  <c r="K24" i="20"/>
  <c r="J27" i="20"/>
  <c r="K27" i="20"/>
  <c r="K42" i="20"/>
  <c r="K10" i="20"/>
  <c r="J49" i="20"/>
  <c r="K49" i="20"/>
  <c r="E75" i="20"/>
  <c r="E4" i="20" s="1"/>
  <c r="G64" i="20"/>
  <c r="K12" i="20"/>
  <c r="K39" i="20"/>
  <c r="K45" i="20"/>
  <c r="K43" i="20"/>
  <c r="K50" i="20"/>
  <c r="K9" i="20"/>
  <c r="K48" i="20"/>
  <c r="K18" i="20"/>
  <c r="K47" i="20"/>
  <c r="E2" i="20"/>
  <c r="K55" i="19"/>
  <c r="K66" i="19" s="1"/>
  <c r="G5" i="19"/>
  <c r="E28" i="19"/>
  <c r="E30" i="19"/>
  <c r="E58" i="19"/>
  <c r="E35" i="19"/>
  <c r="E36" i="19"/>
  <c r="E11" i="19"/>
  <c r="G30" i="19"/>
  <c r="I30" i="19" s="1"/>
  <c r="J30" i="19" s="1"/>
  <c r="E12" i="19"/>
  <c r="K20" i="3"/>
  <c r="J20" i="3"/>
  <c r="K13" i="8"/>
  <c r="J13" i="8"/>
  <c r="K28" i="2"/>
  <c r="J28" i="2"/>
  <c r="K21" i="3"/>
  <c r="J21" i="3"/>
  <c r="K21" i="8"/>
  <c r="J21" i="8"/>
  <c r="K26" i="3"/>
  <c r="J26" i="3"/>
  <c r="K23" i="11"/>
  <c r="J23" i="11"/>
  <c r="J22" i="5"/>
  <c r="K22" i="5"/>
  <c r="K10" i="14"/>
  <c r="J10" i="14"/>
  <c r="K11" i="10"/>
  <c r="J11" i="10"/>
  <c r="J26" i="18"/>
  <c r="K26" i="18"/>
  <c r="K18" i="13"/>
  <c r="J18" i="13"/>
  <c r="K25" i="3"/>
  <c r="J25" i="3"/>
  <c r="J30" i="14"/>
  <c r="K30" i="14"/>
  <c r="J16" i="2"/>
  <c r="K16" i="2"/>
  <c r="K11" i="5"/>
  <c r="J11" i="5"/>
  <c r="J11" i="2"/>
  <c r="K11" i="2"/>
  <c r="K21" i="6"/>
  <c r="J21" i="6"/>
  <c r="K18" i="2"/>
  <c r="J18" i="2"/>
  <c r="J22" i="3"/>
  <c r="K22" i="3"/>
  <c r="K28" i="8"/>
  <c r="J28" i="8"/>
  <c r="K10" i="2"/>
  <c r="J10" i="2"/>
  <c r="K15" i="6"/>
  <c r="J15" i="6"/>
  <c r="K20" i="2"/>
  <c r="J20" i="2"/>
  <c r="K9" i="3"/>
  <c r="J9" i="3"/>
  <c r="K29" i="13"/>
  <c r="J29" i="13"/>
  <c r="K9" i="2"/>
  <c r="J9" i="2"/>
  <c r="J16" i="4"/>
  <c r="K16" i="4"/>
  <c r="J21" i="2"/>
  <c r="K21" i="2"/>
  <c r="J10" i="3"/>
  <c r="K10" i="3"/>
  <c r="J28" i="6"/>
  <c r="K28" i="6"/>
  <c r="K11" i="6"/>
  <c r="J11" i="6"/>
  <c r="J22" i="2"/>
  <c r="K22" i="2"/>
  <c r="K15" i="5"/>
  <c r="J15" i="5"/>
  <c r="K14" i="3"/>
  <c r="J14" i="3"/>
  <c r="K15" i="3"/>
  <c r="J15" i="3"/>
  <c r="K17" i="5"/>
  <c r="J17" i="5"/>
  <c r="J9" i="5"/>
  <c r="K9" i="5"/>
  <c r="K10" i="5"/>
  <c r="J10" i="5"/>
  <c r="J23" i="2"/>
  <c r="K23" i="2"/>
  <c r="J21" i="5"/>
  <c r="K21" i="5"/>
  <c r="K17" i="2"/>
  <c r="J17" i="2"/>
  <c r="K12" i="3"/>
  <c r="J12" i="3"/>
  <c r="K17" i="3"/>
  <c r="J17" i="3"/>
  <c r="E59" i="4"/>
  <c r="G59" i="4" s="1"/>
  <c r="E46" i="7"/>
  <c r="G46" i="7" s="1"/>
  <c r="E31" i="7"/>
  <c r="G31" i="7" s="1"/>
  <c r="E22" i="7"/>
  <c r="G22" i="7" s="1"/>
  <c r="I22" i="7" s="1"/>
  <c r="E37" i="7"/>
  <c r="G37" i="7" s="1"/>
  <c r="E55" i="7"/>
  <c r="G55" i="7" s="1"/>
  <c r="E66" i="7"/>
  <c r="E56" i="7"/>
  <c r="G56" i="7" s="1"/>
  <c r="E36" i="7"/>
  <c r="G36" i="7" s="1"/>
  <c r="E45" i="7"/>
  <c r="G45" i="7" s="1"/>
  <c r="E28" i="7"/>
  <c r="G28" i="7" s="1"/>
  <c r="I28" i="7" s="1"/>
  <c r="E26" i="7"/>
  <c r="E19" i="7"/>
  <c r="G19" i="7" s="1"/>
  <c r="I19" i="7" s="1"/>
  <c r="E35" i="7"/>
  <c r="G35" i="7" s="1"/>
  <c r="E13" i="7"/>
  <c r="G13" i="7" s="1"/>
  <c r="I13" i="7" s="1"/>
  <c r="E44" i="7"/>
  <c r="G44" i="7" s="1"/>
  <c r="E61" i="7"/>
  <c r="G61" i="7" s="1"/>
  <c r="E54" i="7"/>
  <c r="G54" i="7" s="1"/>
  <c r="E34" i="7"/>
  <c r="G34" i="7" s="1"/>
  <c r="E24" i="7"/>
  <c r="G24" i="7" s="1"/>
  <c r="E18" i="7"/>
  <c r="G18" i="7" s="1"/>
  <c r="I18" i="7" s="1"/>
  <c r="E43" i="7"/>
  <c r="G43" i="7" s="1"/>
  <c r="E12" i="7"/>
  <c r="G12" i="7" s="1"/>
  <c r="I12" i="7" s="1"/>
  <c r="E60" i="7"/>
  <c r="G60" i="7" s="1"/>
  <c r="E53" i="7"/>
  <c r="G53" i="7" s="1"/>
  <c r="E33" i="7"/>
  <c r="G33" i="7" s="1"/>
  <c r="E11" i="7"/>
  <c r="G11" i="7" s="1"/>
  <c r="I11" i="7" s="1"/>
  <c r="E23" i="7"/>
  <c r="G23" i="7" s="1"/>
  <c r="I23" i="7" s="1"/>
  <c r="E17" i="7"/>
  <c r="G17" i="7" s="1"/>
  <c r="I17" i="7" s="1"/>
  <c r="E59" i="7"/>
  <c r="G59" i="7" s="1"/>
  <c r="E52" i="7"/>
  <c r="E39" i="7"/>
  <c r="G39" i="7" s="1"/>
  <c r="E32" i="7"/>
  <c r="G32" i="7" s="1"/>
  <c r="E58" i="7"/>
  <c r="G58" i="7" s="1"/>
  <c r="E38" i="7"/>
  <c r="G38" i="7" s="1"/>
  <c r="E15" i="7"/>
  <c r="G15" i="7" s="1"/>
  <c r="I15" i="7" s="1"/>
  <c r="E47" i="7"/>
  <c r="G47" i="7" s="1"/>
  <c r="E9" i="7"/>
  <c r="G9" i="7" s="1"/>
  <c r="I9" i="7" s="1"/>
  <c r="K24" i="10"/>
  <c r="K29" i="11"/>
  <c r="J29" i="11"/>
  <c r="K15" i="14"/>
  <c r="J15" i="14"/>
  <c r="K15" i="12"/>
  <c r="J15" i="12"/>
  <c r="K21" i="13"/>
  <c r="J21" i="13"/>
  <c r="J23" i="16"/>
  <c r="K23" i="16"/>
  <c r="E9" i="4"/>
  <c r="G9" i="4" s="1"/>
  <c r="I9" i="4" s="1"/>
  <c r="E47" i="4"/>
  <c r="G47" i="4" s="1"/>
  <c r="E30" i="7"/>
  <c r="G30" i="7" s="1"/>
  <c r="K25" i="10"/>
  <c r="J25" i="10"/>
  <c r="K22" i="13"/>
  <c r="J22" i="13"/>
  <c r="K9" i="16"/>
  <c r="J9" i="16"/>
  <c r="K11" i="17"/>
  <c r="J11" i="17"/>
  <c r="G23" i="19"/>
  <c r="I23" i="19" s="1"/>
  <c r="J23" i="19" s="1"/>
  <c r="K23" i="13"/>
  <c r="J23" i="13"/>
  <c r="J17" i="14"/>
  <c r="E17" i="4"/>
  <c r="G17" i="4" s="1"/>
  <c r="I17" i="4" s="1"/>
  <c r="E60" i="4"/>
  <c r="G60" i="4" s="1"/>
  <c r="E10" i="7"/>
  <c r="G10" i="7" s="1"/>
  <c r="I10" i="7" s="1"/>
  <c r="K13" i="11"/>
  <c r="J13" i="11"/>
  <c r="K17" i="12"/>
  <c r="J17" i="12"/>
  <c r="K18" i="14"/>
  <c r="J18" i="14"/>
  <c r="K10" i="16"/>
  <c r="J10" i="16"/>
  <c r="K41" i="2"/>
  <c r="K29" i="10"/>
  <c r="J29" i="10"/>
  <c r="K18" i="12"/>
  <c r="J18" i="12"/>
  <c r="K11" i="16"/>
  <c r="J11" i="16"/>
  <c r="K12" i="17"/>
  <c r="J12" i="17"/>
  <c r="K14" i="6"/>
  <c r="K20" i="14"/>
  <c r="J20" i="14"/>
  <c r="E10" i="4"/>
  <c r="G10" i="4" s="1"/>
  <c r="I10" i="4" s="1"/>
  <c r="E30" i="4"/>
  <c r="G30" i="4" s="1"/>
  <c r="E38" i="4"/>
  <c r="G38" i="4" s="1"/>
  <c r="J22" i="6"/>
  <c r="E14" i="7"/>
  <c r="G14" i="7" s="1"/>
  <c r="I14" i="7" s="1"/>
  <c r="K21" i="14"/>
  <c r="J21" i="14"/>
  <c r="K43" i="14"/>
  <c r="J12" i="16"/>
  <c r="K12" i="16"/>
  <c r="K13" i="17"/>
  <c r="J13" i="17"/>
  <c r="K12" i="5"/>
  <c r="J12" i="5"/>
  <c r="E53" i="4"/>
  <c r="G53" i="4" s="1"/>
  <c r="K49" i="5"/>
  <c r="K26" i="14"/>
  <c r="J26" i="14"/>
  <c r="K30" i="15"/>
  <c r="J30" i="15"/>
  <c r="K41" i="4"/>
  <c r="K12" i="10"/>
  <c r="J12" i="10"/>
  <c r="K66" i="16"/>
  <c r="E49" i="7"/>
  <c r="K16" i="11"/>
  <c r="J16" i="11"/>
  <c r="E34" i="4"/>
  <c r="G34" i="4" s="1"/>
  <c r="E14" i="4"/>
  <c r="G14" i="4" s="1"/>
  <c r="I14" i="4" s="1"/>
  <c r="E52" i="4"/>
  <c r="E19" i="4"/>
  <c r="G19" i="4" s="1"/>
  <c r="I19" i="4" s="1"/>
  <c r="E58" i="4"/>
  <c r="G58" i="4" s="1"/>
  <c r="E49" i="4"/>
  <c r="E24" i="4"/>
  <c r="G24" i="4" s="1"/>
  <c r="I24" i="4" s="1"/>
  <c r="E33" i="4"/>
  <c r="G33" i="4" s="1"/>
  <c r="E13" i="4"/>
  <c r="G13" i="4" s="1"/>
  <c r="I13" i="4" s="1"/>
  <c r="E39" i="4"/>
  <c r="G39" i="4" s="1"/>
  <c r="E57" i="4"/>
  <c r="G57" i="4" s="1"/>
  <c r="E18" i="4"/>
  <c r="G18" i="4" s="1"/>
  <c r="I18" i="4" s="1"/>
  <c r="E37" i="4"/>
  <c r="G37" i="4" s="1"/>
  <c r="E28" i="4"/>
  <c r="G28" i="4" s="1"/>
  <c r="I28" i="4" s="1"/>
  <c r="E15" i="4"/>
  <c r="G15" i="4" s="1"/>
  <c r="I15" i="4" s="1"/>
  <c r="J13" i="10"/>
  <c r="K13" i="10"/>
  <c r="J17" i="11"/>
  <c r="K17" i="11"/>
  <c r="J21" i="12"/>
  <c r="K21" i="12"/>
  <c r="J20" i="8"/>
  <c r="K16" i="13"/>
  <c r="J16" i="13"/>
  <c r="K64" i="7"/>
  <c r="E55" i="9"/>
  <c r="E47" i="9"/>
  <c r="G47" i="9" s="1"/>
  <c r="E23" i="9"/>
  <c r="G23" i="9" s="1"/>
  <c r="I23" i="9" s="1"/>
  <c r="E12" i="9"/>
  <c r="G12" i="9" s="1"/>
  <c r="I12" i="9" s="1"/>
  <c r="E63" i="9"/>
  <c r="G63" i="9" s="1"/>
  <c r="E38" i="9"/>
  <c r="G38" i="9" s="1"/>
  <c r="E17" i="9"/>
  <c r="G17" i="9" s="1"/>
  <c r="I17" i="9" s="1"/>
  <c r="E56" i="9"/>
  <c r="G56" i="9" s="1"/>
  <c r="E46" i="9"/>
  <c r="G46" i="9" s="1"/>
  <c r="E22" i="9"/>
  <c r="G22" i="9" s="1"/>
  <c r="I22" i="9" s="1"/>
  <c r="E11" i="9"/>
  <c r="G11" i="9" s="1"/>
  <c r="I11" i="9" s="1"/>
  <c r="E62" i="9"/>
  <c r="G62" i="9" s="1"/>
  <c r="E37" i="9"/>
  <c r="G37" i="9" s="1"/>
  <c r="E33" i="9"/>
  <c r="G33" i="9" s="1"/>
  <c r="E61" i="9"/>
  <c r="G61" i="9" s="1"/>
  <c r="E50" i="9"/>
  <c r="G50" i="9" s="1"/>
  <c r="E40" i="9"/>
  <c r="G40" i="9" s="1"/>
  <c r="E21" i="9"/>
  <c r="G21" i="9" s="1"/>
  <c r="I21" i="9" s="1"/>
  <c r="E14" i="9"/>
  <c r="G14" i="9" s="1"/>
  <c r="I14" i="9" s="1"/>
  <c r="E60" i="9"/>
  <c r="G60" i="9" s="1"/>
  <c r="E31" i="9"/>
  <c r="G31" i="9" s="1"/>
  <c r="I31" i="9" s="1"/>
  <c r="E49" i="9"/>
  <c r="G49" i="9" s="1"/>
  <c r="E39" i="9"/>
  <c r="G39" i="9" s="1"/>
  <c r="E27" i="9"/>
  <c r="G27" i="9" s="1"/>
  <c r="I27" i="9" s="1"/>
  <c r="E20" i="9"/>
  <c r="G20" i="9" s="1"/>
  <c r="I20" i="9" s="1"/>
  <c r="E13" i="9"/>
  <c r="G13" i="9" s="1"/>
  <c r="I13" i="9" s="1"/>
  <c r="E59" i="9"/>
  <c r="G59" i="9" s="1"/>
  <c r="E48" i="9"/>
  <c r="G48" i="9" s="1"/>
  <c r="E26" i="9"/>
  <c r="G26" i="9" s="1"/>
  <c r="I26" i="9" s="1"/>
  <c r="E69" i="9"/>
  <c r="E19" i="9"/>
  <c r="G19" i="9" s="1"/>
  <c r="I19" i="9" s="1"/>
  <c r="E58" i="9"/>
  <c r="G58" i="9" s="1"/>
  <c r="E36" i="9"/>
  <c r="G36" i="9" s="1"/>
  <c r="E10" i="9"/>
  <c r="G10" i="9" s="1"/>
  <c r="I10" i="9" s="1"/>
  <c r="E57" i="9"/>
  <c r="G57" i="9" s="1"/>
  <c r="E18" i="9"/>
  <c r="G18" i="9" s="1"/>
  <c r="I18" i="9" s="1"/>
  <c r="E35" i="9"/>
  <c r="G35" i="9" s="1"/>
  <c r="E64" i="9"/>
  <c r="G64" i="9" s="1"/>
  <c r="E16" i="9"/>
  <c r="G16" i="9" s="1"/>
  <c r="I16" i="9" s="1"/>
  <c r="E42" i="9"/>
  <c r="G42" i="9" s="1"/>
  <c r="E9" i="9"/>
  <c r="G9" i="9" s="1"/>
  <c r="I9" i="9" s="1"/>
  <c r="K18" i="11"/>
  <c r="J18" i="11"/>
  <c r="K22" i="12"/>
  <c r="J22" i="12"/>
  <c r="J22" i="17"/>
  <c r="K22" i="17"/>
  <c r="E29" i="3"/>
  <c r="K16" i="10"/>
  <c r="J16" i="10"/>
  <c r="K23" i="4"/>
  <c r="J23" i="4"/>
  <c r="J12" i="12"/>
  <c r="K11" i="14"/>
  <c r="J11" i="14"/>
  <c r="E31" i="4"/>
  <c r="G31" i="4" s="1"/>
  <c r="K23" i="17"/>
  <c r="J23" i="17"/>
  <c r="E54" i="4"/>
  <c r="G54" i="4" s="1"/>
  <c r="E21" i="4"/>
  <c r="G21" i="4" s="1"/>
  <c r="I21" i="4" s="1"/>
  <c r="E32" i="4"/>
  <c r="G32" i="4" s="1"/>
  <c r="E9" i="6"/>
  <c r="G9" i="6" s="1"/>
  <c r="I9" i="6" s="1"/>
  <c r="G52" i="6"/>
  <c r="E15" i="9"/>
  <c r="G15" i="9" s="1"/>
  <c r="I15" i="9" s="1"/>
  <c r="E41" i="9"/>
  <c r="G41" i="9" s="1"/>
  <c r="K24" i="12"/>
  <c r="J24" i="12"/>
  <c r="G54" i="17"/>
  <c r="K24" i="9"/>
  <c r="J24" i="9"/>
  <c r="J12" i="2"/>
  <c r="E16" i="7"/>
  <c r="G16" i="7" s="1"/>
  <c r="I16" i="7" s="1"/>
  <c r="K49" i="4"/>
  <c r="E66" i="4"/>
  <c r="E38" i="6"/>
  <c r="G38" i="6" s="1"/>
  <c r="K21" i="11"/>
  <c r="J21" i="11"/>
  <c r="K23" i="10"/>
  <c r="J23" i="10"/>
  <c r="E26" i="4"/>
  <c r="K12" i="14"/>
  <c r="J12" i="14"/>
  <c r="K44" i="3"/>
  <c r="E44" i="4"/>
  <c r="G44" i="4" s="1"/>
  <c r="E55" i="4"/>
  <c r="G55" i="4" s="1"/>
  <c r="E17" i="6"/>
  <c r="G17" i="6" s="1"/>
  <c r="I17" i="6" s="1"/>
  <c r="E30" i="6"/>
  <c r="G30" i="6" s="1"/>
  <c r="E61" i="6"/>
  <c r="G61" i="6" s="1"/>
  <c r="E20" i="7"/>
  <c r="G20" i="7" s="1"/>
  <c r="I20" i="7" s="1"/>
  <c r="J17" i="10"/>
  <c r="K29" i="12"/>
  <c r="J29" i="12"/>
  <c r="J19" i="16"/>
  <c r="K19" i="16"/>
  <c r="K13" i="2"/>
  <c r="J13" i="2"/>
  <c r="K10" i="11"/>
  <c r="J10" i="11"/>
  <c r="K15" i="2"/>
  <c r="E11" i="4"/>
  <c r="G11" i="4" s="1"/>
  <c r="I11" i="4" s="1"/>
  <c r="E43" i="4"/>
  <c r="G43" i="4" s="1"/>
  <c r="E58" i="3"/>
  <c r="G58" i="3" s="1"/>
  <c r="E36" i="5"/>
  <c r="G36" i="5" s="1"/>
  <c r="J15" i="18"/>
  <c r="K15" i="18"/>
  <c r="G55" i="3"/>
  <c r="E12" i="4"/>
  <c r="G12" i="4" s="1"/>
  <c r="I12" i="4" s="1"/>
  <c r="E64" i="3"/>
  <c r="G64" i="3" s="1"/>
  <c r="E48" i="3"/>
  <c r="G48" i="3" s="1"/>
  <c r="E33" i="3"/>
  <c r="G33" i="3" s="1"/>
  <c r="E19" i="3"/>
  <c r="G19" i="3" s="1"/>
  <c r="I19" i="3" s="1"/>
  <c r="E23" i="3"/>
  <c r="G23" i="3" s="1"/>
  <c r="I23" i="3" s="1"/>
  <c r="E39" i="3"/>
  <c r="G39" i="3" s="1"/>
  <c r="E24" i="3"/>
  <c r="G24" i="3" s="1"/>
  <c r="I24" i="3" s="1"/>
  <c r="E57" i="3"/>
  <c r="G57" i="3" s="1"/>
  <c r="E13" i="3"/>
  <c r="G13" i="3" s="1"/>
  <c r="I13" i="3" s="1"/>
  <c r="E63" i="3"/>
  <c r="G63" i="3" s="1"/>
  <c r="E47" i="3"/>
  <c r="G47" i="3" s="1"/>
  <c r="E31" i="3"/>
  <c r="G31" i="3" s="1"/>
  <c r="I31" i="3" s="1"/>
  <c r="E18" i="3"/>
  <c r="G18" i="3" s="1"/>
  <c r="I18" i="3" s="1"/>
  <c r="E38" i="3"/>
  <c r="G38" i="3" s="1"/>
  <c r="E56" i="3"/>
  <c r="G56" i="3" s="1"/>
  <c r="E27" i="3"/>
  <c r="G27" i="3" s="1"/>
  <c r="I27" i="3" s="1"/>
  <c r="E11" i="3"/>
  <c r="G11" i="3" s="1"/>
  <c r="I11" i="3" s="1"/>
  <c r="E59" i="3"/>
  <c r="G59" i="3" s="1"/>
  <c r="E16" i="3"/>
  <c r="G16" i="3" s="1"/>
  <c r="I16" i="3" s="1"/>
  <c r="E46" i="3"/>
  <c r="G46" i="3" s="1"/>
  <c r="E16" i="5"/>
  <c r="G16" i="5" s="1"/>
  <c r="I16" i="5" s="1"/>
  <c r="E19" i="6"/>
  <c r="G19" i="6" s="1"/>
  <c r="I19" i="6" s="1"/>
  <c r="K25" i="16"/>
  <c r="J25" i="16"/>
  <c r="E22" i="4"/>
  <c r="G22" i="4" s="1"/>
  <c r="I22" i="4" s="1"/>
  <c r="E10" i="6"/>
  <c r="G10" i="6" s="1"/>
  <c r="I10" i="6" s="1"/>
  <c r="K15" i="8"/>
  <c r="J15" i="8"/>
  <c r="K18" i="10"/>
  <c r="J18" i="10"/>
  <c r="K12" i="13"/>
  <c r="J12" i="13"/>
  <c r="G15" i="19"/>
  <c r="I15" i="19" s="1"/>
  <c r="J15" i="19" s="1"/>
  <c r="E28" i="15"/>
  <c r="G5" i="15"/>
  <c r="E41" i="4"/>
  <c r="K15" i="19"/>
  <c r="G35" i="19"/>
  <c r="E56" i="4"/>
  <c r="G56" i="4" s="1"/>
  <c r="E52" i="5"/>
  <c r="E41" i="5"/>
  <c r="E19" i="5"/>
  <c r="G19" i="5" s="1"/>
  <c r="I19" i="5" s="1"/>
  <c r="E58" i="5"/>
  <c r="G58" i="5" s="1"/>
  <c r="E24" i="5"/>
  <c r="G24" i="5" s="1"/>
  <c r="E33" i="5"/>
  <c r="G33" i="5" s="1"/>
  <c r="E13" i="5"/>
  <c r="G13" i="5" s="1"/>
  <c r="I13" i="5" s="1"/>
  <c r="E32" i="5"/>
  <c r="G32" i="5" s="1"/>
  <c r="E39" i="5"/>
  <c r="G39" i="5" s="1"/>
  <c r="E18" i="5"/>
  <c r="G18" i="5" s="1"/>
  <c r="I18" i="5" s="1"/>
  <c r="E47" i="5"/>
  <c r="G47" i="5" s="1"/>
  <c r="E57" i="5"/>
  <c r="G57" i="5" s="1"/>
  <c r="E23" i="5"/>
  <c r="G23" i="5" s="1"/>
  <c r="I23" i="5" s="1"/>
  <c r="E55" i="5"/>
  <c r="G55" i="5" s="1"/>
  <c r="E35" i="5"/>
  <c r="G35" i="5" s="1"/>
  <c r="E20" i="5"/>
  <c r="G20" i="5" s="1"/>
  <c r="I20" i="5" s="1"/>
  <c r="E28" i="5"/>
  <c r="G28" i="5" s="1"/>
  <c r="I28" i="5" s="1"/>
  <c r="E59" i="5"/>
  <c r="G59" i="5" s="1"/>
  <c r="E31" i="6"/>
  <c r="G31" i="6" s="1"/>
  <c r="E21" i="7"/>
  <c r="G21" i="7" s="1"/>
  <c r="I21" i="7" s="1"/>
  <c r="K10" i="12"/>
  <c r="J10" i="12"/>
  <c r="K42" i="12"/>
  <c r="J20" i="15"/>
  <c r="K20" i="15"/>
  <c r="K19" i="2"/>
  <c r="J19" i="2"/>
  <c r="G36" i="19"/>
  <c r="E45" i="4"/>
  <c r="G45" i="4" s="1"/>
  <c r="E37" i="5"/>
  <c r="G37" i="5" s="1"/>
  <c r="E41" i="6"/>
  <c r="E44" i="9"/>
  <c r="K19" i="10"/>
  <c r="J19" i="10"/>
  <c r="K11" i="12"/>
  <c r="J11" i="12"/>
  <c r="K15" i="13"/>
  <c r="J15" i="13"/>
  <c r="K21" i="16"/>
  <c r="J21" i="16"/>
  <c r="K32" i="17"/>
  <c r="E20" i="4"/>
  <c r="G20" i="4" s="1"/>
  <c r="I20" i="4" s="1"/>
  <c r="E58" i="6"/>
  <c r="G58" i="6" s="1"/>
  <c r="E24" i="6"/>
  <c r="G24" i="6" s="1"/>
  <c r="E66" i="6"/>
  <c r="E33" i="6"/>
  <c r="G33" i="6" s="1"/>
  <c r="E13" i="6"/>
  <c r="G13" i="6" s="1"/>
  <c r="I13" i="6" s="1"/>
  <c r="E39" i="6"/>
  <c r="G39" i="6" s="1"/>
  <c r="E18" i="6"/>
  <c r="G18" i="6" s="1"/>
  <c r="I18" i="6" s="1"/>
  <c r="E57" i="6"/>
  <c r="G57" i="6" s="1"/>
  <c r="E23" i="6"/>
  <c r="G23" i="6" s="1"/>
  <c r="I23" i="6" s="1"/>
  <c r="E12" i="6"/>
  <c r="G12" i="6" s="1"/>
  <c r="I12" i="6" s="1"/>
  <c r="E47" i="6"/>
  <c r="G47" i="6" s="1"/>
  <c r="E32" i="6"/>
  <c r="G32" i="6" s="1"/>
  <c r="E16" i="6"/>
  <c r="G16" i="6" s="1"/>
  <c r="I16" i="6" s="1"/>
  <c r="E35" i="6"/>
  <c r="G35" i="6" s="1"/>
  <c r="E20" i="6"/>
  <c r="G20" i="6" s="1"/>
  <c r="I20" i="6" s="1"/>
  <c r="E53" i="6"/>
  <c r="G53" i="6" s="1"/>
  <c r="K51" i="19"/>
  <c r="E57" i="7"/>
  <c r="G57" i="7" s="1"/>
  <c r="K21" i="10"/>
  <c r="J21" i="10"/>
  <c r="K22" i="16"/>
  <c r="J22" i="16"/>
  <c r="K25" i="9"/>
  <c r="J25" i="9"/>
  <c r="E35" i="4"/>
  <c r="G35" i="4" s="1"/>
  <c r="K66" i="14"/>
  <c r="K33" i="17"/>
  <c r="J33" i="17"/>
  <c r="E38" i="8"/>
  <c r="G38" i="8" s="1"/>
  <c r="K50" i="11"/>
  <c r="E16" i="15"/>
  <c r="G16" i="15" s="1"/>
  <c r="I16" i="15" s="1"/>
  <c r="K66" i="17"/>
  <c r="E14" i="8"/>
  <c r="G14" i="8" s="1"/>
  <c r="I14" i="8" s="1"/>
  <c r="K13" i="12"/>
  <c r="J13" i="12"/>
  <c r="G5" i="18"/>
  <c r="G19" i="19"/>
  <c r="I19" i="19" s="1"/>
  <c r="J19" i="19" s="1"/>
  <c r="G49" i="19"/>
  <c r="J11" i="13"/>
  <c r="J20" i="13"/>
  <c r="J16" i="17"/>
  <c r="K36" i="17"/>
  <c r="E59" i="8"/>
  <c r="G59" i="8" s="1"/>
  <c r="K65" i="13"/>
  <c r="E19" i="15"/>
  <c r="G19" i="15" s="1"/>
  <c r="I19" i="15" s="1"/>
  <c r="E60" i="15"/>
  <c r="G60" i="15" s="1"/>
  <c r="G54" i="19"/>
  <c r="K34" i="18"/>
  <c r="J34" i="18"/>
  <c r="J24" i="11"/>
  <c r="K42" i="13"/>
  <c r="K17" i="17"/>
  <c r="K13" i="16"/>
  <c r="J13" i="16"/>
  <c r="K24" i="16"/>
  <c r="J24" i="16"/>
  <c r="E56" i="8"/>
  <c r="G56" i="8" s="1"/>
  <c r="E66" i="8"/>
  <c r="E31" i="8"/>
  <c r="G31" i="8" s="1"/>
  <c r="E22" i="8"/>
  <c r="G22" i="8" s="1"/>
  <c r="I22" i="8" s="1"/>
  <c r="E11" i="8"/>
  <c r="G11" i="8" s="1"/>
  <c r="I11" i="8" s="1"/>
  <c r="E46" i="8"/>
  <c r="G46" i="8" s="1"/>
  <c r="E37" i="8"/>
  <c r="G37" i="8" s="1"/>
  <c r="E16" i="8"/>
  <c r="G16" i="8" s="1"/>
  <c r="I16" i="8" s="1"/>
  <c r="E55" i="8"/>
  <c r="G55" i="8" s="1"/>
  <c r="E30" i="8"/>
  <c r="G30" i="8" s="1"/>
  <c r="G52" i="8"/>
  <c r="K11" i="18"/>
  <c r="J11" i="18"/>
  <c r="J35" i="18"/>
  <c r="E9" i="8"/>
  <c r="G9" i="8" s="1"/>
  <c r="I9" i="8" s="1"/>
  <c r="E60" i="8"/>
  <c r="G60" i="8" s="1"/>
  <c r="K25" i="11"/>
  <c r="J25" i="11"/>
  <c r="K14" i="16"/>
  <c r="J14" i="16"/>
  <c r="K39" i="17"/>
  <c r="J39" i="17"/>
  <c r="K64" i="8"/>
  <c r="K42" i="10"/>
  <c r="K50" i="12"/>
  <c r="G11" i="19"/>
  <c r="I11" i="19" s="1"/>
  <c r="J11" i="19" s="1"/>
  <c r="E23" i="8"/>
  <c r="G23" i="8" s="1"/>
  <c r="I23" i="8" s="1"/>
  <c r="E33" i="8"/>
  <c r="G33" i="8" s="1"/>
  <c r="E39" i="15"/>
  <c r="G39" i="15" s="1"/>
  <c r="E18" i="15"/>
  <c r="G18" i="15" s="1"/>
  <c r="I18" i="15" s="1"/>
  <c r="E57" i="15"/>
  <c r="G57" i="15" s="1"/>
  <c r="E32" i="15"/>
  <c r="G32" i="15" s="1"/>
  <c r="E47" i="15"/>
  <c r="G47" i="15" s="1"/>
  <c r="E23" i="15"/>
  <c r="G23" i="15" s="1"/>
  <c r="I23" i="15" s="1"/>
  <c r="E12" i="15"/>
  <c r="G12" i="15" s="1"/>
  <c r="I12" i="15" s="1"/>
  <c r="E38" i="15"/>
  <c r="G38" i="15" s="1"/>
  <c r="E63" i="15"/>
  <c r="G63" i="15" s="1"/>
  <c r="E17" i="15"/>
  <c r="G17" i="15" s="1"/>
  <c r="I17" i="15" s="1"/>
  <c r="E56" i="15"/>
  <c r="G56" i="15" s="1"/>
  <c r="E37" i="15"/>
  <c r="G37" i="15" s="1"/>
  <c r="E22" i="15"/>
  <c r="G22" i="15" s="1"/>
  <c r="I22" i="15" s="1"/>
  <c r="E62" i="15"/>
  <c r="G62" i="15" s="1"/>
  <c r="E55" i="15"/>
  <c r="G55" i="15" s="1"/>
  <c r="E45" i="15"/>
  <c r="G45" i="15" s="1"/>
  <c r="E61" i="15"/>
  <c r="G61" i="15" s="1"/>
  <c r="E36" i="15"/>
  <c r="G36" i="15" s="1"/>
  <c r="E26" i="15"/>
  <c r="G26" i="15" s="1"/>
  <c r="I26" i="15" s="1"/>
  <c r="E15" i="15"/>
  <c r="G15" i="15" s="1"/>
  <c r="I15" i="15" s="1"/>
  <c r="E41" i="15"/>
  <c r="G41" i="15" s="1"/>
  <c r="E59" i="15"/>
  <c r="G59" i="15" s="1"/>
  <c r="E34" i="15"/>
  <c r="G34" i="15" s="1"/>
  <c r="E68" i="15"/>
  <c r="E58" i="15"/>
  <c r="G58" i="15" s="1"/>
  <c r="E33" i="15"/>
  <c r="G33" i="15" s="1"/>
  <c r="E24" i="15"/>
  <c r="G24" i="15" s="1"/>
  <c r="I24" i="15" s="1"/>
  <c r="E13" i="15"/>
  <c r="G13" i="15" s="1"/>
  <c r="I13" i="15" s="1"/>
  <c r="E49" i="15"/>
  <c r="G49" i="15" s="1"/>
  <c r="K19" i="17"/>
  <c r="J19" i="17"/>
  <c r="E53" i="8"/>
  <c r="G53" i="8" s="1"/>
  <c r="J11" i="11"/>
  <c r="J16" i="12"/>
  <c r="J23" i="12"/>
  <c r="E9" i="15"/>
  <c r="G9" i="15" s="1"/>
  <c r="I9" i="15" s="1"/>
  <c r="E43" i="17"/>
  <c r="J14" i="18"/>
  <c r="E21" i="15"/>
  <c r="G21" i="15" s="1"/>
  <c r="I21" i="15" s="1"/>
  <c r="K15" i="16"/>
  <c r="J15" i="16"/>
  <c r="E4" i="16"/>
  <c r="E2" i="16"/>
  <c r="E17" i="8"/>
  <c r="G17" i="8" s="1"/>
  <c r="I17" i="8" s="1"/>
  <c r="E43" i="8"/>
  <c r="G43" i="8" s="1"/>
  <c r="E61" i="8"/>
  <c r="G61" i="8" s="1"/>
  <c r="K16" i="16"/>
  <c r="J16" i="16"/>
  <c r="K30" i="16"/>
  <c r="J30" i="16"/>
  <c r="E10" i="8"/>
  <c r="G10" i="8" s="1"/>
  <c r="I10" i="8" s="1"/>
  <c r="K14" i="10"/>
  <c r="J14" i="10"/>
  <c r="K50" i="13"/>
  <c r="J23" i="14"/>
  <c r="G12" i="19"/>
  <c r="I12" i="19" s="1"/>
  <c r="J12" i="19" s="1"/>
  <c r="G58" i="19"/>
  <c r="E34" i="8"/>
  <c r="G34" i="8" s="1"/>
  <c r="K19" i="11"/>
  <c r="J19" i="11"/>
  <c r="E10" i="15"/>
  <c r="G10" i="15" s="1"/>
  <c r="I10" i="15" s="1"/>
  <c r="E54" i="15"/>
  <c r="J17" i="16"/>
  <c r="K51" i="17"/>
  <c r="G24" i="19"/>
  <c r="I24" i="19" s="1"/>
  <c r="J24" i="19" s="1"/>
  <c r="E54" i="8"/>
  <c r="G54" i="8" s="1"/>
  <c r="J22" i="10"/>
  <c r="J12" i="11"/>
  <c r="E29" i="9"/>
  <c r="G5" i="12"/>
  <c r="E11" i="15"/>
  <c r="G11" i="15" s="1"/>
  <c r="I11" i="15" s="1"/>
  <c r="E18" i="8"/>
  <c r="G18" i="8" s="1"/>
  <c r="I18" i="8" s="1"/>
  <c r="E44" i="8"/>
  <c r="G44" i="8" s="1"/>
  <c r="E27" i="12"/>
  <c r="K43" i="16"/>
  <c r="E53" i="13"/>
  <c r="E25" i="13"/>
  <c r="G25" i="13" s="1"/>
  <c r="I25" i="13" s="1"/>
  <c r="E14" i="13"/>
  <c r="G14" i="13" s="1"/>
  <c r="I14" i="13" s="1"/>
  <c r="E34" i="13"/>
  <c r="G34" i="13" s="1"/>
  <c r="E59" i="13"/>
  <c r="G59" i="13" s="1"/>
  <c r="E19" i="13"/>
  <c r="G19" i="13" s="1"/>
  <c r="I19" i="13" s="1"/>
  <c r="E40" i="13"/>
  <c r="G40" i="13" s="1"/>
  <c r="E24" i="13"/>
  <c r="G24" i="13" s="1"/>
  <c r="I24" i="13" s="1"/>
  <c r="E13" i="13"/>
  <c r="G13" i="13" s="1"/>
  <c r="I13" i="13" s="1"/>
  <c r="E39" i="13"/>
  <c r="G39" i="13" s="1"/>
  <c r="E57" i="13"/>
  <c r="G57" i="13" s="1"/>
  <c r="E25" i="15"/>
  <c r="G25" i="15" s="1"/>
  <c r="I25" i="15" s="1"/>
  <c r="K24" i="17"/>
  <c r="J24" i="17"/>
  <c r="E12" i="8"/>
  <c r="G12" i="8" s="1"/>
  <c r="I12" i="8" s="1"/>
  <c r="E35" i="8"/>
  <c r="G35" i="8" s="1"/>
  <c r="E9" i="13"/>
  <c r="G9" i="13" s="1"/>
  <c r="I9" i="13" s="1"/>
  <c r="K18" i="16"/>
  <c r="J20" i="18"/>
  <c r="G5" i="11"/>
  <c r="E50" i="11"/>
  <c r="E36" i="13"/>
  <c r="G36" i="13" s="1"/>
  <c r="E46" i="13"/>
  <c r="G46" i="13" s="1"/>
  <c r="E48" i="14"/>
  <c r="G48" i="14" s="1"/>
  <c r="E33" i="14"/>
  <c r="G33" i="14" s="1"/>
  <c r="E59" i="14"/>
  <c r="G59" i="14" s="1"/>
  <c r="E25" i="14"/>
  <c r="G25" i="14" s="1"/>
  <c r="I25" i="14" s="1"/>
  <c r="E14" i="14"/>
  <c r="G14" i="14" s="1"/>
  <c r="I14" i="14" s="1"/>
  <c r="E34" i="14"/>
  <c r="G34" i="14" s="1"/>
  <c r="E49" i="14"/>
  <c r="G49" i="14" s="1"/>
  <c r="E68" i="14"/>
  <c r="E40" i="14"/>
  <c r="G40" i="14" s="1"/>
  <c r="E19" i="14"/>
  <c r="G19" i="14" s="1"/>
  <c r="I19" i="14" s="1"/>
  <c r="E58" i="14"/>
  <c r="G58" i="14" s="1"/>
  <c r="E24" i="14"/>
  <c r="G24" i="14" s="1"/>
  <c r="I24" i="14" s="1"/>
  <c r="E13" i="14"/>
  <c r="G13" i="14" s="1"/>
  <c r="I13" i="14" s="1"/>
  <c r="E57" i="14"/>
  <c r="G57" i="14" s="1"/>
  <c r="E32" i="14"/>
  <c r="G32" i="14" s="1"/>
  <c r="E38" i="14"/>
  <c r="G38" i="14" s="1"/>
  <c r="E62" i="14"/>
  <c r="G62" i="14" s="1"/>
  <c r="E22" i="14"/>
  <c r="G22" i="14" s="1"/>
  <c r="I22" i="14" s="1"/>
  <c r="E37" i="14"/>
  <c r="G37" i="14" s="1"/>
  <c r="E16" i="14"/>
  <c r="G16" i="14" s="1"/>
  <c r="I16" i="14" s="1"/>
  <c r="E40" i="15"/>
  <c r="G40" i="15" s="1"/>
  <c r="J24" i="2"/>
  <c r="E52" i="2"/>
  <c r="K9" i="10"/>
  <c r="J9" i="10"/>
  <c r="E9" i="14"/>
  <c r="G9" i="14" s="1"/>
  <c r="I9" i="14" s="1"/>
  <c r="E51" i="14"/>
  <c r="G41" i="19"/>
  <c r="E14" i="2"/>
  <c r="G14" i="2" s="1"/>
  <c r="I14" i="2" s="1"/>
  <c r="E34" i="2"/>
  <c r="G34" i="2" s="1"/>
  <c r="E45" i="8"/>
  <c r="G45" i="8" s="1"/>
  <c r="E39" i="14"/>
  <c r="G39" i="14" s="1"/>
  <c r="K51" i="14"/>
  <c r="E14" i="15"/>
  <c r="G14" i="15" s="1"/>
  <c r="I14" i="15" s="1"/>
  <c r="E24" i="8"/>
  <c r="G24" i="8" s="1"/>
  <c r="I24" i="8" s="1"/>
  <c r="E19" i="8"/>
  <c r="G19" i="8" s="1"/>
  <c r="I19" i="8" s="1"/>
  <c r="K14" i="11"/>
  <c r="J14" i="11"/>
  <c r="K19" i="12"/>
  <c r="J19" i="12"/>
  <c r="E17" i="13"/>
  <c r="G17" i="13" s="1"/>
  <c r="I17" i="13" s="1"/>
  <c r="G5" i="13"/>
  <c r="E58" i="13"/>
  <c r="G58" i="13" s="1"/>
  <c r="E36" i="8"/>
  <c r="G36" i="8" s="1"/>
  <c r="E57" i="8"/>
  <c r="G57" i="8" s="1"/>
  <c r="E10" i="13"/>
  <c r="G10" i="13" s="1"/>
  <c r="I10" i="13" s="1"/>
  <c r="E27" i="13"/>
  <c r="G5" i="14"/>
  <c r="E54" i="14"/>
  <c r="E57" i="19"/>
  <c r="G57" i="19" s="1"/>
  <c r="E19" i="18"/>
  <c r="G19" i="18" s="1"/>
  <c r="I19" i="18" s="1"/>
  <c r="E39" i="18"/>
  <c r="G39" i="18" s="1"/>
  <c r="I39" i="18" s="1"/>
  <c r="E57" i="18"/>
  <c r="G57" i="18" s="1"/>
  <c r="E61" i="17"/>
  <c r="G61" i="17" s="1"/>
  <c r="E40" i="19"/>
  <c r="G40" i="19" s="1"/>
  <c r="I40" i="19" s="1"/>
  <c r="K40" i="19" s="1"/>
  <c r="E40" i="18"/>
  <c r="G40" i="18" s="1"/>
  <c r="E68" i="18"/>
  <c r="E55" i="17"/>
  <c r="G55" i="17" s="1"/>
  <c r="E18" i="17"/>
  <c r="G18" i="17" s="1"/>
  <c r="I18" i="17" s="1"/>
  <c r="E59" i="18"/>
  <c r="G59" i="18" s="1"/>
  <c r="E20" i="19"/>
  <c r="G20" i="19" s="1"/>
  <c r="I20" i="19" s="1"/>
  <c r="J20" i="19" s="1"/>
  <c r="E32" i="19"/>
  <c r="G32" i="19" s="1"/>
  <c r="E59" i="19"/>
  <c r="G59" i="19" s="1"/>
  <c r="E38" i="17"/>
  <c r="G38" i="17" s="1"/>
  <c r="I38" i="17" s="1"/>
  <c r="E46" i="17"/>
  <c r="G46" i="17" s="1"/>
  <c r="E10" i="18"/>
  <c r="G10" i="18" s="1"/>
  <c r="I10" i="18" s="1"/>
  <c r="E21" i="18"/>
  <c r="G21" i="18" s="1"/>
  <c r="I21" i="18" s="1"/>
  <c r="E41" i="18"/>
  <c r="G41" i="18" s="1"/>
  <c r="I41" i="18" s="1"/>
  <c r="E16" i="19"/>
  <c r="G16" i="19" s="1"/>
  <c r="I16" i="19" s="1"/>
  <c r="J16" i="19" s="1"/>
  <c r="E63" i="17"/>
  <c r="G63" i="17" s="1"/>
  <c r="E16" i="18"/>
  <c r="G16" i="18" s="1"/>
  <c r="I16" i="18" s="1"/>
  <c r="E37" i="19"/>
  <c r="G37" i="19" s="1"/>
  <c r="E36" i="18"/>
  <c r="G36" i="18" s="1"/>
  <c r="I36" i="18" s="1"/>
  <c r="E60" i="18"/>
  <c r="G60" i="18" s="1"/>
  <c r="E47" i="17"/>
  <c r="G47" i="17" s="1"/>
  <c r="E57" i="17"/>
  <c r="G57" i="17" s="1"/>
  <c r="E22" i="18"/>
  <c r="G22" i="18" s="1"/>
  <c r="I22" i="18" s="1"/>
  <c r="E54" i="18"/>
  <c r="E25" i="19"/>
  <c r="G25" i="19" s="1"/>
  <c r="I25" i="19" s="1"/>
  <c r="J25" i="19" s="1"/>
  <c r="E33" i="19"/>
  <c r="G33" i="19" s="1"/>
  <c r="J20" i="16"/>
  <c r="E30" i="18"/>
  <c r="G30" i="18" s="1"/>
  <c r="I30" i="18" s="1"/>
  <c r="E21" i="19"/>
  <c r="G21" i="19" s="1"/>
  <c r="I21" i="19" s="1"/>
  <c r="J21" i="19" s="1"/>
  <c r="E14" i="17"/>
  <c r="G14" i="17" s="1"/>
  <c r="I14" i="17" s="1"/>
  <c r="E25" i="17"/>
  <c r="G25" i="17" s="1"/>
  <c r="I25" i="17" s="1"/>
  <c r="E17" i="19"/>
  <c r="G17" i="19" s="1"/>
  <c r="I17" i="19" s="1"/>
  <c r="J17" i="19" s="1"/>
  <c r="E45" i="19"/>
  <c r="G45" i="19" s="1"/>
  <c r="E34" i="17"/>
  <c r="G34" i="17" s="1"/>
  <c r="I34" i="17" s="1"/>
  <c r="E17" i="18"/>
  <c r="G17" i="18" s="1"/>
  <c r="I17" i="18" s="1"/>
  <c r="E61" i="18"/>
  <c r="G61" i="18" s="1"/>
  <c r="E56" i="19"/>
  <c r="G56" i="19" s="1"/>
  <c r="E48" i="19"/>
  <c r="G48" i="19" s="1"/>
  <c r="E68" i="19"/>
  <c r="E60" i="19"/>
  <c r="G60" i="19" s="1"/>
  <c r="E47" i="19"/>
  <c r="G47" i="19" s="1"/>
  <c r="E62" i="19"/>
  <c r="G62" i="19" s="1"/>
  <c r="E61" i="19"/>
  <c r="G61" i="19" s="1"/>
  <c r="E13" i="19"/>
  <c r="G13" i="19" s="1"/>
  <c r="I13" i="19" s="1"/>
  <c r="J13" i="19" s="1"/>
  <c r="J26" i="16"/>
  <c r="E48" i="17"/>
  <c r="G48" i="17" s="1"/>
  <c r="E37" i="18"/>
  <c r="G37" i="18" s="1"/>
  <c r="I37" i="18" s="1"/>
  <c r="E45" i="18"/>
  <c r="G45" i="18" s="1"/>
  <c r="E9" i="19"/>
  <c r="G9" i="19" s="1"/>
  <c r="I9" i="19" s="1"/>
  <c r="J9" i="19" s="1"/>
  <c r="E38" i="19"/>
  <c r="G38" i="19" s="1"/>
  <c r="E53" i="10"/>
  <c r="E9" i="17"/>
  <c r="G9" i="17" s="1"/>
  <c r="I9" i="17" s="1"/>
  <c r="E20" i="17"/>
  <c r="G20" i="17" s="1"/>
  <c r="I20" i="17" s="1"/>
  <c r="E58" i="17"/>
  <c r="G58" i="17" s="1"/>
  <c r="E55" i="18"/>
  <c r="G55" i="18" s="1"/>
  <c r="E63" i="19"/>
  <c r="G63" i="19" s="1"/>
  <c r="E40" i="17"/>
  <c r="G40" i="17" s="1"/>
  <c r="I40" i="17" s="1"/>
  <c r="E68" i="17"/>
  <c r="E12" i="18"/>
  <c r="G12" i="18" s="1"/>
  <c r="I12" i="18" s="1"/>
  <c r="E23" i="18"/>
  <c r="G23" i="18" s="1"/>
  <c r="I23" i="18" s="1"/>
  <c r="E20" i="10"/>
  <c r="G20" i="10" s="1"/>
  <c r="I20" i="10" s="1"/>
  <c r="E35" i="10"/>
  <c r="G35" i="10" s="1"/>
  <c r="E60" i="10"/>
  <c r="G60" i="10" s="1"/>
  <c r="E32" i="18"/>
  <c r="G32" i="18" s="1"/>
  <c r="I32" i="18" s="1"/>
  <c r="E62" i="18"/>
  <c r="G62" i="18" s="1"/>
  <c r="E26" i="19"/>
  <c r="G26" i="19" s="1"/>
  <c r="I26" i="19" s="1"/>
  <c r="J26" i="19" s="1"/>
  <c r="E34" i="19"/>
  <c r="G34" i="19" s="1"/>
  <c r="E53" i="11"/>
  <c r="E59" i="12"/>
  <c r="G59" i="12" s="1"/>
  <c r="E15" i="17"/>
  <c r="G15" i="17" s="1"/>
  <c r="I15" i="17" s="1"/>
  <c r="E26" i="17"/>
  <c r="G26" i="17" s="1"/>
  <c r="I26" i="17" s="1"/>
  <c r="E46" i="18"/>
  <c r="G46" i="18" s="1"/>
  <c r="E22" i="19"/>
  <c r="G22" i="19" s="1"/>
  <c r="I22" i="19" s="1"/>
  <c r="J22" i="19" s="1"/>
  <c r="E44" i="10"/>
  <c r="G44" i="10" s="1"/>
  <c r="E9" i="11"/>
  <c r="G9" i="11" s="1"/>
  <c r="I9" i="11" s="1"/>
  <c r="E20" i="11"/>
  <c r="G20" i="11" s="1"/>
  <c r="I20" i="11" s="1"/>
  <c r="E14" i="12"/>
  <c r="G14" i="12" s="1"/>
  <c r="I14" i="12" s="1"/>
  <c r="E25" i="12"/>
  <c r="G25" i="12" s="1"/>
  <c r="I25" i="12" s="1"/>
  <c r="E35" i="17"/>
  <c r="G35" i="17" s="1"/>
  <c r="I35" i="17" s="1"/>
  <c r="E49" i="17"/>
  <c r="G49" i="17" s="1"/>
  <c r="E18" i="18"/>
  <c r="G18" i="18" s="1"/>
  <c r="I18" i="18" s="1"/>
  <c r="E38" i="18"/>
  <c r="G38" i="18" s="1"/>
  <c r="I38" i="18" s="1"/>
  <c r="E18" i="19"/>
  <c r="G18" i="19" s="1"/>
  <c r="I18" i="19" s="1"/>
  <c r="J18" i="19" s="1"/>
  <c r="E46" i="19"/>
  <c r="G46" i="19" s="1"/>
  <c r="E15" i="10"/>
  <c r="G15" i="10" s="1"/>
  <c r="I15" i="10" s="1"/>
  <c r="E54" i="10"/>
  <c r="G54" i="10" s="1"/>
  <c r="E35" i="11"/>
  <c r="G35" i="11" s="1"/>
  <c r="E60" i="11"/>
  <c r="G60" i="11" s="1"/>
  <c r="E59" i="17"/>
  <c r="G59" i="17" s="1"/>
  <c r="E56" i="18"/>
  <c r="G56" i="18" s="1"/>
  <c r="E14" i="19"/>
  <c r="G14" i="19" s="1"/>
  <c r="I14" i="19" s="1"/>
  <c r="J14" i="19" s="1"/>
  <c r="E44" i="11"/>
  <c r="G44" i="11" s="1"/>
  <c r="E61" i="12"/>
  <c r="G61" i="12" s="1"/>
  <c r="E45" i="12"/>
  <c r="G45" i="12" s="1"/>
  <c r="E42" i="13"/>
  <c r="E10" i="17"/>
  <c r="G10" i="17" s="1"/>
  <c r="I10" i="17" s="1"/>
  <c r="E21" i="17"/>
  <c r="G21" i="17" s="1"/>
  <c r="I21" i="17" s="1"/>
  <c r="E24" i="18"/>
  <c r="G24" i="18" s="1"/>
  <c r="I24" i="18" s="1"/>
  <c r="E10" i="19"/>
  <c r="G10" i="19" s="1"/>
  <c r="I10" i="19" s="1"/>
  <c r="J10" i="19" s="1"/>
  <c r="E36" i="10"/>
  <c r="G36" i="10" s="1"/>
  <c r="E15" i="11"/>
  <c r="G15" i="11" s="1"/>
  <c r="I15" i="11" s="1"/>
  <c r="E9" i="12"/>
  <c r="G9" i="12" s="1"/>
  <c r="I9" i="12" s="1"/>
  <c r="E20" i="12"/>
  <c r="G20" i="12" s="1"/>
  <c r="I20" i="12" s="1"/>
  <c r="E35" i="12"/>
  <c r="G35" i="12" s="1"/>
  <c r="E41" i="17"/>
  <c r="G41" i="17" s="1"/>
  <c r="I41" i="17" s="1"/>
  <c r="E13" i="18"/>
  <c r="G13" i="18" s="1"/>
  <c r="I13" i="18" s="1"/>
  <c r="E33" i="18"/>
  <c r="G33" i="18" s="1"/>
  <c r="I33" i="18" s="1"/>
  <c r="E39" i="19"/>
  <c r="G39" i="19" s="1"/>
  <c r="K14" i="20" l="1"/>
  <c r="K11" i="20"/>
  <c r="K41" i="20"/>
  <c r="J17" i="20"/>
  <c r="J21" i="20"/>
  <c r="K57" i="20"/>
  <c r="G57" i="20"/>
  <c r="K67" i="20"/>
  <c r="G67" i="20"/>
  <c r="G66" i="20"/>
  <c r="K66" i="20"/>
  <c r="K25" i="20"/>
  <c r="G70" i="20"/>
  <c r="K65" i="20"/>
  <c r="G65" i="20"/>
  <c r="K71" i="20"/>
  <c r="G71" i="20"/>
  <c r="K13" i="20"/>
  <c r="K58" i="20"/>
  <c r="G58" i="20"/>
  <c r="K72" i="20"/>
  <c r="G72" i="20"/>
  <c r="K37" i="20"/>
  <c r="K52" i="20"/>
  <c r="K18" i="19"/>
  <c r="I32" i="19"/>
  <c r="J32" i="19" s="1"/>
  <c r="I35" i="19"/>
  <c r="J35" i="19" s="1"/>
  <c r="I36" i="19"/>
  <c r="J36" i="19" s="1"/>
  <c r="I33" i="19"/>
  <c r="J33" i="19" s="1"/>
  <c r="I39" i="19"/>
  <c r="K39" i="19" s="1"/>
  <c r="I34" i="19"/>
  <c r="J34" i="19" s="1"/>
  <c r="I41" i="19"/>
  <c r="J41" i="19" s="1"/>
  <c r="K30" i="19"/>
  <c r="J40" i="19"/>
  <c r="I38" i="19"/>
  <c r="J38" i="19" s="1"/>
  <c r="I37" i="19"/>
  <c r="K37" i="19" s="1"/>
  <c r="K17" i="19"/>
  <c r="K33" i="19"/>
  <c r="K25" i="19"/>
  <c r="K23" i="19"/>
  <c r="K38" i="19"/>
  <c r="K9" i="19"/>
  <c r="K23" i="8"/>
  <c r="J23" i="8"/>
  <c r="K9" i="9"/>
  <c r="J9" i="9"/>
  <c r="K18" i="7"/>
  <c r="J18" i="7"/>
  <c r="K9" i="12"/>
  <c r="J9" i="12"/>
  <c r="K26" i="17"/>
  <c r="J26" i="17"/>
  <c r="K10" i="18"/>
  <c r="J10" i="18"/>
  <c r="K12" i="8"/>
  <c r="J12" i="8"/>
  <c r="E2" i="9"/>
  <c r="E4" i="9"/>
  <c r="K13" i="15"/>
  <c r="J13" i="15"/>
  <c r="K22" i="19"/>
  <c r="E64" i="6"/>
  <c r="K11" i="8"/>
  <c r="J11" i="8"/>
  <c r="J19" i="5"/>
  <c r="K19" i="5"/>
  <c r="K15" i="11"/>
  <c r="J15" i="11"/>
  <c r="K15" i="17"/>
  <c r="J15" i="17"/>
  <c r="J16" i="14"/>
  <c r="K16" i="14"/>
  <c r="K24" i="15"/>
  <c r="J24" i="15"/>
  <c r="K35" i="19"/>
  <c r="K24" i="19"/>
  <c r="K17" i="13"/>
  <c r="J17" i="13"/>
  <c r="K17" i="6"/>
  <c r="J17" i="6"/>
  <c r="K18" i="9"/>
  <c r="J18" i="9"/>
  <c r="K12" i="9"/>
  <c r="J12" i="9"/>
  <c r="J15" i="4"/>
  <c r="K15" i="4"/>
  <c r="K20" i="12"/>
  <c r="J20" i="12"/>
  <c r="K22" i="14"/>
  <c r="J22" i="14"/>
  <c r="J20" i="4"/>
  <c r="K20" i="4"/>
  <c r="K10" i="19"/>
  <c r="K23" i="9"/>
  <c r="J23" i="9"/>
  <c r="K28" i="4"/>
  <c r="J28" i="4"/>
  <c r="K13" i="7"/>
  <c r="J13" i="7"/>
  <c r="K10" i="9"/>
  <c r="J10" i="9"/>
  <c r="K19" i="6"/>
  <c r="J19" i="6"/>
  <c r="E67" i="9"/>
  <c r="G55" i="9"/>
  <c r="K18" i="4"/>
  <c r="J18" i="4"/>
  <c r="K19" i="7"/>
  <c r="J19" i="7"/>
  <c r="K16" i="9"/>
  <c r="J16" i="9"/>
  <c r="K21" i="17"/>
  <c r="J21" i="17"/>
  <c r="K16" i="5"/>
  <c r="J16" i="5"/>
  <c r="K18" i="6"/>
  <c r="J18" i="6"/>
  <c r="J13" i="6"/>
  <c r="K13" i="6"/>
  <c r="K10" i="17"/>
  <c r="J10" i="17"/>
  <c r="K18" i="17"/>
  <c r="J18" i="17"/>
  <c r="K13" i="13"/>
  <c r="J13" i="13"/>
  <c r="E64" i="8"/>
  <c r="K19" i="9"/>
  <c r="J19" i="9"/>
  <c r="J28" i="7"/>
  <c r="K28" i="7"/>
  <c r="K38" i="17"/>
  <c r="J38" i="17"/>
  <c r="K17" i="8"/>
  <c r="J17" i="8"/>
  <c r="J32" i="18"/>
  <c r="K32" i="18"/>
  <c r="K17" i="18"/>
  <c r="J17" i="18"/>
  <c r="K19" i="8"/>
  <c r="J19" i="8"/>
  <c r="J13" i="14"/>
  <c r="K13" i="14"/>
  <c r="K24" i="13"/>
  <c r="J24" i="13"/>
  <c r="K15" i="15"/>
  <c r="J15" i="15"/>
  <c r="K32" i="19"/>
  <c r="K13" i="4"/>
  <c r="J13" i="4"/>
  <c r="K14" i="7"/>
  <c r="J14" i="7"/>
  <c r="K28" i="16"/>
  <c r="J11" i="9"/>
  <c r="K11" i="9"/>
  <c r="J12" i="4"/>
  <c r="K12" i="4"/>
  <c r="K34" i="17"/>
  <c r="K43" i="17" s="1"/>
  <c r="J34" i="17"/>
  <c r="K24" i="14"/>
  <c r="J24" i="14"/>
  <c r="K26" i="15"/>
  <c r="J26" i="15"/>
  <c r="K21" i="7"/>
  <c r="J21" i="7"/>
  <c r="K16" i="3"/>
  <c r="J16" i="3"/>
  <c r="K19" i="19"/>
  <c r="K26" i="9"/>
  <c r="J26" i="9"/>
  <c r="K41" i="18"/>
  <c r="J41" i="18"/>
  <c r="K25" i="15"/>
  <c r="J25" i="15"/>
  <c r="K19" i="13"/>
  <c r="J19" i="13"/>
  <c r="E2" i="15"/>
  <c r="E4" i="15"/>
  <c r="K24" i="4"/>
  <c r="J24" i="4"/>
  <c r="G53" i="11"/>
  <c r="E65" i="11"/>
  <c r="E4" i="11" s="1"/>
  <c r="K24" i="8"/>
  <c r="J24" i="8"/>
  <c r="K20" i="10"/>
  <c r="J20" i="10"/>
  <c r="K14" i="15"/>
  <c r="J14" i="15"/>
  <c r="K19" i="14"/>
  <c r="J19" i="14"/>
  <c r="E66" i="15"/>
  <c r="G54" i="15"/>
  <c r="K11" i="3"/>
  <c r="J11" i="3"/>
  <c r="K21" i="19"/>
  <c r="K15" i="9"/>
  <c r="J15" i="9"/>
  <c r="J27" i="3"/>
  <c r="K27" i="3"/>
  <c r="K13" i="9"/>
  <c r="J13" i="9"/>
  <c r="K10" i="4"/>
  <c r="J10" i="4"/>
  <c r="K9" i="7"/>
  <c r="J9" i="7"/>
  <c r="J22" i="8"/>
  <c r="K22" i="8"/>
  <c r="K20" i="9"/>
  <c r="J20" i="9"/>
  <c r="K19" i="4"/>
  <c r="J19" i="4"/>
  <c r="J9" i="13"/>
  <c r="K9" i="13"/>
  <c r="J25" i="13"/>
  <c r="K25" i="13"/>
  <c r="J11" i="4"/>
  <c r="K11" i="4"/>
  <c r="K9" i="6"/>
  <c r="J9" i="6"/>
  <c r="J27" i="9"/>
  <c r="K27" i="9"/>
  <c r="G52" i="4"/>
  <c r="E64" i="4"/>
  <c r="E4" i="4" s="1"/>
  <c r="J15" i="7"/>
  <c r="K15" i="7"/>
  <c r="K22" i="7"/>
  <c r="J22" i="7"/>
  <c r="K13" i="18"/>
  <c r="J13" i="18"/>
  <c r="K11" i="15"/>
  <c r="J11" i="15"/>
  <c r="G53" i="13"/>
  <c r="E65" i="13"/>
  <c r="K18" i="3"/>
  <c r="J18" i="3"/>
  <c r="K14" i="4"/>
  <c r="J14" i="4"/>
  <c r="K21" i="18"/>
  <c r="J21" i="18"/>
  <c r="K21" i="15"/>
  <c r="J21" i="15"/>
  <c r="J28" i="5"/>
  <c r="K28" i="5"/>
  <c r="K40" i="17"/>
  <c r="J40" i="17"/>
  <c r="K14" i="14"/>
  <c r="J14" i="14"/>
  <c r="K14" i="19"/>
  <c r="K31" i="3"/>
  <c r="J31" i="3"/>
  <c r="K10" i="7"/>
  <c r="J10" i="7"/>
  <c r="K19" i="18"/>
  <c r="J19" i="18"/>
  <c r="K25" i="14"/>
  <c r="J25" i="14"/>
  <c r="J14" i="8"/>
  <c r="K14" i="8"/>
  <c r="K11" i="19"/>
  <c r="K21" i="4"/>
  <c r="J21" i="4"/>
  <c r="K31" i="9"/>
  <c r="J31" i="9"/>
  <c r="G52" i="2"/>
  <c r="E65" i="2"/>
  <c r="K22" i="9"/>
  <c r="J22" i="9"/>
  <c r="K16" i="7"/>
  <c r="J16" i="7"/>
  <c r="K24" i="18"/>
  <c r="J24" i="18"/>
  <c r="K10" i="15"/>
  <c r="J10" i="15"/>
  <c r="K14" i="17"/>
  <c r="J14" i="17"/>
  <c r="K15" i="10"/>
  <c r="J15" i="10"/>
  <c r="K17" i="15"/>
  <c r="J17" i="15"/>
  <c r="K23" i="5"/>
  <c r="J23" i="5"/>
  <c r="J14" i="2"/>
  <c r="K14" i="2"/>
  <c r="G54" i="18"/>
  <c r="E66" i="18"/>
  <c r="K13" i="3"/>
  <c r="K29" i="3" s="1"/>
  <c r="J13" i="3"/>
  <c r="K13" i="19"/>
  <c r="K26" i="19"/>
  <c r="K14" i="9"/>
  <c r="J14" i="9"/>
  <c r="E64" i="7"/>
  <c r="E2" i="7" s="1"/>
  <c r="G52" i="7"/>
  <c r="K37" i="18"/>
  <c r="J37" i="18"/>
  <c r="K20" i="7"/>
  <c r="J20" i="7"/>
  <c r="K20" i="17"/>
  <c r="J20" i="17"/>
  <c r="K22" i="18"/>
  <c r="J22" i="18"/>
  <c r="E66" i="14"/>
  <c r="E4" i="14" s="1"/>
  <c r="G54" i="14"/>
  <c r="J20" i="6"/>
  <c r="K20" i="6"/>
  <c r="K20" i="19"/>
  <c r="K21" i="9"/>
  <c r="J21" i="9"/>
  <c r="K17" i="4"/>
  <c r="J17" i="4"/>
  <c r="J9" i="11"/>
  <c r="K9" i="11"/>
  <c r="K22" i="15"/>
  <c r="J22" i="15"/>
  <c r="J38" i="18"/>
  <c r="K38" i="18"/>
  <c r="K9" i="17"/>
  <c r="J9" i="17"/>
  <c r="J9" i="15"/>
  <c r="K9" i="15"/>
  <c r="K12" i="15"/>
  <c r="J12" i="15"/>
  <c r="E66" i="19"/>
  <c r="K18" i="5"/>
  <c r="J18" i="5"/>
  <c r="K10" i="6"/>
  <c r="J10" i="6"/>
  <c r="J24" i="3"/>
  <c r="K24" i="3"/>
  <c r="K17" i="7"/>
  <c r="J17" i="7"/>
  <c r="K9" i="8"/>
  <c r="J9" i="8"/>
  <c r="K39" i="18"/>
  <c r="J39" i="18"/>
  <c r="J18" i="18"/>
  <c r="K18" i="18"/>
  <c r="K23" i="15"/>
  <c r="J23" i="15"/>
  <c r="J16" i="15"/>
  <c r="K16" i="15"/>
  <c r="K16" i="6"/>
  <c r="J16" i="6"/>
  <c r="K22" i="4"/>
  <c r="J22" i="4"/>
  <c r="K9" i="4"/>
  <c r="J9" i="4"/>
  <c r="K23" i="7"/>
  <c r="J23" i="7"/>
  <c r="J17" i="9"/>
  <c r="K17" i="9"/>
  <c r="K23" i="18"/>
  <c r="J23" i="18"/>
  <c r="J9" i="14"/>
  <c r="K9" i="14"/>
  <c r="K34" i="19"/>
  <c r="K23" i="3"/>
  <c r="J23" i="3"/>
  <c r="E66" i="17"/>
  <c r="E4" i="17" s="1"/>
  <c r="K12" i="19"/>
  <c r="K11" i="7"/>
  <c r="J11" i="7"/>
  <c r="J20" i="11"/>
  <c r="K20" i="11"/>
  <c r="J41" i="17"/>
  <c r="K41" i="17"/>
  <c r="E64" i="5"/>
  <c r="G52" i="5"/>
  <c r="K20" i="5"/>
  <c r="J20" i="5"/>
  <c r="J35" i="17"/>
  <c r="K35" i="17"/>
  <c r="K36" i="18"/>
  <c r="J36" i="18"/>
  <c r="K10" i="13"/>
  <c r="J10" i="13"/>
  <c r="K16" i="8"/>
  <c r="J16" i="8"/>
  <c r="K19" i="15"/>
  <c r="J19" i="15"/>
  <c r="K36" i="19"/>
  <c r="K13" i="5"/>
  <c r="J13" i="5"/>
  <c r="K19" i="3"/>
  <c r="J19" i="3"/>
  <c r="K12" i="7"/>
  <c r="J12" i="7"/>
  <c r="K25" i="17"/>
  <c r="J25" i="17"/>
  <c r="K14" i="13"/>
  <c r="J14" i="13"/>
  <c r="K12" i="18"/>
  <c r="J12" i="18"/>
  <c r="G53" i="10"/>
  <c r="E65" i="10"/>
  <c r="J25" i="12"/>
  <c r="K25" i="12"/>
  <c r="K18" i="8"/>
  <c r="J18" i="8"/>
  <c r="K12" i="6"/>
  <c r="J12" i="6"/>
  <c r="K16" i="19"/>
  <c r="K26" i="2"/>
  <c r="K16" i="18"/>
  <c r="J16" i="18"/>
  <c r="K30" i="18"/>
  <c r="J30" i="18"/>
  <c r="E4" i="13"/>
  <c r="E2" i="13"/>
  <c r="E65" i="12"/>
  <c r="E2" i="12" s="1"/>
  <c r="J33" i="18"/>
  <c r="K33" i="18"/>
  <c r="J14" i="12"/>
  <c r="K14" i="12"/>
  <c r="K10" i="8"/>
  <c r="J10" i="8"/>
  <c r="K18" i="15"/>
  <c r="J18" i="15"/>
  <c r="K23" i="6"/>
  <c r="J23" i="6"/>
  <c r="E69" i="3"/>
  <c r="E4" i="3" s="1"/>
  <c r="K75" i="20" l="1"/>
  <c r="K60" i="20"/>
  <c r="K2" i="20"/>
  <c r="L37" i="20" s="1"/>
  <c r="K80" i="20"/>
  <c r="K4" i="20"/>
  <c r="M4" i="20" s="1"/>
  <c r="K41" i="19"/>
  <c r="J37" i="19"/>
  <c r="J39" i="19"/>
  <c r="K28" i="19"/>
  <c r="K74" i="3"/>
  <c r="K4" i="3"/>
  <c r="M4" i="3" s="1"/>
  <c r="K2" i="3"/>
  <c r="L29" i="3" s="1"/>
  <c r="K28" i="17"/>
  <c r="E4" i="5"/>
  <c r="E2" i="5"/>
  <c r="K28" i="18"/>
  <c r="K4" i="19"/>
  <c r="M4" i="19" s="1"/>
  <c r="E4" i="6"/>
  <c r="E2" i="6"/>
  <c r="K26" i="6"/>
  <c r="E4" i="8"/>
  <c r="E2" i="8"/>
  <c r="K27" i="12"/>
  <c r="K28" i="15"/>
  <c r="E4" i="2"/>
  <c r="E2" i="2"/>
  <c r="E2" i="3"/>
  <c r="K43" i="19"/>
  <c r="K71" i="19" s="1"/>
  <c r="K27" i="11"/>
  <c r="E2" i="17"/>
  <c r="E4" i="12"/>
  <c r="K27" i="13"/>
  <c r="L11" i="3"/>
  <c r="K29" i="9"/>
  <c r="K27" i="10"/>
  <c r="K71" i="16"/>
  <c r="K4" i="16"/>
  <c r="M4" i="16" s="1"/>
  <c r="K2" i="16"/>
  <c r="L23" i="3"/>
  <c r="E2" i="18"/>
  <c r="E4" i="18"/>
  <c r="E2" i="4"/>
  <c r="L18" i="3"/>
  <c r="L16" i="3"/>
  <c r="L13" i="3"/>
  <c r="L19" i="3"/>
  <c r="L24" i="3"/>
  <c r="L31" i="3"/>
  <c r="L27" i="3"/>
  <c r="E2" i="10"/>
  <c r="E4" i="10"/>
  <c r="K43" i="18"/>
  <c r="E2" i="19"/>
  <c r="E4" i="19"/>
  <c r="E4" i="7"/>
  <c r="K26" i="7"/>
  <c r="K26" i="8"/>
  <c r="K28" i="14"/>
  <c r="E2" i="14"/>
  <c r="K26" i="5"/>
  <c r="K4" i="2"/>
  <c r="M4" i="2" s="1"/>
  <c r="K70" i="2"/>
  <c r="K2" i="2"/>
  <c r="L14" i="2" s="1"/>
  <c r="L26" i="2"/>
  <c r="K26" i="4"/>
  <c r="E2" i="11"/>
  <c r="L80" i="20" l="1"/>
  <c r="L34" i="20"/>
  <c r="L33" i="20"/>
  <c r="L32" i="20"/>
  <c r="L30" i="20"/>
  <c r="L31" i="20"/>
  <c r="L28" i="20"/>
  <c r="L26" i="20"/>
  <c r="L29" i="20"/>
  <c r="L27" i="20"/>
  <c r="L73" i="20"/>
  <c r="L39" i="20"/>
  <c r="L70" i="20"/>
  <c r="L22" i="20"/>
  <c r="L14" i="20"/>
  <c r="L13" i="20"/>
  <c r="M2" i="20"/>
  <c r="L67" i="20"/>
  <c r="L35" i="20"/>
  <c r="L23" i="20"/>
  <c r="L19" i="20"/>
  <c r="L65" i="20"/>
  <c r="L11" i="20"/>
  <c r="L60" i="20"/>
  <c r="L54" i="20"/>
  <c r="L71" i="20"/>
  <c r="L43" i="20"/>
  <c r="L64" i="20"/>
  <c r="L15" i="20"/>
  <c r="L56" i="20"/>
  <c r="L47" i="20"/>
  <c r="L45" i="20"/>
  <c r="L18" i="20"/>
  <c r="L46" i="20"/>
  <c r="L41" i="20"/>
  <c r="L69" i="20"/>
  <c r="L57" i="20"/>
  <c r="L77" i="20"/>
  <c r="L66" i="20"/>
  <c r="L50" i="20"/>
  <c r="L49" i="20"/>
  <c r="L58" i="20"/>
  <c r="L21" i="20"/>
  <c r="L75" i="20"/>
  <c r="L68" i="20"/>
  <c r="L24" i="20"/>
  <c r="L20" i="20"/>
  <c r="L16" i="20"/>
  <c r="L10" i="20"/>
  <c r="L42" i="20"/>
  <c r="L12" i="20"/>
  <c r="L63" i="20"/>
  <c r="L55" i="20"/>
  <c r="L17" i="20"/>
  <c r="L9" i="20"/>
  <c r="L72" i="20"/>
  <c r="L48" i="20"/>
  <c r="L44" i="20"/>
  <c r="L25" i="20"/>
  <c r="L52" i="20"/>
  <c r="K2" i="19"/>
  <c r="M2" i="19" s="1"/>
  <c r="L45" i="16"/>
  <c r="L60" i="16"/>
  <c r="L35" i="16"/>
  <c r="L41" i="16"/>
  <c r="L56" i="16"/>
  <c r="L62" i="16"/>
  <c r="L37" i="16"/>
  <c r="L57" i="16"/>
  <c r="M2" i="16"/>
  <c r="L40" i="16"/>
  <c r="L39" i="16"/>
  <c r="L20" i="16"/>
  <c r="L17" i="16"/>
  <c r="L63" i="16"/>
  <c r="L59" i="16"/>
  <c r="L47" i="16"/>
  <c r="L32" i="16"/>
  <c r="L48" i="16"/>
  <c r="L26" i="16"/>
  <c r="L68" i="16"/>
  <c r="L46" i="16"/>
  <c r="L54" i="16"/>
  <c r="L34" i="16"/>
  <c r="L51" i="16"/>
  <c r="L2" i="16" s="1"/>
  <c r="L33" i="16"/>
  <c r="L36" i="16"/>
  <c r="L49" i="16"/>
  <c r="L55" i="16"/>
  <c r="L61" i="16"/>
  <c r="L58" i="16"/>
  <c r="L38" i="16"/>
  <c r="L23" i="16"/>
  <c r="L16" i="16"/>
  <c r="L22" i="16"/>
  <c r="L18" i="16"/>
  <c r="L13" i="16"/>
  <c r="L30" i="16"/>
  <c r="L25" i="16"/>
  <c r="L12" i="16"/>
  <c r="L19" i="16"/>
  <c r="L43" i="16"/>
  <c r="L15" i="16"/>
  <c r="L14" i="16"/>
  <c r="L21" i="16"/>
  <c r="L10" i="16"/>
  <c r="L9" i="16"/>
  <c r="L11" i="16"/>
  <c r="L66" i="16"/>
  <c r="L24" i="16"/>
  <c r="K4" i="12"/>
  <c r="M4" i="12" s="1"/>
  <c r="K70" i="12"/>
  <c r="L70" i="12" s="1"/>
  <c r="K2" i="12"/>
  <c r="K71" i="15"/>
  <c r="K4" i="15"/>
  <c r="M4" i="15" s="1"/>
  <c r="K2" i="15"/>
  <c r="L28" i="15" s="1"/>
  <c r="K4" i="13"/>
  <c r="M4" i="13" s="1"/>
  <c r="K2" i="13"/>
  <c r="K70" i="13"/>
  <c r="L70" i="13" s="1"/>
  <c r="L27" i="13"/>
  <c r="K2" i="6"/>
  <c r="K69" i="6"/>
  <c r="K4" i="6"/>
  <c r="M4" i="6" s="1"/>
  <c r="L28" i="16"/>
  <c r="K71" i="17"/>
  <c r="K4" i="17"/>
  <c r="M4" i="17" s="1"/>
  <c r="K2" i="17"/>
  <c r="L28" i="17"/>
  <c r="L57" i="19"/>
  <c r="L68" i="19"/>
  <c r="L63" i="19"/>
  <c r="L40" i="19"/>
  <c r="L61" i="19"/>
  <c r="L45" i="19"/>
  <c r="L46" i="19"/>
  <c r="L58" i="19"/>
  <c r="L47" i="19"/>
  <c r="L62" i="19"/>
  <c r="L56" i="19"/>
  <c r="L60" i="19"/>
  <c r="L49" i="19"/>
  <c r="L48" i="19"/>
  <c r="L54" i="19"/>
  <c r="L59" i="19"/>
  <c r="L33" i="19"/>
  <c r="L30" i="19"/>
  <c r="L25" i="19"/>
  <c r="L17" i="19"/>
  <c r="L18" i="19"/>
  <c r="L51" i="19"/>
  <c r="L15" i="19"/>
  <c r="L37" i="19"/>
  <c r="L38" i="19"/>
  <c r="L66" i="19"/>
  <c r="L16" i="19"/>
  <c r="L71" i="16"/>
  <c r="K70" i="10"/>
  <c r="K4" i="10"/>
  <c r="M4" i="10" s="1"/>
  <c r="K2" i="10"/>
  <c r="L27" i="10"/>
  <c r="L22" i="19"/>
  <c r="L32" i="19"/>
  <c r="K71" i="18"/>
  <c r="K2" i="18"/>
  <c r="L28" i="18" s="1"/>
  <c r="K4" i="18"/>
  <c r="M4" i="18" s="1"/>
  <c r="L39" i="19"/>
  <c r="L21" i="19"/>
  <c r="K4" i="11"/>
  <c r="M4" i="11" s="1"/>
  <c r="K70" i="11"/>
  <c r="K2" i="11"/>
  <c r="L27" i="11"/>
  <c r="L43" i="19"/>
  <c r="L35" i="19"/>
  <c r="L70" i="2"/>
  <c r="K2" i="9"/>
  <c r="K72" i="9"/>
  <c r="L72" i="9" s="1"/>
  <c r="K4" i="9"/>
  <c r="M4" i="9" s="1"/>
  <c r="L12" i="19"/>
  <c r="L20" i="19"/>
  <c r="L19" i="19"/>
  <c r="L57" i="3"/>
  <c r="L63" i="3"/>
  <c r="L47" i="3"/>
  <c r="M2" i="3"/>
  <c r="L38" i="3"/>
  <c r="L42" i="3"/>
  <c r="L41" i="3"/>
  <c r="L61" i="3"/>
  <c r="L39" i="3"/>
  <c r="L58" i="3"/>
  <c r="L40" i="3"/>
  <c r="L46" i="3"/>
  <c r="L33" i="3"/>
  <c r="L56" i="3"/>
  <c r="L49" i="3"/>
  <c r="L62" i="3"/>
  <c r="L66" i="3"/>
  <c r="L65" i="3"/>
  <c r="L69" i="3"/>
  <c r="L35" i="3"/>
  <c r="L34" i="3"/>
  <c r="L37" i="3"/>
  <c r="L64" i="3"/>
  <c r="L71" i="3"/>
  <c r="L36" i="3"/>
  <c r="L59" i="3"/>
  <c r="L60" i="3"/>
  <c r="L48" i="3"/>
  <c r="L55" i="3"/>
  <c r="L52" i="3"/>
  <c r="L50" i="3"/>
  <c r="L25" i="3"/>
  <c r="L15" i="3"/>
  <c r="L14" i="3"/>
  <c r="L17" i="3"/>
  <c r="L20" i="3"/>
  <c r="L21" i="3"/>
  <c r="L22" i="3"/>
  <c r="L10" i="3"/>
  <c r="L26" i="3"/>
  <c r="L12" i="3"/>
  <c r="L44" i="3"/>
  <c r="L9" i="3"/>
  <c r="L58" i="2"/>
  <c r="L39" i="2"/>
  <c r="M2" i="2"/>
  <c r="L52" i="2"/>
  <c r="L55" i="2"/>
  <c r="L31" i="2"/>
  <c r="L44" i="2"/>
  <c r="L46" i="2"/>
  <c r="L38" i="2"/>
  <c r="L54" i="2"/>
  <c r="L57" i="2"/>
  <c r="L36" i="2"/>
  <c r="L35" i="2"/>
  <c r="L65" i="2"/>
  <c r="L30" i="2"/>
  <c r="L33" i="2"/>
  <c r="L47" i="2"/>
  <c r="L53" i="2"/>
  <c r="L59" i="2"/>
  <c r="L56" i="2"/>
  <c r="L60" i="2"/>
  <c r="L12" i="2"/>
  <c r="L37" i="2"/>
  <c r="L32" i="2"/>
  <c r="L67" i="2"/>
  <c r="L24" i="2"/>
  <c r="L61" i="2"/>
  <c r="L43" i="2"/>
  <c r="L49" i="2"/>
  <c r="L34" i="2"/>
  <c r="L45" i="2"/>
  <c r="L15" i="2"/>
  <c r="L19" i="2"/>
  <c r="L13" i="2"/>
  <c r="L21" i="2"/>
  <c r="L18" i="2"/>
  <c r="L11" i="2"/>
  <c r="L28" i="2"/>
  <c r="L9" i="2"/>
  <c r="L10" i="2"/>
  <c r="L41" i="2"/>
  <c r="L20" i="2"/>
  <c r="L16" i="2"/>
  <c r="L22" i="2"/>
  <c r="L23" i="2"/>
  <c r="L17" i="2"/>
  <c r="L26" i="19"/>
  <c r="K71" i="14"/>
  <c r="K4" i="14"/>
  <c r="M4" i="14" s="1"/>
  <c r="K2" i="14"/>
  <c r="K2" i="7"/>
  <c r="K4" i="7"/>
  <c r="M4" i="7" s="1"/>
  <c r="K69" i="7"/>
  <c r="L69" i="7" s="1"/>
  <c r="L11" i="19"/>
  <c r="L34" i="19"/>
  <c r="L74" i="3"/>
  <c r="L36" i="19"/>
  <c r="K4" i="5"/>
  <c r="M4" i="5" s="1"/>
  <c r="K2" i="5"/>
  <c r="K69" i="5"/>
  <c r="L69" i="5" s="1"/>
  <c r="L26" i="5"/>
  <c r="K69" i="8"/>
  <c r="K2" i="8"/>
  <c r="K4" i="8"/>
  <c r="M4" i="8" s="1"/>
  <c r="K4" i="4"/>
  <c r="M4" i="4" s="1"/>
  <c r="K2" i="4"/>
  <c r="K69" i="4"/>
  <c r="L69" i="4" s="1"/>
  <c r="L26" i="4"/>
  <c r="L41" i="19"/>
  <c r="L13" i="19"/>
  <c r="L24" i="19"/>
  <c r="L2" i="20" l="1"/>
  <c r="L28" i="19"/>
  <c r="L55" i="19"/>
  <c r="L2" i="19"/>
  <c r="L14" i="19"/>
  <c r="L9" i="19"/>
  <c r="L23" i="19"/>
  <c r="L71" i="19"/>
  <c r="L10" i="19"/>
  <c r="M2" i="6"/>
  <c r="L47" i="6"/>
  <c r="L32" i="6"/>
  <c r="L66" i="6"/>
  <c r="L38" i="6"/>
  <c r="L61" i="6"/>
  <c r="L30" i="6"/>
  <c r="L43" i="6"/>
  <c r="L59" i="6"/>
  <c r="L36" i="6"/>
  <c r="L33" i="6"/>
  <c r="L58" i="6"/>
  <c r="L44" i="6"/>
  <c r="L55" i="6"/>
  <c r="L54" i="6"/>
  <c r="L34" i="6"/>
  <c r="L64" i="6"/>
  <c r="L45" i="6"/>
  <c r="L22" i="6"/>
  <c r="L57" i="6"/>
  <c r="L39" i="6"/>
  <c r="L35" i="6"/>
  <c r="L24" i="6"/>
  <c r="L52" i="6"/>
  <c r="L49" i="6"/>
  <c r="L60" i="6"/>
  <c r="L56" i="6"/>
  <c r="L53" i="6"/>
  <c r="L37" i="6"/>
  <c r="L31" i="6"/>
  <c r="L41" i="6"/>
  <c r="L46" i="6"/>
  <c r="L11" i="6"/>
  <c r="L28" i="6"/>
  <c r="L14" i="6"/>
  <c r="L21" i="6"/>
  <c r="L15" i="6"/>
  <c r="L12" i="6"/>
  <c r="L9" i="6"/>
  <c r="L13" i="6"/>
  <c r="L18" i="6"/>
  <c r="L10" i="6"/>
  <c r="L23" i="6"/>
  <c r="L17" i="6"/>
  <c r="L16" i="6"/>
  <c r="L20" i="6"/>
  <c r="L19" i="6"/>
  <c r="M2" i="13"/>
  <c r="L48" i="13"/>
  <c r="L46" i="13"/>
  <c r="L36" i="13"/>
  <c r="L57" i="13"/>
  <c r="L67" i="13"/>
  <c r="L56" i="13"/>
  <c r="L44" i="13"/>
  <c r="L32" i="13"/>
  <c r="L53" i="13"/>
  <c r="L62" i="13"/>
  <c r="L37" i="13"/>
  <c r="L60" i="13"/>
  <c r="L47" i="13"/>
  <c r="L54" i="13"/>
  <c r="L39" i="13"/>
  <c r="L59" i="13"/>
  <c r="L45" i="13"/>
  <c r="L38" i="13"/>
  <c r="L31" i="13"/>
  <c r="L40" i="13"/>
  <c r="L20" i="13"/>
  <c r="L61" i="13"/>
  <c r="L55" i="13"/>
  <c r="L58" i="13"/>
  <c r="L35" i="13"/>
  <c r="L33" i="13"/>
  <c r="L11" i="13"/>
  <c r="L34" i="13"/>
  <c r="L50" i="13"/>
  <c r="L2" i="13" s="1"/>
  <c r="L12" i="13"/>
  <c r="L21" i="13"/>
  <c r="L18" i="13"/>
  <c r="L22" i="13"/>
  <c r="L65" i="13"/>
  <c r="L42" i="13"/>
  <c r="L23" i="13"/>
  <c r="L29" i="13"/>
  <c r="L15" i="13"/>
  <c r="L16" i="13"/>
  <c r="L19" i="13"/>
  <c r="L14" i="13"/>
  <c r="L13" i="13"/>
  <c r="L25" i="13"/>
  <c r="L17" i="13"/>
  <c r="L10" i="13"/>
  <c r="L9" i="13"/>
  <c r="L24" i="13"/>
  <c r="L57" i="4"/>
  <c r="M2" i="4"/>
  <c r="L55" i="4"/>
  <c r="L45" i="4"/>
  <c r="L61" i="4"/>
  <c r="L58" i="4"/>
  <c r="L30" i="4"/>
  <c r="L46" i="4"/>
  <c r="L54" i="4"/>
  <c r="L52" i="4"/>
  <c r="L64" i="4"/>
  <c r="L47" i="4"/>
  <c r="L34" i="4"/>
  <c r="L35" i="4"/>
  <c r="L36" i="4"/>
  <c r="L59" i="4"/>
  <c r="L60" i="4"/>
  <c r="L43" i="4"/>
  <c r="L66" i="4"/>
  <c r="L33" i="4"/>
  <c r="L53" i="4"/>
  <c r="L32" i="4"/>
  <c r="L31" i="4"/>
  <c r="L37" i="4"/>
  <c r="L38" i="4"/>
  <c r="L39" i="4"/>
  <c r="L44" i="4"/>
  <c r="L56" i="4"/>
  <c r="L16" i="4"/>
  <c r="L49" i="4"/>
  <c r="L23" i="4"/>
  <c r="L41" i="4"/>
  <c r="L20" i="4"/>
  <c r="L17" i="4"/>
  <c r="L10" i="4"/>
  <c r="L9" i="4"/>
  <c r="L18" i="4"/>
  <c r="L19" i="4"/>
  <c r="L14" i="4"/>
  <c r="L11" i="4"/>
  <c r="L24" i="4"/>
  <c r="L22" i="4"/>
  <c r="L13" i="4"/>
  <c r="L21" i="4"/>
  <c r="L28" i="4"/>
  <c r="L12" i="4"/>
  <c r="L15" i="4"/>
  <c r="L71" i="14"/>
  <c r="L71" i="15"/>
  <c r="L35" i="10"/>
  <c r="L56" i="10"/>
  <c r="L67" i="10"/>
  <c r="L45" i="10"/>
  <c r="L44" i="10"/>
  <c r="M2" i="10"/>
  <c r="L54" i="10"/>
  <c r="L39" i="10"/>
  <c r="L31" i="10"/>
  <c r="L38" i="10"/>
  <c r="L37" i="10"/>
  <c r="L36" i="10"/>
  <c r="L40" i="10"/>
  <c r="L32" i="10"/>
  <c r="L47" i="10"/>
  <c r="L34" i="10"/>
  <c r="L33" i="10"/>
  <c r="L53" i="10"/>
  <c r="L65" i="10"/>
  <c r="L59" i="10"/>
  <c r="L60" i="10"/>
  <c r="L61" i="10"/>
  <c r="L46" i="10"/>
  <c r="L17" i="10"/>
  <c r="L10" i="10"/>
  <c r="L50" i="10"/>
  <c r="L58" i="10"/>
  <c r="L62" i="10"/>
  <c r="L57" i="10"/>
  <c r="L22" i="10"/>
  <c r="L48" i="10"/>
  <c r="L55" i="10"/>
  <c r="L12" i="10"/>
  <c r="L16" i="10"/>
  <c r="L19" i="10"/>
  <c r="L21" i="10"/>
  <c r="L14" i="10"/>
  <c r="L18" i="10"/>
  <c r="L9" i="10"/>
  <c r="L25" i="10"/>
  <c r="L23" i="10"/>
  <c r="L13" i="10"/>
  <c r="L24" i="10"/>
  <c r="L11" i="10"/>
  <c r="L42" i="10"/>
  <c r="L29" i="10"/>
  <c r="L20" i="10"/>
  <c r="L15" i="10"/>
  <c r="L70" i="10"/>
  <c r="L58" i="12"/>
  <c r="L33" i="12"/>
  <c r="M2" i="12"/>
  <c r="L47" i="12"/>
  <c r="L57" i="12"/>
  <c r="L46" i="12"/>
  <c r="L67" i="12"/>
  <c r="L45" i="12"/>
  <c r="L44" i="12"/>
  <c r="L54" i="12"/>
  <c r="L61" i="12"/>
  <c r="L53" i="12"/>
  <c r="L60" i="12"/>
  <c r="L38" i="12"/>
  <c r="L16" i="12"/>
  <c r="L35" i="12"/>
  <c r="L65" i="12"/>
  <c r="L39" i="12"/>
  <c r="L62" i="12"/>
  <c r="L36" i="12"/>
  <c r="L59" i="12"/>
  <c r="L37" i="12"/>
  <c r="L12" i="12"/>
  <c r="L31" i="12"/>
  <c r="L34" i="12"/>
  <c r="L32" i="12"/>
  <c r="L40" i="12"/>
  <c r="L55" i="12"/>
  <c r="L48" i="12"/>
  <c r="L56" i="12"/>
  <c r="L23" i="12"/>
  <c r="L18" i="12"/>
  <c r="L15" i="12"/>
  <c r="L19" i="12"/>
  <c r="L21" i="12"/>
  <c r="L22" i="12"/>
  <c r="L11" i="12"/>
  <c r="L29" i="12"/>
  <c r="L13" i="12"/>
  <c r="L50" i="12"/>
  <c r="L10" i="12"/>
  <c r="L24" i="12"/>
  <c r="L42" i="12"/>
  <c r="L17" i="12"/>
  <c r="L20" i="12"/>
  <c r="L14" i="12"/>
  <c r="L25" i="12"/>
  <c r="L9" i="12"/>
  <c r="L43" i="18"/>
  <c r="L68" i="17"/>
  <c r="L58" i="17"/>
  <c r="L47" i="17"/>
  <c r="L56" i="17"/>
  <c r="M2" i="17"/>
  <c r="L49" i="17"/>
  <c r="L61" i="17"/>
  <c r="L16" i="17"/>
  <c r="L48" i="17"/>
  <c r="L54" i="17"/>
  <c r="L46" i="17"/>
  <c r="L37" i="17"/>
  <c r="L30" i="17"/>
  <c r="L63" i="17"/>
  <c r="L45" i="17"/>
  <c r="L59" i="17"/>
  <c r="L60" i="17"/>
  <c r="L57" i="17"/>
  <c r="L62" i="17"/>
  <c r="L55" i="17"/>
  <c r="L36" i="17"/>
  <c r="L51" i="17"/>
  <c r="L22" i="17"/>
  <c r="L19" i="17"/>
  <c r="L33" i="17"/>
  <c r="L66" i="17"/>
  <c r="L12" i="17"/>
  <c r="L23" i="17"/>
  <c r="L39" i="17"/>
  <c r="L13" i="17"/>
  <c r="L17" i="17"/>
  <c r="L24" i="17"/>
  <c r="L32" i="17"/>
  <c r="L11" i="17"/>
  <c r="L43" i="17"/>
  <c r="L25" i="17"/>
  <c r="L14" i="17"/>
  <c r="L34" i="17"/>
  <c r="L26" i="17"/>
  <c r="L10" i="17"/>
  <c r="L15" i="17"/>
  <c r="L9" i="17"/>
  <c r="L40" i="17"/>
  <c r="L35" i="17"/>
  <c r="L41" i="17"/>
  <c r="L18" i="17"/>
  <c r="L20" i="17"/>
  <c r="L38" i="17"/>
  <c r="L21" i="17"/>
  <c r="L34" i="11"/>
  <c r="L40" i="11"/>
  <c r="L61" i="11"/>
  <c r="L31" i="11"/>
  <c r="L37" i="11"/>
  <c r="L57" i="11"/>
  <c r="L46" i="11"/>
  <c r="L67" i="11"/>
  <c r="L35" i="11"/>
  <c r="L55" i="11"/>
  <c r="L44" i="11"/>
  <c r="L33" i="11"/>
  <c r="M2" i="11"/>
  <c r="L54" i="11"/>
  <c r="L62" i="11"/>
  <c r="L12" i="11"/>
  <c r="L53" i="11"/>
  <c r="L56" i="11"/>
  <c r="L47" i="11"/>
  <c r="L32" i="11"/>
  <c r="L39" i="11"/>
  <c r="L45" i="11"/>
  <c r="L65" i="11"/>
  <c r="L59" i="11"/>
  <c r="L60" i="11"/>
  <c r="L48" i="11"/>
  <c r="L58" i="11"/>
  <c r="L38" i="11"/>
  <c r="L42" i="11"/>
  <c r="L22" i="11"/>
  <c r="L36" i="11"/>
  <c r="L11" i="11"/>
  <c r="L24" i="11"/>
  <c r="L29" i="11"/>
  <c r="L21" i="11"/>
  <c r="L19" i="11"/>
  <c r="L17" i="11"/>
  <c r="L23" i="11"/>
  <c r="L13" i="11"/>
  <c r="L10" i="11"/>
  <c r="L18" i="11"/>
  <c r="L16" i="11"/>
  <c r="L25" i="11"/>
  <c r="L14" i="11"/>
  <c r="L50" i="11"/>
  <c r="L9" i="11"/>
  <c r="L15" i="11"/>
  <c r="L20" i="11"/>
  <c r="L69" i="8"/>
  <c r="L2" i="2"/>
  <c r="L55" i="9"/>
  <c r="L50" i="9"/>
  <c r="L40" i="9"/>
  <c r="M2" i="9"/>
  <c r="L47" i="9"/>
  <c r="L35" i="9"/>
  <c r="L64" i="9"/>
  <c r="L34" i="9"/>
  <c r="L52" i="9"/>
  <c r="L36" i="9"/>
  <c r="L37" i="9"/>
  <c r="L44" i="9"/>
  <c r="L57" i="9"/>
  <c r="L58" i="9"/>
  <c r="L39" i="9"/>
  <c r="L67" i="9"/>
  <c r="L69" i="9"/>
  <c r="L38" i="9"/>
  <c r="L63" i="9"/>
  <c r="L33" i="9"/>
  <c r="L59" i="9"/>
  <c r="L49" i="9"/>
  <c r="L42" i="9"/>
  <c r="L60" i="9"/>
  <c r="L62" i="9"/>
  <c r="L46" i="9"/>
  <c r="L61" i="9"/>
  <c r="L56" i="9"/>
  <c r="L41" i="9"/>
  <c r="L48" i="9"/>
  <c r="L24" i="9"/>
  <c r="L25" i="9"/>
  <c r="L14" i="9"/>
  <c r="L27" i="9"/>
  <c r="L21" i="9"/>
  <c r="L16" i="9"/>
  <c r="L19" i="9"/>
  <c r="L23" i="9"/>
  <c r="L15" i="9"/>
  <c r="L11" i="9"/>
  <c r="L22" i="9"/>
  <c r="L9" i="9"/>
  <c r="L12" i="9"/>
  <c r="L13" i="9"/>
  <c r="L18" i="9"/>
  <c r="L10" i="9"/>
  <c r="L20" i="9"/>
  <c r="L17" i="9"/>
  <c r="L31" i="9"/>
  <c r="L26" i="9"/>
  <c r="L71" i="17"/>
  <c r="M2" i="14"/>
  <c r="L57" i="14"/>
  <c r="L38" i="14"/>
  <c r="L49" i="14"/>
  <c r="L60" i="14"/>
  <c r="L37" i="14"/>
  <c r="L59" i="14"/>
  <c r="L46" i="14"/>
  <c r="L34" i="14"/>
  <c r="L55" i="14"/>
  <c r="L63" i="14"/>
  <c r="L54" i="14"/>
  <c r="L33" i="14"/>
  <c r="L61" i="14"/>
  <c r="L58" i="14"/>
  <c r="L39" i="14"/>
  <c r="L45" i="14"/>
  <c r="L47" i="14"/>
  <c r="L62" i="14"/>
  <c r="L17" i="14"/>
  <c r="L56" i="14"/>
  <c r="L35" i="14"/>
  <c r="L32" i="14"/>
  <c r="L40" i="14"/>
  <c r="L23" i="14"/>
  <c r="L41" i="14"/>
  <c r="L68" i="14"/>
  <c r="L36" i="14"/>
  <c r="L48" i="14"/>
  <c r="L20" i="14"/>
  <c r="L30" i="14"/>
  <c r="L51" i="14"/>
  <c r="L11" i="14"/>
  <c r="L66" i="14"/>
  <c r="L10" i="14"/>
  <c r="L26" i="14"/>
  <c r="L18" i="14"/>
  <c r="L43" i="14"/>
  <c r="L21" i="14"/>
  <c r="L12" i="14"/>
  <c r="L15" i="14"/>
  <c r="L9" i="14"/>
  <c r="L24" i="14"/>
  <c r="L25" i="14"/>
  <c r="L22" i="14"/>
  <c r="L16" i="14"/>
  <c r="L14" i="14"/>
  <c r="L13" i="14"/>
  <c r="L19" i="14"/>
  <c r="L29" i="9"/>
  <c r="L70" i="11"/>
  <c r="L27" i="12"/>
  <c r="L66" i="8"/>
  <c r="L34" i="8"/>
  <c r="L53" i="8"/>
  <c r="L33" i="8"/>
  <c r="L52" i="8"/>
  <c r="L32" i="8"/>
  <c r="M2" i="8"/>
  <c r="L47" i="8"/>
  <c r="L31" i="8"/>
  <c r="L45" i="8"/>
  <c r="L35" i="8"/>
  <c r="L55" i="8"/>
  <c r="L58" i="8"/>
  <c r="L41" i="8"/>
  <c r="L30" i="8"/>
  <c r="L46" i="8"/>
  <c r="L56" i="8"/>
  <c r="L59" i="8"/>
  <c r="L61" i="8"/>
  <c r="L54" i="8"/>
  <c r="L60" i="8"/>
  <c r="L37" i="8"/>
  <c r="L38" i="8"/>
  <c r="L20" i="8"/>
  <c r="L49" i="8"/>
  <c r="L57" i="8"/>
  <c r="L36" i="8"/>
  <c r="L39" i="8"/>
  <c r="L43" i="8"/>
  <c r="L44" i="8"/>
  <c r="L13" i="8"/>
  <c r="L21" i="8"/>
  <c r="L28" i="8"/>
  <c r="L15" i="8"/>
  <c r="L64" i="8"/>
  <c r="L9" i="8"/>
  <c r="L19" i="8"/>
  <c r="L23" i="8"/>
  <c r="L10" i="8"/>
  <c r="L24" i="8"/>
  <c r="L12" i="8"/>
  <c r="L14" i="8"/>
  <c r="L17" i="8"/>
  <c r="L18" i="8"/>
  <c r="L16" i="8"/>
  <c r="L22" i="8"/>
  <c r="L11" i="8"/>
  <c r="L45" i="15"/>
  <c r="L36" i="15"/>
  <c r="L40" i="15"/>
  <c r="L55" i="15"/>
  <c r="L39" i="15"/>
  <c r="L61" i="15"/>
  <c r="L60" i="15"/>
  <c r="M2" i="15"/>
  <c r="L34" i="15"/>
  <c r="L59" i="15"/>
  <c r="L33" i="15"/>
  <c r="L57" i="15"/>
  <c r="L32" i="15"/>
  <c r="L54" i="15"/>
  <c r="L46" i="15"/>
  <c r="L37" i="15"/>
  <c r="L62" i="15"/>
  <c r="L43" i="15"/>
  <c r="L35" i="15"/>
  <c r="L41" i="15"/>
  <c r="L68" i="15"/>
  <c r="L58" i="15"/>
  <c r="L48" i="15"/>
  <c r="L56" i="15"/>
  <c r="L66" i="15"/>
  <c r="L49" i="15"/>
  <c r="L47" i="15"/>
  <c r="L51" i="15"/>
  <c r="L38" i="15"/>
  <c r="L63" i="15"/>
  <c r="L20" i="15"/>
  <c r="L30" i="15"/>
  <c r="L21" i="15"/>
  <c r="L17" i="15"/>
  <c r="L12" i="15"/>
  <c r="L14" i="15"/>
  <c r="L10" i="15"/>
  <c r="L11" i="15"/>
  <c r="L23" i="15"/>
  <c r="L24" i="15"/>
  <c r="L15" i="15"/>
  <c r="L25" i="15"/>
  <c r="L18" i="15"/>
  <c r="L19" i="15"/>
  <c r="L26" i="15"/>
  <c r="L9" i="15"/>
  <c r="L16" i="15"/>
  <c r="L22" i="15"/>
  <c r="L13" i="15"/>
  <c r="L26" i="8"/>
  <c r="L62" i="18"/>
  <c r="L55" i="18"/>
  <c r="L60" i="18"/>
  <c r="M2" i="18"/>
  <c r="L47" i="18"/>
  <c r="L58" i="18"/>
  <c r="L49" i="18"/>
  <c r="L68" i="18"/>
  <c r="L66" i="18"/>
  <c r="L63" i="18"/>
  <c r="L54" i="18"/>
  <c r="L35" i="18"/>
  <c r="L40" i="18"/>
  <c r="L61" i="18"/>
  <c r="L48" i="18"/>
  <c r="L46" i="18"/>
  <c r="L14" i="18"/>
  <c r="L59" i="18"/>
  <c r="L9" i="18"/>
  <c r="L57" i="18"/>
  <c r="L56" i="18"/>
  <c r="L45" i="18"/>
  <c r="L25" i="18"/>
  <c r="L20" i="18"/>
  <c r="L51" i="18"/>
  <c r="L2" i="18" s="1"/>
  <c r="L15" i="18"/>
  <c r="L26" i="18"/>
  <c r="L34" i="18"/>
  <c r="L11" i="18"/>
  <c r="L32" i="18"/>
  <c r="L24" i="18"/>
  <c r="L36" i="18"/>
  <c r="L38" i="18"/>
  <c r="L12" i="18"/>
  <c r="L18" i="18"/>
  <c r="L21" i="18"/>
  <c r="L30" i="18"/>
  <c r="L19" i="18"/>
  <c r="L13" i="18"/>
  <c r="L33" i="18"/>
  <c r="L41" i="18"/>
  <c r="L37" i="18"/>
  <c r="L16" i="18"/>
  <c r="L23" i="18"/>
  <c r="L22" i="18"/>
  <c r="L17" i="18"/>
  <c r="L39" i="18"/>
  <c r="L10" i="18"/>
  <c r="M2" i="7"/>
  <c r="L55" i="7"/>
  <c r="L34" i="7"/>
  <c r="L24" i="7"/>
  <c r="L33" i="7"/>
  <c r="L39" i="7"/>
  <c r="L32" i="7"/>
  <c r="L38" i="7"/>
  <c r="L31" i="7"/>
  <c r="L54" i="7"/>
  <c r="L52" i="7"/>
  <c r="L46" i="7"/>
  <c r="L53" i="7"/>
  <c r="L37" i="7"/>
  <c r="L56" i="7"/>
  <c r="L44" i="7"/>
  <c r="L57" i="7"/>
  <c r="L30" i="7"/>
  <c r="L60" i="7"/>
  <c r="L45" i="7"/>
  <c r="L49" i="7"/>
  <c r="L35" i="7"/>
  <c r="L43" i="7"/>
  <c r="L59" i="7"/>
  <c r="L41" i="7"/>
  <c r="L36" i="7"/>
  <c r="L66" i="7"/>
  <c r="L58" i="7"/>
  <c r="L47" i="7"/>
  <c r="L61" i="7"/>
  <c r="L64" i="7"/>
  <c r="L11" i="7"/>
  <c r="L19" i="7"/>
  <c r="L17" i="7"/>
  <c r="L28" i="7"/>
  <c r="L9" i="7"/>
  <c r="L23" i="7"/>
  <c r="L21" i="7"/>
  <c r="L13" i="7"/>
  <c r="L15" i="7"/>
  <c r="L12" i="7"/>
  <c r="L22" i="7"/>
  <c r="L18" i="7"/>
  <c r="L10" i="7"/>
  <c r="L20" i="7"/>
  <c r="L14" i="7"/>
  <c r="L16" i="7"/>
  <c r="L26" i="7"/>
  <c r="L26" i="6"/>
  <c r="L71" i="18"/>
  <c r="L33" i="5"/>
  <c r="M2" i="5"/>
  <c r="L58" i="5"/>
  <c r="L59" i="5"/>
  <c r="L43" i="5"/>
  <c r="L54" i="5"/>
  <c r="L61" i="5"/>
  <c r="L53" i="5"/>
  <c r="L32" i="5"/>
  <c r="L45" i="5"/>
  <c r="L47" i="5"/>
  <c r="L39" i="5"/>
  <c r="L41" i="5"/>
  <c r="L38" i="5"/>
  <c r="L24" i="5"/>
  <c r="L52" i="5"/>
  <c r="L60" i="5"/>
  <c r="L56" i="5"/>
  <c r="L44" i="5"/>
  <c r="L36" i="5"/>
  <c r="L35" i="5"/>
  <c r="L46" i="5"/>
  <c r="L31" i="5"/>
  <c r="L14" i="5"/>
  <c r="L64" i="5"/>
  <c r="L37" i="5"/>
  <c r="L57" i="5"/>
  <c r="L30" i="5"/>
  <c r="L34" i="5"/>
  <c r="L66" i="5"/>
  <c r="L55" i="5"/>
  <c r="L12" i="5"/>
  <c r="L10" i="5"/>
  <c r="L17" i="5"/>
  <c r="L11" i="5"/>
  <c r="L15" i="5"/>
  <c r="L21" i="5"/>
  <c r="L49" i="5"/>
  <c r="L22" i="5"/>
  <c r="L9" i="5"/>
  <c r="L18" i="5"/>
  <c r="L23" i="5"/>
  <c r="L20" i="5"/>
  <c r="L28" i="5"/>
  <c r="L13" i="5"/>
  <c r="L19" i="5"/>
  <c r="L16" i="5"/>
  <c r="L28" i="14"/>
  <c r="L2" i="3"/>
  <c r="L69" i="6"/>
  <c r="L2" i="6" l="1"/>
  <c r="L2" i="10"/>
  <c r="L2" i="8"/>
  <c r="L2" i="12"/>
  <c r="L2" i="14"/>
  <c r="L2" i="17"/>
  <c r="L2" i="15"/>
  <c r="L2" i="9"/>
  <c r="L2" i="4"/>
  <c r="L2" i="11"/>
  <c r="L2" i="5"/>
  <c r="L2" i="7"/>
</calcChain>
</file>

<file path=xl/sharedStrings.xml><?xml version="1.0" encoding="utf-8"?>
<sst xmlns="http://schemas.openxmlformats.org/spreadsheetml/2006/main" count="3402" uniqueCount="226">
  <si>
    <t>Daily P&amp;L</t>
  </si>
  <si>
    <t>Financial Instrument</t>
  </si>
  <si>
    <t>Company Name</t>
  </si>
  <si>
    <t>Trading Currency</t>
  </si>
  <si>
    <t>Exchange</t>
  </si>
  <si>
    <t>Position</t>
  </si>
  <si>
    <t>Market Value</t>
  </si>
  <si>
    <t>Avg Price</t>
  </si>
  <si>
    <t>Last</t>
  </si>
  <si>
    <t>Unrealized P&amp;L</t>
  </si>
  <si>
    <t>Change %</t>
  </si>
  <si>
    <t>2823 SEHK</t>
  </si>
  <si>
    <t>ISHARES FTSE A50 CHINA</t>
  </si>
  <si>
    <t>HKD</t>
  </si>
  <si>
    <t>SEHK</t>
  </si>
  <si>
    <t>ALB</t>
  </si>
  <si>
    <t>ALBEMARLE CORP</t>
  </si>
  <si>
    <t>USD</t>
  </si>
  <si>
    <t>SMART</t>
  </si>
  <si>
    <t>ALGN</t>
  </si>
  <si>
    <t>ALIGN TECHNOLOGY INC</t>
  </si>
  <si>
    <t>CARR</t>
  </si>
  <si>
    <t>CARRIER GLOBAL CORP</t>
  </si>
  <si>
    <t>DE</t>
  </si>
  <si>
    <t>DEERE &amp; CO</t>
  </si>
  <si>
    <t>DFS</t>
  </si>
  <si>
    <t>DISCOVER FINANCIAL SERVICES</t>
  </si>
  <si>
    <t>DOCU</t>
  </si>
  <si>
    <t>DOCUSIGN INC</t>
  </si>
  <si>
    <t>FCX</t>
  </si>
  <si>
    <t>FREEPORT-MCMORAN INC</t>
  </si>
  <si>
    <t>FDX</t>
  </si>
  <si>
    <t>FEDEX CORPORATION</t>
  </si>
  <si>
    <t>GPS</t>
  </si>
  <si>
    <t>GAP INC/THE</t>
  </si>
  <si>
    <t>IAU</t>
  </si>
  <si>
    <t>ISHARES GOLD TRUST</t>
  </si>
  <si>
    <t>JD</t>
  </si>
  <si>
    <t>JD.COM INC-ADR</t>
  </si>
  <si>
    <t>LB</t>
  </si>
  <si>
    <t>L BRANDS INC</t>
  </si>
  <si>
    <t>MELI</t>
  </si>
  <si>
    <t>MERCADOLIBRE INC</t>
  </si>
  <si>
    <t>PH</t>
  </si>
  <si>
    <t>PARKER HANNIFIN CORP</t>
  </si>
  <si>
    <t>PWR</t>
  </si>
  <si>
    <t>QUANTA SERVICES INC</t>
  </si>
  <si>
    <t>SIVB</t>
  </si>
  <si>
    <t>SVB FINANCIAL GROUP</t>
  </si>
  <si>
    <t>TSLA</t>
  </si>
  <si>
    <t>TESLA INC</t>
  </si>
  <si>
    <t>ZM</t>
  </si>
  <si>
    <t>ZOOM VIDEO COMMUNICATIONS-A</t>
  </si>
  <si>
    <t>AH Dec16'20 @LMEOTC</t>
  </si>
  <si>
    <t>High-Grade Primary Aluminium</t>
  </si>
  <si>
    <t>LMEOTC</t>
  </si>
  <si>
    <t>BTP Dec08'20 @DTB</t>
  </si>
  <si>
    <t>Euro-BTP Italian Government Bond</t>
  </si>
  <si>
    <t>EUR</t>
  </si>
  <si>
    <t>DTB</t>
  </si>
  <si>
    <t>BTS Dec08'20 @DTB</t>
  </si>
  <si>
    <t>Short-Term Euro-BTP Italian Government Bond</t>
  </si>
  <si>
    <t>CGB Mar22'21 @CDE</t>
  </si>
  <si>
    <t>10 Year Government of Canada Bonds</t>
  </si>
  <si>
    <t>CAD</t>
  </si>
  <si>
    <t>CDE</t>
  </si>
  <si>
    <t>GBX Dec08'20 @DTB</t>
  </si>
  <si>
    <t>Euro Buxl (15 - 30 Year Bond)</t>
  </si>
  <si>
    <t>GE Dec14'20 @GLOBEX</t>
  </si>
  <si>
    <t>GLOBEX Euro-Dollar</t>
  </si>
  <si>
    <t>GLOBEX</t>
  </si>
  <si>
    <t>HG Dec29'20 @NYMEX</t>
  </si>
  <si>
    <t>NYMEX Copper Index</t>
  </si>
  <si>
    <t>NYMEX</t>
  </si>
  <si>
    <t>KE Mar12'21 @ECBOT</t>
  </si>
  <si>
    <t>Hard Red Winter Wheat -KCBOT-</t>
  </si>
  <si>
    <t>ECBOT</t>
  </si>
  <si>
    <t>L Dec16'20 @ICEEU</t>
  </si>
  <si>
    <t>3 Month Sterling Interest Rate FUT</t>
  </si>
  <si>
    <t>GBP</t>
  </si>
  <si>
    <t>ICEEU</t>
  </si>
  <si>
    <t>NG Jan'21 @NYMEX</t>
  </si>
  <si>
    <t>Henry Hub Natural Gas</t>
  </si>
  <si>
    <t>NI Dec16'20 @LMEOTC</t>
  </si>
  <si>
    <t>Nickel - LME</t>
  </si>
  <si>
    <t>PA Mar29'21 @NYMEX</t>
  </si>
  <si>
    <t>NYMEX Palladium Index</t>
  </si>
  <si>
    <t>SCI Dec31'20 @SGX</t>
  </si>
  <si>
    <t>SGX TSI Iron Ore Futures</t>
  </si>
  <si>
    <t>SGX</t>
  </si>
  <si>
    <t>SNLME Dec16'20 @LMEOTC</t>
  </si>
  <si>
    <t>Tin future</t>
  </si>
  <si>
    <t>SOFR1 Nov30'20 @GLOBEX</t>
  </si>
  <si>
    <t>Secured Overnight Financing Rate 1-month average of rates</t>
  </si>
  <si>
    <t>C99.9125</t>
  </si>
  <si>
    <t>SOFR3 Sep'20 @GLOBEX</t>
  </si>
  <si>
    <t>Secured Overnight Financing Rate 3-month average of rates</t>
  </si>
  <si>
    <t>C99.9175</t>
  </si>
  <si>
    <t>TN Dec21'20 @ECBOT</t>
  </si>
  <si>
    <t>Ultra 10-Year US Treasury Note</t>
  </si>
  <si>
    <t>TSR20 Jan'21 @SGX</t>
  </si>
  <si>
    <t>SICOM Rubber</t>
  </si>
  <si>
    <t>UB Dec21'20 @ECBOT</t>
  </si>
  <si>
    <t>Ultra Treasury Bond</t>
  </si>
  <si>
    <t>ZB Dec21'20 @ECBOT</t>
  </si>
  <si>
    <t>30 Year US Treasury Bond</t>
  </si>
  <si>
    <t>ZF Dec31'20 @ECBOT</t>
  </si>
  <si>
    <t>5 Year US Treasury Note</t>
  </si>
  <si>
    <t>ZN Dec21'20 @ECBOT</t>
  </si>
  <si>
    <t>10 Year US Treasury Note</t>
  </si>
  <si>
    <t>ZQ Nov30'20 @ECBOT</t>
  </si>
  <si>
    <t>30 Day Fed Funds</t>
  </si>
  <si>
    <t>ZSLME Dec16'20 @LMEOTC</t>
  </si>
  <si>
    <t>Special High Grade Zinc</t>
  </si>
  <si>
    <t>ZT Dec31'20 @ECBOT</t>
  </si>
  <si>
    <t>2 Year US Treasury Note</t>
  </si>
  <si>
    <t>Date</t>
  </si>
  <si>
    <t>Total target value allocation</t>
  </si>
  <si>
    <t>Total Current value Allocation</t>
  </si>
  <si>
    <t>Total Percentage</t>
  </si>
  <si>
    <t>Current Leverage</t>
  </si>
  <si>
    <t>Leverage Multiplier</t>
  </si>
  <si>
    <t>Current NAV</t>
  </si>
  <si>
    <t>Total target value allocation exclude bonds</t>
  </si>
  <si>
    <t>Leverage exclude bonds</t>
  </si>
  <si>
    <t>Subscription</t>
  </si>
  <si>
    <t>Redemption</t>
  </si>
  <si>
    <t>Final NAV</t>
  </si>
  <si>
    <t>Category</t>
  </si>
  <si>
    <t>IB Ticker</t>
  </si>
  <si>
    <t>Target Allocation (%)</t>
  </si>
  <si>
    <t>Target Value Allocation (USD)</t>
  </si>
  <si>
    <t>Last price</t>
  </si>
  <si>
    <t>Target Quantity</t>
  </si>
  <si>
    <t>Previous Quantity</t>
  </si>
  <si>
    <t>Current Quantity</t>
  </si>
  <si>
    <t>Change</t>
  </si>
  <si>
    <t>Current Value Allocation</t>
  </si>
  <si>
    <t>Current Allocation Percentage</t>
  </si>
  <si>
    <t>Comments</t>
  </si>
  <si>
    <t>Equity</t>
  </si>
  <si>
    <t>NVDA</t>
  </si>
  <si>
    <t>NVIDIA CORP</t>
  </si>
  <si>
    <t>CMG</t>
  </si>
  <si>
    <t>CHIPOTLE MEXICAN GRILL INC</t>
  </si>
  <si>
    <t>PYPL</t>
  </si>
  <si>
    <t>PAYPAL HOLDINGS INC</t>
  </si>
  <si>
    <t>WHR</t>
  </si>
  <si>
    <t>WHIRLPOOL CORP</t>
  </si>
  <si>
    <t>Equity Total</t>
  </si>
  <si>
    <t>US Bond</t>
  </si>
  <si>
    <t>Global Bond</t>
  </si>
  <si>
    <t>CGB Dec18'20 @CDE</t>
  </si>
  <si>
    <t>Bonds Total</t>
  </si>
  <si>
    <t>Short-term Bonds Total</t>
  </si>
  <si>
    <t>Commodity</t>
  </si>
  <si>
    <t>AH Nov18'20 @LMEOTC</t>
  </si>
  <si>
    <t>CA Nov18'20 @LMEOTC</t>
  </si>
  <si>
    <t>Grade A Copper - LME</t>
  </si>
  <si>
    <t xml:space="preserve"> </t>
  </si>
  <si>
    <t>NI Nov18'20 @LMEOTC</t>
  </si>
  <si>
    <t>PA Dec29'20 @NYMEX</t>
  </si>
  <si>
    <t>SNLME Nov18'20 @LMEOTC</t>
  </si>
  <si>
    <t>ZSLME Nov18'20 @LMEOTC</t>
  </si>
  <si>
    <t>NG Dec'20 @NYMEX</t>
  </si>
  <si>
    <t>RB Dec'20 @NYMEX</t>
  </si>
  <si>
    <t>NYMEX RBOB Gasoline Index</t>
  </si>
  <si>
    <t>Commodity Total</t>
  </si>
  <si>
    <t>VIX</t>
  </si>
  <si>
    <t>VIX Nov18'20 @CFE</t>
  </si>
  <si>
    <t>CBOE Volatility Index</t>
  </si>
  <si>
    <t>Total</t>
  </si>
  <si>
    <t>VIAC</t>
  </si>
  <si>
    <t>VIACOMCBS INC - CLASS B</t>
  </si>
  <si>
    <t>KE Dec14'20 @ECBOT</t>
  </si>
  <si>
    <t>-</t>
  </si>
  <si>
    <t>Column1</t>
  </si>
  <si>
    <t>HG Jan27'21 @NYMEX</t>
  </si>
  <si>
    <t>TN Mar22'21 @ECBOT</t>
  </si>
  <si>
    <t>UB Mar22'21 @ECBOT</t>
  </si>
  <si>
    <t>ZB Mar22'21 @ECBOT</t>
  </si>
  <si>
    <t>ZF Mar31'21 @ECBOT</t>
  </si>
  <si>
    <t>ZN Mar22'21 @ECBOT</t>
  </si>
  <si>
    <t>NoMD</t>
  </si>
  <si>
    <t>ZT Mar31'21 @ECBOT</t>
  </si>
  <si>
    <t>ZS Mar12'21 @ECBOT</t>
  </si>
  <si>
    <t>Soybean Futures</t>
  </si>
  <si>
    <t>AES</t>
  </si>
  <si>
    <t>GLW</t>
  </si>
  <si>
    <t>IVZ</t>
  </si>
  <si>
    <t>LRCX</t>
  </si>
  <si>
    <t>QCOM</t>
  </si>
  <si>
    <t>TGT</t>
  </si>
  <si>
    <t>TPR</t>
  </si>
  <si>
    <t>TT</t>
  </si>
  <si>
    <t>UPS</t>
  </si>
  <si>
    <t>AES CORP</t>
  </si>
  <si>
    <t>CORNING INC</t>
  </si>
  <si>
    <t>INVESCO LTD</t>
  </si>
  <si>
    <t>LAM RESEARCH CORP</t>
  </si>
  <si>
    <t>QUALCOMM INC</t>
  </si>
  <si>
    <t>TARGET CORP</t>
  </si>
  <si>
    <t>TAPESTRY INC</t>
  </si>
  <si>
    <t>TRANE TECHNOLOGIES PLC</t>
  </si>
  <si>
    <t>UNITED PARCEL SERVICE-CL B</t>
  </si>
  <si>
    <t>C137.66</t>
  </si>
  <si>
    <t>C475.50</t>
  </si>
  <si>
    <t>C37.81</t>
  </si>
  <si>
    <t>C261.95</t>
  </si>
  <si>
    <t>C226.87</t>
  </si>
  <si>
    <t>C287.41</t>
  </si>
  <si>
    <t>C38.84</t>
  </si>
  <si>
    <t>C1513.43</t>
  </si>
  <si>
    <t>C272.85</t>
  </si>
  <si>
    <t>C69.93</t>
  </si>
  <si>
    <t>C353.79</t>
  </si>
  <si>
    <t>C16420.00</t>
  </si>
  <si>
    <t>C18935.00</t>
  </si>
  <si>
    <t>C99.9150</t>
  </si>
  <si>
    <t>157'040</t>
  </si>
  <si>
    <t>216'080</t>
  </si>
  <si>
    <t>175'020</t>
  </si>
  <si>
    <t>125'315</t>
  </si>
  <si>
    <t>138'045</t>
  </si>
  <si>
    <t>C2781.50</t>
  </si>
  <si>
    <t>110'130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</si>
</sst>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/dd/yyyy"/>
    <numFmt numFmtId="165" formatCode="\$#,##0.00"/>
    <numFmt numFmtId="166" formatCode="0.000"/>
    <numFmt numFmtId="167" formatCode="0.000%"/>
    <numFmt numFmtId="168" formatCode="&quot; $&quot;* #,##0.00\ ;&quot; $&quot;* \(#,##0.00\);&quot; $&quot;* \-#\ ;@\ "/>
    <numFmt numFmtId="169" formatCode="0.0000%"/>
    <numFmt numFmtId="170" formatCode="\+0;\-0;0"/>
  </numFmts>
  <fonts count="8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FFFFFF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E7E6E6"/>
      </patternFill>
    </fill>
    <fill>
      <patternFill patternType="solid">
        <fgColor rgb="FF1F4E79"/>
        <bgColor rgb="FF003366"/>
      </patternFill>
    </fill>
    <fill>
      <patternFill patternType="solid">
        <fgColor rgb="FFE7E6E6"/>
        <bgColor rgb="FFFFFFFF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168" fontId="7" fillId="0" borderId="0" applyBorder="0" applyProtection="0"/>
    <xf numFmtId="9" fontId="7" fillId="0" borderId="0" applyBorder="0" applyProtection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3" fillId="0" borderId="0" xfId="0" applyFont="1"/>
    <xf numFmtId="0" fontId="4" fillId="0" borderId="1" xfId="0" applyFont="1" applyBorder="1" applyAlignment="1"/>
    <xf numFmtId="164" fontId="4" fillId="0" borderId="1" xfId="0" applyNumberFormat="1" applyFont="1" applyBorder="1" applyAlignment="1">
      <alignment horizontal="right"/>
    </xf>
    <xf numFmtId="164" fontId="4" fillId="0" borderId="0" xfId="0" applyNumberFormat="1" applyFont="1" applyBorder="1" applyAlignment="1"/>
    <xf numFmtId="9" fontId="4" fillId="0" borderId="1" xfId="2" applyFont="1" applyBorder="1" applyAlignment="1" applyProtection="1">
      <alignment wrapText="1"/>
    </xf>
    <xf numFmtId="9" fontId="3" fillId="0" borderId="0" xfId="2" applyFont="1" applyBorder="1" applyAlignment="1" applyProtection="1"/>
    <xf numFmtId="0" fontId="3" fillId="0" borderId="0" xfId="2" applyNumberFormat="1" applyFont="1" applyBorder="1" applyAlignment="1" applyProtection="1"/>
    <xf numFmtId="165" fontId="4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vertical="center" wrapText="1"/>
    </xf>
    <xf numFmtId="166" fontId="4" fillId="0" borderId="1" xfId="0" applyNumberFormat="1" applyFont="1" applyBorder="1"/>
    <xf numFmtId="0" fontId="4" fillId="0" borderId="0" xfId="0" applyFont="1" applyBorder="1"/>
    <xf numFmtId="165" fontId="4" fillId="2" borderId="1" xfId="0" applyNumberFormat="1" applyFont="1" applyFill="1" applyBorder="1"/>
    <xf numFmtId="165" fontId="4" fillId="0" borderId="0" xfId="0" applyNumberFormat="1" applyFont="1"/>
    <xf numFmtId="0" fontId="4" fillId="0" borderId="0" xfId="0" applyFont="1"/>
    <xf numFmtId="10" fontId="4" fillId="2" borderId="1" xfId="0" applyNumberFormat="1" applyFont="1" applyFill="1" applyBorder="1"/>
    <xf numFmtId="0" fontId="4" fillId="2" borderId="1" xfId="0" applyFont="1" applyFill="1" applyBorder="1"/>
    <xf numFmtId="167" fontId="3" fillId="0" borderId="0" xfId="0" applyNumberFormat="1" applyFont="1"/>
    <xf numFmtId="165" fontId="4" fillId="0" borderId="1" xfId="1" applyNumberFormat="1" applyFont="1" applyBorder="1" applyAlignment="1" applyProtection="1"/>
    <xf numFmtId="10" fontId="4" fillId="0" borderId="0" xfId="1" applyNumberFormat="1" applyFont="1" applyBorder="1" applyAlignment="1" applyProtection="1"/>
    <xf numFmtId="9" fontId="3" fillId="0" borderId="0" xfId="0" applyNumberFormat="1" applyFont="1"/>
    <xf numFmtId="10" fontId="4" fillId="0" borderId="0" xfId="0" applyNumberFormat="1" applyFont="1"/>
    <xf numFmtId="0" fontId="4" fillId="0" borderId="2" xfId="0" applyFont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3" borderId="0" xfId="0" applyFont="1" applyFill="1"/>
    <xf numFmtId="0" fontId="4" fillId="3" borderId="0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169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/>
    <xf numFmtId="0" fontId="3" fillId="3" borderId="1" xfId="0" applyFont="1" applyFill="1" applyBorder="1" applyAlignment="1">
      <alignment vertical="center" wrapText="1"/>
    </xf>
    <xf numFmtId="169" fontId="3" fillId="3" borderId="1" xfId="2" applyNumberFormat="1" applyFont="1" applyFill="1" applyBorder="1" applyAlignment="1" applyProtection="1">
      <alignment vertical="center" wrapText="1"/>
    </xf>
    <xf numFmtId="165" fontId="3" fillId="3" borderId="1" xfId="0" applyNumberFormat="1" applyFont="1" applyFill="1" applyBorder="1" applyAlignment="1">
      <alignment vertical="center" wrapText="1"/>
    </xf>
    <xf numFmtId="2" fontId="3" fillId="3" borderId="1" xfId="0" applyNumberFormat="1" applyFont="1" applyFill="1" applyBorder="1" applyAlignment="1">
      <alignment vertical="center" wrapText="1"/>
    </xf>
    <xf numFmtId="170" fontId="4" fillId="3" borderId="1" xfId="0" applyNumberFormat="1" applyFont="1" applyFill="1" applyBorder="1" applyAlignment="1">
      <alignment vertical="center" wrapText="1"/>
    </xf>
    <xf numFmtId="165" fontId="4" fillId="3" borderId="1" xfId="0" applyNumberFormat="1" applyFont="1" applyFill="1" applyBorder="1" applyAlignment="1">
      <alignment vertical="center" wrapText="1"/>
    </xf>
    <xf numFmtId="169" fontId="4" fillId="3" borderId="1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65" fontId="3" fillId="0" borderId="0" xfId="0" applyNumberFormat="1" applyFont="1" applyAlignment="1">
      <alignment vertical="center" wrapText="1"/>
    </xf>
    <xf numFmtId="2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170" fontId="3" fillId="3" borderId="1" xfId="0" applyNumberFormat="1" applyFont="1" applyFill="1" applyBorder="1" applyAlignment="1">
      <alignment vertical="center" wrapText="1"/>
    </xf>
    <xf numFmtId="169" fontId="3" fillId="3" borderId="1" xfId="0" applyNumberFormat="1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10" fontId="4" fillId="5" borderId="1" xfId="0" applyNumberFormat="1" applyFont="1" applyFill="1" applyBorder="1" applyAlignment="1">
      <alignment vertical="center" wrapText="1"/>
    </xf>
    <xf numFmtId="165" fontId="4" fillId="5" borderId="1" xfId="2" applyNumberFormat="1" applyFont="1" applyFill="1" applyBorder="1" applyAlignment="1" applyProtection="1">
      <alignment vertical="center" wrapText="1"/>
    </xf>
    <xf numFmtId="2" fontId="4" fillId="5" borderId="1" xfId="2" applyNumberFormat="1" applyFont="1" applyFill="1" applyBorder="1" applyAlignment="1" applyProtection="1">
      <alignment vertical="center" wrapText="1"/>
    </xf>
    <xf numFmtId="170" fontId="4" fillId="5" borderId="1" xfId="2" applyNumberFormat="1" applyFont="1" applyFill="1" applyBorder="1" applyAlignment="1" applyProtection="1">
      <alignment vertical="center" wrapText="1"/>
    </xf>
    <xf numFmtId="169" fontId="4" fillId="5" borderId="1" xfId="0" applyNumberFormat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169" fontId="3" fillId="5" borderId="1" xfId="2" applyNumberFormat="1" applyFont="1" applyFill="1" applyBorder="1" applyAlignment="1" applyProtection="1">
      <alignment vertical="center" wrapText="1"/>
    </xf>
    <xf numFmtId="165" fontId="3" fillId="5" borderId="1" xfId="0" applyNumberFormat="1" applyFont="1" applyFill="1" applyBorder="1" applyAlignment="1">
      <alignment vertical="center" wrapText="1"/>
    </xf>
    <xf numFmtId="2" fontId="3" fillId="5" borderId="1" xfId="0" applyNumberFormat="1" applyFont="1" applyFill="1" applyBorder="1" applyAlignment="1">
      <alignment vertical="center" wrapText="1"/>
    </xf>
    <xf numFmtId="170" fontId="4" fillId="5" borderId="1" xfId="0" applyNumberFormat="1" applyFont="1" applyFill="1" applyBorder="1" applyAlignment="1">
      <alignment vertical="center" wrapText="1"/>
    </xf>
    <xf numFmtId="165" fontId="4" fillId="5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/>
    <xf numFmtId="165" fontId="3" fillId="3" borderId="1" xfId="0" applyNumberFormat="1" applyFont="1" applyFill="1" applyBorder="1" applyAlignment="1">
      <alignment wrapText="1"/>
    </xf>
    <xf numFmtId="0" fontId="3" fillId="0" borderId="0" xfId="0" applyFont="1" applyBorder="1"/>
    <xf numFmtId="0" fontId="4" fillId="5" borderId="1" xfId="0" applyFont="1" applyFill="1" applyBorder="1" applyAlignment="1">
      <alignment wrapText="1"/>
    </xf>
    <xf numFmtId="165" fontId="4" fillId="5" borderId="1" xfId="2" applyNumberFormat="1" applyFont="1" applyFill="1" applyBorder="1" applyAlignment="1" applyProtection="1">
      <alignment wrapText="1"/>
    </xf>
    <xf numFmtId="2" fontId="4" fillId="5" borderId="1" xfId="0" applyNumberFormat="1" applyFont="1" applyFill="1" applyBorder="1" applyAlignment="1">
      <alignment wrapText="1"/>
    </xf>
    <xf numFmtId="2" fontId="4" fillId="5" borderId="1" xfId="0" applyNumberFormat="1" applyFont="1" applyFill="1" applyBorder="1" applyAlignment="1">
      <alignment vertical="center" wrapText="1"/>
    </xf>
    <xf numFmtId="169" fontId="4" fillId="5" borderId="1" xfId="0" applyNumberFormat="1" applyFont="1" applyFill="1" applyBorder="1"/>
    <xf numFmtId="0" fontId="4" fillId="5" borderId="1" xfId="0" applyFont="1" applyFill="1" applyBorder="1"/>
    <xf numFmtId="169" fontId="4" fillId="5" borderId="1" xfId="0" applyNumberFormat="1" applyFont="1" applyFill="1" applyBorder="1" applyAlignment="1">
      <alignment vertical="center"/>
    </xf>
    <xf numFmtId="2" fontId="4" fillId="3" borderId="1" xfId="0" applyNumberFormat="1" applyFont="1" applyFill="1" applyBorder="1" applyAlignment="1">
      <alignment vertical="center" wrapText="1"/>
    </xf>
    <xf numFmtId="169" fontId="4" fillId="5" borderId="1" xfId="2" applyNumberFormat="1" applyFont="1" applyFill="1" applyBorder="1" applyAlignment="1" applyProtection="1">
      <alignment vertical="center" wrapText="1"/>
    </xf>
    <xf numFmtId="9" fontId="3" fillId="3" borderId="1" xfId="2" applyFont="1" applyFill="1" applyBorder="1" applyAlignment="1" applyProtection="1">
      <alignment vertical="center" wrapText="1"/>
    </xf>
    <xf numFmtId="170" fontId="3" fillId="5" borderId="1" xfId="0" applyNumberFormat="1" applyFont="1" applyFill="1" applyBorder="1" applyAlignment="1">
      <alignment vertical="center" wrapText="1"/>
    </xf>
    <xf numFmtId="169" fontId="3" fillId="5" borderId="1" xfId="0" applyNumberFormat="1" applyFont="1" applyFill="1" applyBorder="1" applyAlignment="1">
      <alignment vertical="center" wrapText="1"/>
    </xf>
    <xf numFmtId="9" fontId="3" fillId="3" borderId="1" xfId="2" applyFont="1" applyFill="1" applyBorder="1" applyAlignment="1" applyProtection="1">
      <alignment wrapText="1"/>
    </xf>
    <xf numFmtId="165" fontId="4" fillId="5" borderId="1" xfId="0" applyNumberFormat="1" applyFont="1" applyFill="1" applyBorder="1" applyAlignment="1">
      <alignment wrapText="1"/>
    </xf>
    <xf numFmtId="9" fontId="3" fillId="3" borderId="1" xfId="2" applyFont="1" applyFill="1" applyBorder="1" applyAlignment="1" applyProtection="1"/>
    <xf numFmtId="165" fontId="3" fillId="3" borderId="1" xfId="0" applyNumberFormat="1" applyFont="1" applyFill="1" applyBorder="1"/>
    <xf numFmtId="2" fontId="3" fillId="3" borderId="1" xfId="0" applyNumberFormat="1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6" fillId="0" borderId="0" xfId="0" applyFont="1" applyBorder="1"/>
    <xf numFmtId="0" fontId="6" fillId="0" borderId="2" xfId="0" applyFont="1" applyBorder="1"/>
    <xf numFmtId="0" fontId="3" fillId="0" borderId="2" xfId="0" applyFont="1" applyBorder="1"/>
    <xf numFmtId="0" fontId="3" fillId="6" borderId="1" xfId="0" applyFont="1" applyFill="1" applyBorder="1" applyAlignment="1">
      <alignment vertical="center" wrapText="1"/>
    </xf>
    <xf numFmtId="169" fontId="3" fillId="6" borderId="1" xfId="2" applyNumberFormat="1" applyFont="1" applyFill="1" applyBorder="1" applyAlignment="1" applyProtection="1">
      <alignment vertical="center" wrapText="1"/>
    </xf>
    <xf numFmtId="165" fontId="3" fillId="6" borderId="1" xfId="0" applyNumberFormat="1" applyFont="1" applyFill="1" applyBorder="1" applyAlignment="1">
      <alignment vertical="center" wrapText="1"/>
    </xf>
    <xf numFmtId="2" fontId="4" fillId="6" borderId="1" xfId="0" applyNumberFormat="1" applyFont="1" applyFill="1" applyBorder="1" applyAlignment="1">
      <alignment vertical="center" wrapText="1"/>
    </xf>
    <xf numFmtId="170" fontId="4" fillId="6" borderId="1" xfId="0" applyNumberFormat="1" applyFont="1" applyFill="1" applyBorder="1" applyAlignment="1">
      <alignment vertical="center" wrapText="1"/>
    </xf>
    <xf numFmtId="165" fontId="4" fillId="6" borderId="1" xfId="0" applyNumberFormat="1" applyFont="1" applyFill="1" applyBorder="1" applyAlignment="1">
      <alignment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895845679910111213144562678910111213141516171819202134567891011121314151617181920212223" displayName="Table13895845679910111213144562678910111213141516171819202134567891011121314151617181920212223" ref="B8:M79" totalsRowShown="0">
  <autoFilter ref="B8:M79" xr:uid="{00000000-0009-0000-0100-000001000000}"/>
  <tableColumns count="12">
    <tableColumn id="1" xr3:uid="{00000000-0010-0000-0000-000001000000}" name="IB Ticker"/>
    <tableColumn id="2" xr3:uid="{00000000-0010-0000-0000-000002000000}" name="Financial Instrument"/>
    <tableColumn id="3" xr3:uid="{00000000-0010-0000-0000-000003000000}" name="Target Allocation (%)"/>
    <tableColumn id="4" xr3:uid="{00000000-0010-0000-0000-000004000000}" name="Target Value Allocation (USD)"/>
    <tableColumn id="5" xr3:uid="{00000000-0010-0000-0000-000005000000}" name="Last price"/>
    <tableColumn id="6" xr3:uid="{00000000-0010-0000-0000-000006000000}" name="Target Quantity"/>
    <tableColumn id="7" xr3:uid="{00000000-0010-0000-0000-000007000000}" name="Previous Quantity"/>
    <tableColumn id="8" xr3:uid="{00000000-0010-0000-0000-000008000000}" name="Current Quantity"/>
    <tableColumn id="9" xr3:uid="{00000000-0010-0000-0000-000009000000}" name="Change"/>
    <tableColumn id="10" xr3:uid="{00000000-0010-0000-0000-00000A000000}" name="Current Value Allocation"/>
    <tableColumn id="11" xr3:uid="{00000000-0010-0000-0000-00000B000000}" name="Current Allocation Percentage"/>
    <tableColumn id="12" xr3:uid="{00000000-0010-0000-0000-00000C000000}" name="Comments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389584567991011121314456267891011121314151617181920213456789101112131415161718192021222334567891011" displayName="Table1389584567991011121314456267891011121314151617181920213456789101112131415161718192021222334567891011" ref="B8:M79" totalsRowShown="0">
  <autoFilter ref="B8:M79" xr:uid="{00000000-0009-0000-0100-00000A000000}"/>
  <tableColumns count="12">
    <tableColumn id="1" xr3:uid="{00000000-0010-0000-0900-000001000000}" name="IB Ticker"/>
    <tableColumn id="2" xr3:uid="{00000000-0010-0000-0900-000002000000}" name="Financial Instrument"/>
    <tableColumn id="3" xr3:uid="{00000000-0010-0000-0900-000003000000}" name="Target Allocation (%)"/>
    <tableColumn id="4" xr3:uid="{00000000-0010-0000-0900-000004000000}" name="Target Value Allocation (USD)"/>
    <tableColumn id="5" xr3:uid="{00000000-0010-0000-0900-000005000000}" name="Last price"/>
    <tableColumn id="6" xr3:uid="{00000000-0010-0000-0900-000006000000}" name="Target Quantity"/>
    <tableColumn id="7" xr3:uid="{00000000-0010-0000-0900-000007000000}" name="Previous Quantity"/>
    <tableColumn id="8" xr3:uid="{00000000-0010-0000-0900-000008000000}" name="Current Quantity"/>
    <tableColumn id="9" xr3:uid="{00000000-0010-0000-0900-000009000000}" name="Change"/>
    <tableColumn id="10" xr3:uid="{00000000-0010-0000-0900-00000A000000}" name="Current Value Allocation"/>
    <tableColumn id="11" xr3:uid="{00000000-0010-0000-0900-00000B000000}" name="Current Allocation Percentage"/>
    <tableColumn id="12" xr3:uid="{00000000-0010-0000-0900-00000C000000}" name="Comments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38958456799101112131445626789101112131415161718192021345678910111213141516171819202122233456789101112" displayName="Table138958456799101112131445626789101112131415161718192021345678910111213141516171819202122233456789101112" ref="B8:M79" totalsRowShown="0">
  <autoFilter ref="B8:M79" xr:uid="{00000000-0009-0000-0100-00000B000000}"/>
  <tableColumns count="12">
    <tableColumn id="1" xr3:uid="{00000000-0010-0000-0A00-000001000000}" name="IB Ticker"/>
    <tableColumn id="2" xr3:uid="{00000000-0010-0000-0A00-000002000000}" name="Financial Instrument"/>
    <tableColumn id="3" xr3:uid="{00000000-0010-0000-0A00-000003000000}" name="Target Allocation (%)"/>
    <tableColumn id="4" xr3:uid="{00000000-0010-0000-0A00-000004000000}" name="Target Value Allocation (USD)"/>
    <tableColumn id="5" xr3:uid="{00000000-0010-0000-0A00-000005000000}" name="Last price"/>
    <tableColumn id="6" xr3:uid="{00000000-0010-0000-0A00-000006000000}" name="Target Quantity"/>
    <tableColumn id="7" xr3:uid="{00000000-0010-0000-0A00-000007000000}" name="Previous Quantity"/>
    <tableColumn id="8" xr3:uid="{00000000-0010-0000-0A00-000008000000}" name="Current Quantity"/>
    <tableColumn id="9" xr3:uid="{00000000-0010-0000-0A00-000009000000}" name="Change"/>
    <tableColumn id="10" xr3:uid="{00000000-0010-0000-0A00-00000A000000}" name="Current Value Allocation"/>
    <tableColumn id="11" xr3:uid="{00000000-0010-0000-0A00-00000B000000}" name="Current Allocation Percentage"/>
    <tableColumn id="12" xr3:uid="{00000000-0010-0000-0A00-00000C000000}" name="Comments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3895845679910111213144562678910111213141516171819202134567891011121314151617181920212223345678910111213" displayName="Table13895845679910111213144562678910111213141516171819202134567891011121314151617181920212223345678910111213" ref="B8:M79" totalsRowShown="0">
  <autoFilter ref="B8:M79" xr:uid="{00000000-0009-0000-0100-00000C000000}"/>
  <tableColumns count="12">
    <tableColumn id="1" xr3:uid="{00000000-0010-0000-0B00-000001000000}" name="IB Ticker"/>
    <tableColumn id="2" xr3:uid="{00000000-0010-0000-0B00-000002000000}" name="Financial Instrument"/>
    <tableColumn id="3" xr3:uid="{00000000-0010-0000-0B00-000003000000}" name="Target Allocation (%)"/>
    <tableColumn id="4" xr3:uid="{00000000-0010-0000-0B00-000004000000}" name="Target Value Allocation (USD)"/>
    <tableColumn id="5" xr3:uid="{00000000-0010-0000-0B00-000005000000}" name="Last price"/>
    <tableColumn id="6" xr3:uid="{00000000-0010-0000-0B00-000006000000}" name="Target Quantity"/>
    <tableColumn id="7" xr3:uid="{00000000-0010-0000-0B00-000007000000}" name="Previous Quantity"/>
    <tableColumn id="8" xr3:uid="{00000000-0010-0000-0B00-000008000000}" name="Current Quantity"/>
    <tableColumn id="9" xr3:uid="{00000000-0010-0000-0B00-000009000000}" name="Change"/>
    <tableColumn id="10" xr3:uid="{00000000-0010-0000-0B00-00000A000000}" name="Current Value Allocation"/>
    <tableColumn id="11" xr3:uid="{00000000-0010-0000-0B00-00000B000000}" name="Current Allocation Percentage"/>
    <tableColumn id="12" xr3:uid="{00000000-0010-0000-0B00-00000C000000}" name="Comments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89584567991011121314456267891011121314151617181920213456789101112131415161718192021222334567891011121314" displayName="Table1389584567991011121314456267891011121314151617181920213456789101112131415161718192021222334567891011121314" ref="B8:M80" totalsRowShown="0">
  <autoFilter ref="B8:M80" xr:uid="{00000000-0009-0000-0100-00000D000000}"/>
  <tableColumns count="12">
    <tableColumn id="1" xr3:uid="{00000000-0010-0000-0C00-000001000000}" name="IB Ticker"/>
    <tableColumn id="2" xr3:uid="{00000000-0010-0000-0C00-000002000000}" name="Financial Instrument"/>
    <tableColumn id="3" xr3:uid="{00000000-0010-0000-0C00-000003000000}" name="Column1"/>
    <tableColumn id="4" xr3:uid="{00000000-0010-0000-0C00-000004000000}" name="Target Value Allocation (USD)"/>
    <tableColumn id="5" xr3:uid="{00000000-0010-0000-0C00-000005000000}" name="Last price"/>
    <tableColumn id="6" xr3:uid="{00000000-0010-0000-0C00-000006000000}" name="Target Quantity"/>
    <tableColumn id="7" xr3:uid="{00000000-0010-0000-0C00-000007000000}" name="Previous Quantity"/>
    <tableColumn id="8" xr3:uid="{00000000-0010-0000-0C00-000008000000}" name="Current Quantity"/>
    <tableColumn id="9" xr3:uid="{00000000-0010-0000-0C00-000009000000}" name="Change"/>
    <tableColumn id="10" xr3:uid="{00000000-0010-0000-0C00-00000A000000}" name="Current Value Allocation"/>
    <tableColumn id="11" xr3:uid="{00000000-0010-0000-0C00-00000B000000}" name="Current Allocation Percentage"/>
    <tableColumn id="12" xr3:uid="{00000000-0010-0000-0C00-00000C000000}" name="Comments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38958456799101112131445626789101112131415161718192021345678910111213141516171819202122233456789101112131415" displayName="Table138958456799101112131445626789101112131415161718192021345678910111213141516171819202122233456789101112131415" ref="B8:M80" totalsRowShown="0">
  <autoFilter ref="B8:M80" xr:uid="{00000000-0009-0000-0100-00000E000000}"/>
  <tableColumns count="12">
    <tableColumn id="1" xr3:uid="{00000000-0010-0000-0D00-000001000000}" name="IB Ticker"/>
    <tableColumn id="2" xr3:uid="{00000000-0010-0000-0D00-000002000000}" name="Financial Instrument"/>
    <tableColumn id="3" xr3:uid="{00000000-0010-0000-0D00-000003000000}" name="Column1"/>
    <tableColumn id="4" xr3:uid="{00000000-0010-0000-0D00-000004000000}" name="Target Value Allocation (USD)"/>
    <tableColumn id="5" xr3:uid="{00000000-0010-0000-0D00-000005000000}" name="Last price"/>
    <tableColumn id="6" xr3:uid="{00000000-0010-0000-0D00-000006000000}" name="Target Quantity"/>
    <tableColumn id="7" xr3:uid="{00000000-0010-0000-0D00-000007000000}" name="Previous Quantity"/>
    <tableColumn id="8" xr3:uid="{00000000-0010-0000-0D00-000008000000}" name="Current Quantity"/>
    <tableColumn id="9" xr3:uid="{00000000-0010-0000-0D00-000009000000}" name="Change"/>
    <tableColumn id="10" xr3:uid="{00000000-0010-0000-0D00-00000A000000}" name="Current Value Allocation"/>
    <tableColumn id="11" xr3:uid="{00000000-0010-0000-0D00-00000B000000}" name="Current Allocation Percentage"/>
    <tableColumn id="12" xr3:uid="{00000000-0010-0000-0D00-00000C000000}" name="Comments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3895845679910111213144562678910111213141516171819202134567891011121314151617181920212223345678910111213141516" displayName="Table13895845679910111213144562678910111213141516171819202134567891011121314151617181920212223345678910111213141516" ref="B8:M80" totalsRowShown="0">
  <autoFilter ref="B8:M80" xr:uid="{00000000-0009-0000-0100-00000F000000}"/>
  <tableColumns count="12">
    <tableColumn id="1" xr3:uid="{00000000-0010-0000-0E00-000001000000}" name="IB Ticker"/>
    <tableColumn id="2" xr3:uid="{00000000-0010-0000-0E00-000002000000}" name="Financial Instrument"/>
    <tableColumn id="3" xr3:uid="{00000000-0010-0000-0E00-000003000000}" name="Column1"/>
    <tableColumn id="4" xr3:uid="{00000000-0010-0000-0E00-000004000000}" name="Target Value Allocation (USD)"/>
    <tableColumn id="5" xr3:uid="{00000000-0010-0000-0E00-000005000000}" name="Last price"/>
    <tableColumn id="6" xr3:uid="{00000000-0010-0000-0E00-000006000000}" name="Target Quantity"/>
    <tableColumn id="7" xr3:uid="{00000000-0010-0000-0E00-000007000000}" name="Previous Quantity"/>
    <tableColumn id="8" xr3:uid="{00000000-0010-0000-0E00-000008000000}" name="Current Quantity"/>
    <tableColumn id="9" xr3:uid="{00000000-0010-0000-0E00-000009000000}" name="Change"/>
    <tableColumn id="10" xr3:uid="{00000000-0010-0000-0E00-00000A000000}" name="Current Value Allocation"/>
    <tableColumn id="11" xr3:uid="{00000000-0010-0000-0E00-00000B000000}" name="Current Allocation Percentage"/>
    <tableColumn id="12" xr3:uid="{00000000-0010-0000-0E00-00000C000000}" name="Comments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389584567991011121314456267891011121314151617181920213456789101112131415161718192021222334567891011121314151617" displayName="Table1389584567991011121314456267891011121314151617181920213456789101112131415161718192021222334567891011121314151617" ref="B8:M80" totalsRowShown="0">
  <autoFilter ref="B8:M80" xr:uid="{00000000-0009-0000-0100-000010000000}"/>
  <tableColumns count="12">
    <tableColumn id="1" xr3:uid="{00000000-0010-0000-0F00-000001000000}" name="IB Ticker"/>
    <tableColumn id="2" xr3:uid="{00000000-0010-0000-0F00-000002000000}" name="Financial Instrument"/>
    <tableColumn id="3" xr3:uid="{00000000-0010-0000-0F00-000003000000}" name="Column1"/>
    <tableColumn id="4" xr3:uid="{00000000-0010-0000-0F00-000004000000}" name="Target Value Allocation (USD)"/>
    <tableColumn id="5" xr3:uid="{00000000-0010-0000-0F00-000005000000}" name="Last price"/>
    <tableColumn id="6" xr3:uid="{00000000-0010-0000-0F00-000006000000}" name="Target Quantity"/>
    <tableColumn id="7" xr3:uid="{00000000-0010-0000-0F00-000007000000}" name="Previous Quantity"/>
    <tableColumn id="8" xr3:uid="{00000000-0010-0000-0F00-000008000000}" name="Current Quantity"/>
    <tableColumn id="9" xr3:uid="{00000000-0010-0000-0F00-000009000000}" name="Change"/>
    <tableColumn id="10" xr3:uid="{00000000-0010-0000-0F00-00000A000000}" name="Current Value Allocation"/>
    <tableColumn id="11" xr3:uid="{00000000-0010-0000-0F00-00000B000000}" name="Current Allocation Percentage"/>
    <tableColumn id="12" xr3:uid="{00000000-0010-0000-0F00-00000C000000}" name="Comments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38958456799101112131445626789101112131415161718192021345678910111213141516171819202122233456789101112131415161718" displayName="Table138958456799101112131445626789101112131415161718192021345678910111213141516171819202122233456789101112131415161718" ref="B8:M80" totalsRowShown="0">
  <autoFilter ref="B8:M80" xr:uid="{00000000-0009-0000-0100-000011000000}"/>
  <tableColumns count="12">
    <tableColumn id="1" xr3:uid="{00000000-0010-0000-1000-000001000000}" name="IB Ticker"/>
    <tableColumn id="2" xr3:uid="{00000000-0010-0000-1000-000002000000}" name="Financial Instrument"/>
    <tableColumn id="3" xr3:uid="{00000000-0010-0000-1000-000003000000}" name="Column1"/>
    <tableColumn id="4" xr3:uid="{00000000-0010-0000-1000-000004000000}" name="Target Value Allocation (USD)"/>
    <tableColumn id="5" xr3:uid="{00000000-0010-0000-1000-000005000000}" name="Last price"/>
    <tableColumn id="6" xr3:uid="{00000000-0010-0000-1000-000006000000}" name="Target Quantity"/>
    <tableColumn id="7" xr3:uid="{00000000-0010-0000-1000-000007000000}" name="Previous Quantity"/>
    <tableColumn id="8" xr3:uid="{00000000-0010-0000-1000-000008000000}" name="Current Quantity"/>
    <tableColumn id="9" xr3:uid="{00000000-0010-0000-1000-000009000000}" name="Change"/>
    <tableColumn id="10" xr3:uid="{00000000-0010-0000-1000-00000A000000}" name="Current Value Allocation"/>
    <tableColumn id="11" xr3:uid="{00000000-0010-0000-1000-00000B000000}" name="Current Allocation Percentage"/>
    <tableColumn id="12" xr3:uid="{00000000-0010-0000-1000-00000C000000}" name="Comments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3895845679910111213144562678910111213141516171819202134567891011121314151617181920212223345678910111213141516171819" displayName="Table13895845679910111213144562678910111213141516171819202134567891011121314151617181920212223345678910111213141516171819" ref="B8:M80" totalsRowShown="0">
  <autoFilter ref="B8:M80" xr:uid="{00000000-0009-0000-0100-000012000000}"/>
  <tableColumns count="12">
    <tableColumn id="1" xr3:uid="{00000000-0010-0000-1100-000001000000}" name="IB Ticker"/>
    <tableColumn id="2" xr3:uid="{00000000-0010-0000-1100-000002000000}" name="Financial Instrument"/>
    <tableColumn id="3" xr3:uid="{00000000-0010-0000-1100-000003000000}" name="Target Allocation (%)"/>
    <tableColumn id="4" xr3:uid="{00000000-0010-0000-1100-000004000000}" name="Target Value Allocation (USD)"/>
    <tableColumn id="5" xr3:uid="{00000000-0010-0000-1100-000005000000}" name="Last price"/>
    <tableColumn id="6" xr3:uid="{00000000-0010-0000-1100-000006000000}" name="Target Quantity"/>
    <tableColumn id="7" xr3:uid="{00000000-0010-0000-1100-000007000000}" name="Previous Quantity"/>
    <tableColumn id="8" xr3:uid="{00000000-0010-0000-1100-000008000000}" name="Current Quantity"/>
    <tableColumn id="9" xr3:uid="{00000000-0010-0000-1100-000009000000}" name="Change"/>
    <tableColumn id="10" xr3:uid="{00000000-0010-0000-1100-00000A000000}" name="Current Value Allocation"/>
    <tableColumn id="11" xr3:uid="{00000000-0010-0000-1100-00000B000000}" name="Current Allocation Percentage"/>
    <tableColumn id="12" xr3:uid="{00000000-0010-0000-1100-00000C000000}" name="Comments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66ACC0F-5A11-42D9-AE56-C0DB926BB9E1}" name="Table1389584567991011121314456267891011121314151617181920213456789101112131415161718192021222334567891011121314151617181920" displayName="Table1389584567991011121314456267891011121314151617181920213456789101112131415161718192021222334567891011121314151617181920" ref="B8:M89" totalsRowShown="0">
  <autoFilter ref="B8:M89" xr:uid="{00000000-0009-0000-0100-000012000000}"/>
  <tableColumns count="12">
    <tableColumn id="1" xr3:uid="{AAE06D91-4048-478B-9354-1A0F45472348}" name="IB Ticker"/>
    <tableColumn id="2" xr3:uid="{615AFE94-A3B7-41F9-BF40-833C3CBD036C}" name="Financial Instrument"/>
    <tableColumn id="3" xr3:uid="{761A5A74-79B9-4E1D-AE4C-C2A19F8BADB9}" name="Target Allocation (%)"/>
    <tableColumn id="4" xr3:uid="{11DDBBC1-98A8-41B2-919F-684EF9B1115E}" name="Target Value Allocation (USD)"/>
    <tableColumn id="5" xr3:uid="{13F8644B-2E15-44C6-8073-3B1D6664D003}" name="Last price"/>
    <tableColumn id="6" xr3:uid="{8EAAF41C-DFC9-4C76-B770-C66EB0422C25}" name="Target Quantity"/>
    <tableColumn id="7" xr3:uid="{615C3EB6-A211-4BD5-BB30-C72AD291D79E}" name="Previous Quantity"/>
    <tableColumn id="8" xr3:uid="{7439D650-8599-44C1-A5EB-3CA142F58FDA}" name="Current Quantity"/>
    <tableColumn id="9" xr3:uid="{2FF7CECB-1C23-441B-A9E2-C0EF3CD1F7DD}" name="Change"/>
    <tableColumn id="10" xr3:uid="{7F219EA5-A975-4CF3-A751-AED749AABB26}" name="Current Value Allocation"/>
    <tableColumn id="11" xr3:uid="{2EF5A642-FA5F-4C46-9DD7-DF52450F2F0E}" name="Current Allocation Percentage"/>
    <tableColumn id="12" xr3:uid="{39608027-22B0-4ECF-AB1C-18E2433FDD29}" name="Comment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8958456799101112131445626789101112131415161718192021345678910111213141516171819202122233" displayName="Table138958456799101112131445626789101112131415161718192021345678910111213141516171819202122233" ref="B8:M83" totalsRowShown="0">
  <autoFilter ref="B8:M83" xr:uid="{00000000-0009-0000-0100-000002000000}"/>
  <tableColumns count="12">
    <tableColumn id="1" xr3:uid="{00000000-0010-0000-0100-000001000000}" name="IB Ticker"/>
    <tableColumn id="2" xr3:uid="{00000000-0010-0000-0100-000002000000}" name="Financial Instrument"/>
    <tableColumn id="3" xr3:uid="{00000000-0010-0000-0100-000003000000}" name="Target Allocation (%)"/>
    <tableColumn id="4" xr3:uid="{00000000-0010-0000-0100-000004000000}" name="Target Value Allocation (USD)"/>
    <tableColumn id="5" xr3:uid="{00000000-0010-0000-0100-000005000000}" name="Last price"/>
    <tableColumn id="6" xr3:uid="{00000000-0010-0000-0100-000006000000}" name="Target Quantity"/>
    <tableColumn id="7" xr3:uid="{00000000-0010-0000-0100-000007000000}" name="Previous Quantity"/>
    <tableColumn id="8" xr3:uid="{00000000-0010-0000-0100-000008000000}" name="Current Quantity"/>
    <tableColumn id="9" xr3:uid="{00000000-0010-0000-0100-000009000000}" name="Change"/>
    <tableColumn id="10" xr3:uid="{00000000-0010-0000-0100-00000A000000}" name="Current Value Allocation"/>
    <tableColumn id="11" xr3:uid="{00000000-0010-0000-0100-00000B000000}" name="Current Allocation Percentage"/>
    <tableColumn id="12" xr3:uid="{00000000-0010-0000-0100-00000C000000}" name="Comment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89584567991011121314456267891011121314151617181920213456789101112131415161718192021222334" displayName="Table1389584567991011121314456267891011121314151617181920213456789101112131415161718192021222334" ref="B8:M78" totalsRowShown="0">
  <autoFilter ref="B8:M78" xr:uid="{00000000-0009-0000-0100-000003000000}"/>
  <tableColumns count="12">
    <tableColumn id="1" xr3:uid="{00000000-0010-0000-0200-000001000000}" name="IB Ticker"/>
    <tableColumn id="2" xr3:uid="{00000000-0010-0000-0200-000002000000}" name="Financial Instrument"/>
    <tableColumn id="3" xr3:uid="{00000000-0010-0000-0200-000003000000}" name="Target Allocation (%)"/>
    <tableColumn id="4" xr3:uid="{00000000-0010-0000-0200-000004000000}" name="Target Value Allocation (USD)"/>
    <tableColumn id="5" xr3:uid="{00000000-0010-0000-0200-000005000000}" name="Last price"/>
    <tableColumn id="6" xr3:uid="{00000000-0010-0000-0200-000006000000}" name="Target Quantity"/>
    <tableColumn id="7" xr3:uid="{00000000-0010-0000-0200-000007000000}" name="Previous Quantity"/>
    <tableColumn id="8" xr3:uid="{00000000-0010-0000-0200-000008000000}" name="Current Quantity"/>
    <tableColumn id="9" xr3:uid="{00000000-0010-0000-0200-000009000000}" name="Change"/>
    <tableColumn id="10" xr3:uid="{00000000-0010-0000-0200-00000A000000}" name="Current Value Allocation"/>
    <tableColumn id="11" xr3:uid="{00000000-0010-0000-0200-00000B000000}" name="Current Allocation Percentage"/>
    <tableColumn id="12" xr3:uid="{00000000-0010-0000-0200-00000C000000}" name="Comment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895845679910111213144562678910111213141516171819202134567891011121314151617181920212223345" displayName="Table13895845679910111213144562678910111213141516171819202134567891011121314151617181920212223345" ref="B8:M78" totalsRowShown="0">
  <autoFilter ref="B8:M78" xr:uid="{00000000-0009-0000-0100-000004000000}"/>
  <tableColumns count="12">
    <tableColumn id="1" xr3:uid="{00000000-0010-0000-0300-000001000000}" name="IB Ticker"/>
    <tableColumn id="2" xr3:uid="{00000000-0010-0000-0300-000002000000}" name="Financial Instrument"/>
    <tableColumn id="3" xr3:uid="{00000000-0010-0000-0300-000003000000}" name="Target Allocation (%)"/>
    <tableColumn id="4" xr3:uid="{00000000-0010-0000-0300-000004000000}" name="Target Value Allocation (USD)"/>
    <tableColumn id="5" xr3:uid="{00000000-0010-0000-0300-000005000000}" name="Last price"/>
    <tableColumn id="6" xr3:uid="{00000000-0010-0000-0300-000006000000}" name="Target Quantity"/>
    <tableColumn id="7" xr3:uid="{00000000-0010-0000-0300-000007000000}" name="Previous Quantity"/>
    <tableColumn id="8" xr3:uid="{00000000-0010-0000-0300-000008000000}" name="Current Quantity"/>
    <tableColumn id="9" xr3:uid="{00000000-0010-0000-0300-000009000000}" name="Change"/>
    <tableColumn id="10" xr3:uid="{00000000-0010-0000-0300-00000A000000}" name="Current Value Allocation"/>
    <tableColumn id="11" xr3:uid="{00000000-0010-0000-0300-00000B000000}" name="Current Allocation Percentage"/>
    <tableColumn id="12" xr3:uid="{00000000-0010-0000-0300-00000C000000}" name="Comment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38958456799101112131445626789101112131415161718192021345678910111213141516171819202122233456" displayName="Table138958456799101112131445626789101112131415161718192021345678910111213141516171819202122233456" ref="B8:M78" totalsRowShown="0">
  <autoFilter ref="B8:M78" xr:uid="{00000000-0009-0000-0100-000005000000}"/>
  <tableColumns count="12">
    <tableColumn id="1" xr3:uid="{00000000-0010-0000-0400-000001000000}" name="IB Ticker"/>
    <tableColumn id="2" xr3:uid="{00000000-0010-0000-0400-000002000000}" name="Financial Instrument"/>
    <tableColumn id="3" xr3:uid="{00000000-0010-0000-0400-000003000000}" name="Target Allocation (%)"/>
    <tableColumn id="4" xr3:uid="{00000000-0010-0000-0400-000004000000}" name="Target Value Allocation (USD)"/>
    <tableColumn id="5" xr3:uid="{00000000-0010-0000-0400-000005000000}" name="Last price"/>
    <tableColumn id="6" xr3:uid="{00000000-0010-0000-0400-000006000000}" name="Target Quantity"/>
    <tableColumn id="7" xr3:uid="{00000000-0010-0000-0400-000007000000}" name="Previous Quantity"/>
    <tableColumn id="8" xr3:uid="{00000000-0010-0000-0400-000008000000}" name="Current Quantity"/>
    <tableColumn id="9" xr3:uid="{00000000-0010-0000-0400-000009000000}" name="Change"/>
    <tableColumn id="10" xr3:uid="{00000000-0010-0000-0400-00000A000000}" name="Current Value Allocation"/>
    <tableColumn id="11" xr3:uid="{00000000-0010-0000-0400-00000B000000}" name="Current Allocation Percentage"/>
    <tableColumn id="12" xr3:uid="{00000000-0010-0000-0400-00000C000000}" name="Comment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389584567991011121314456267891011121314151617181920213456789101112131415161718192021222334567" displayName="Table1389584567991011121314456267891011121314151617181920213456789101112131415161718192021222334567" ref="B8:M78" totalsRowShown="0">
  <autoFilter ref="B8:M78" xr:uid="{00000000-0009-0000-0100-000006000000}"/>
  <tableColumns count="12">
    <tableColumn id="1" xr3:uid="{00000000-0010-0000-0500-000001000000}" name="IB Ticker"/>
    <tableColumn id="2" xr3:uid="{00000000-0010-0000-0500-000002000000}" name="Financial Instrument"/>
    <tableColumn id="3" xr3:uid="{00000000-0010-0000-0500-000003000000}" name="Target Allocation (%)"/>
    <tableColumn id="4" xr3:uid="{00000000-0010-0000-0500-000004000000}" name="Target Value Allocation (USD)"/>
    <tableColumn id="5" xr3:uid="{00000000-0010-0000-0500-000005000000}" name="Last price"/>
    <tableColumn id="6" xr3:uid="{00000000-0010-0000-0500-000006000000}" name="Target Quantity"/>
    <tableColumn id="7" xr3:uid="{00000000-0010-0000-0500-000007000000}" name="Previous Quantity"/>
    <tableColumn id="8" xr3:uid="{00000000-0010-0000-0500-000008000000}" name="Current Quantity"/>
    <tableColumn id="9" xr3:uid="{00000000-0010-0000-0500-000009000000}" name="Change"/>
    <tableColumn id="10" xr3:uid="{00000000-0010-0000-0500-00000A000000}" name="Current Value Allocation"/>
    <tableColumn id="11" xr3:uid="{00000000-0010-0000-0500-00000B000000}" name="Current Allocation Percentage"/>
    <tableColumn id="12" xr3:uid="{00000000-0010-0000-0500-00000C000000}" name="Comments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3895845679910111213144562678910111213141516171819202134567891011121314151617181920212223345678" displayName="Table13895845679910111213144562678910111213141516171819202134567891011121314151617181920212223345678" ref="B8:M78" totalsRowShown="0">
  <autoFilter ref="B8:M78" xr:uid="{00000000-0009-0000-0100-000007000000}"/>
  <tableColumns count="12">
    <tableColumn id="1" xr3:uid="{00000000-0010-0000-0600-000001000000}" name="IB Ticker"/>
    <tableColumn id="2" xr3:uid="{00000000-0010-0000-0600-000002000000}" name="Financial Instrument"/>
    <tableColumn id="3" xr3:uid="{00000000-0010-0000-0600-000003000000}" name="Target Allocation (%)"/>
    <tableColumn id="4" xr3:uid="{00000000-0010-0000-0600-000004000000}" name="Target Value Allocation (USD)"/>
    <tableColumn id="5" xr3:uid="{00000000-0010-0000-0600-000005000000}" name="Last price"/>
    <tableColumn id="6" xr3:uid="{00000000-0010-0000-0600-000006000000}" name="Target Quantity"/>
    <tableColumn id="7" xr3:uid="{00000000-0010-0000-0600-000007000000}" name="Previous Quantity"/>
    <tableColumn id="8" xr3:uid="{00000000-0010-0000-0600-000008000000}" name="Current Quantity"/>
    <tableColumn id="9" xr3:uid="{00000000-0010-0000-0600-000009000000}" name="Change"/>
    <tableColumn id="10" xr3:uid="{00000000-0010-0000-0600-00000A000000}" name="Current Value Allocation"/>
    <tableColumn id="11" xr3:uid="{00000000-0010-0000-0600-00000B000000}" name="Current Allocation Percentage"/>
    <tableColumn id="12" xr3:uid="{00000000-0010-0000-0600-00000C000000}" name="Comments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38958456799101112131445626789101112131415161718192021345678910111213141516171819202122233456789" displayName="Table138958456799101112131445626789101112131415161718192021345678910111213141516171819202122233456789" ref="B8:M81" totalsRowShown="0">
  <autoFilter ref="B8:M81" xr:uid="{00000000-0009-0000-0100-000008000000}"/>
  <tableColumns count="12">
    <tableColumn id="1" xr3:uid="{00000000-0010-0000-0700-000001000000}" name="IB Ticker"/>
    <tableColumn id="2" xr3:uid="{00000000-0010-0000-0700-000002000000}" name="Financial Instrument"/>
    <tableColumn id="3" xr3:uid="{00000000-0010-0000-0700-000003000000}" name="Target Allocation (%)"/>
    <tableColumn id="4" xr3:uid="{00000000-0010-0000-0700-000004000000}" name="Target Value Allocation (USD)"/>
    <tableColumn id="5" xr3:uid="{00000000-0010-0000-0700-000005000000}" name="Last price"/>
    <tableColumn id="6" xr3:uid="{00000000-0010-0000-0700-000006000000}" name="Target Quantity"/>
    <tableColumn id="7" xr3:uid="{00000000-0010-0000-0700-000007000000}" name="Previous Quantity"/>
    <tableColumn id="8" xr3:uid="{00000000-0010-0000-0700-000008000000}" name="Current Quantity"/>
    <tableColumn id="9" xr3:uid="{00000000-0010-0000-0700-000009000000}" name="Change"/>
    <tableColumn id="10" xr3:uid="{00000000-0010-0000-0700-00000A000000}" name="Current Value Allocation"/>
    <tableColumn id="11" xr3:uid="{00000000-0010-0000-0700-00000B000000}" name="Current Allocation Percentage"/>
    <tableColumn id="12" xr3:uid="{00000000-0010-0000-0700-00000C000000}" name="Comments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13895845679910111213144562678910111213141516171819202134567891011121314151617181920212223345678910" displayName="Table13895845679910111213144562678910111213141516171819202134567891011121314151617181920212223345678910" ref="B8:M79" totalsRowShown="0">
  <autoFilter ref="B8:M79" xr:uid="{00000000-0009-0000-0100-000009000000}"/>
  <tableColumns count="12">
    <tableColumn id="1" xr3:uid="{00000000-0010-0000-0800-000001000000}" name="IB Ticker"/>
    <tableColumn id="2" xr3:uid="{00000000-0010-0000-0800-000002000000}" name="Financial Instrument"/>
    <tableColumn id="3" xr3:uid="{00000000-0010-0000-0800-000003000000}" name="Target Allocation (%)"/>
    <tableColumn id="4" xr3:uid="{00000000-0010-0000-0800-000004000000}" name="Target Value Allocation (USD)"/>
    <tableColumn id="5" xr3:uid="{00000000-0010-0000-0800-000005000000}" name="Last price"/>
    <tableColumn id="6" xr3:uid="{00000000-0010-0000-0800-000006000000}" name="Target Quantity"/>
    <tableColumn id="7" xr3:uid="{00000000-0010-0000-0800-000007000000}" name="Previous Quantity"/>
    <tableColumn id="8" xr3:uid="{00000000-0010-0000-0800-000008000000}" name="Current Quantity"/>
    <tableColumn id="9" xr3:uid="{00000000-0010-0000-0800-000009000000}" name="Change"/>
    <tableColumn id="10" xr3:uid="{00000000-0010-0000-0800-00000A000000}" name="Current Value Allocation"/>
    <tableColumn id="11" xr3:uid="{00000000-0010-0000-0800-00000B000000}" name="Current Allocation Percentage"/>
    <tableColumn id="12" xr3:uid="{00000000-0010-0000-0800-00000C000000}" name="Com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zoomScale="115" zoomScaleNormal="115" workbookViewId="0">
      <selection activeCell="O14" sqref="O14"/>
    </sheetView>
  </sheetViews>
  <sheetFormatPr defaultColWidth="8.7109375" defaultRowHeight="15" x14ac:dyDescent="0.25"/>
  <cols>
    <col min="1" max="1" width="9.140625" customWidth="1"/>
    <col min="2" max="2" width="25" customWidth="1"/>
    <col min="3" max="3" width="54.85546875" customWidth="1"/>
    <col min="4" max="4" width="16" customWidth="1"/>
    <col min="5" max="6" width="9.140625" customWidth="1"/>
    <col min="7" max="7" width="13.5703125" customWidth="1"/>
    <col min="8" max="9" width="9.140625" customWidth="1"/>
    <col min="10" max="10" width="14.42578125" customWidth="1"/>
    <col min="11" max="11" width="9.140625" customWidth="1"/>
    <col min="12" max="12" width="8.85546875" customWidth="1"/>
  </cols>
  <sheetData>
    <row r="1" spans="1:1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</row>
    <row r="2" spans="1:13" ht="15.75" x14ac:dyDescent="0.25">
      <c r="A2" s="3">
        <v>-31906</v>
      </c>
      <c r="B2" s="1" t="s">
        <v>11</v>
      </c>
      <c r="C2" s="1" t="s">
        <v>12</v>
      </c>
      <c r="D2" s="1" t="s">
        <v>13</v>
      </c>
      <c r="E2" s="1" t="s">
        <v>14</v>
      </c>
      <c r="F2" s="3">
        <v>1124100</v>
      </c>
      <c r="G2" s="3">
        <v>2774320</v>
      </c>
      <c r="H2" s="1">
        <v>18.346</v>
      </c>
      <c r="I2" s="1">
        <v>19.13</v>
      </c>
      <c r="J2" s="3">
        <v>113769</v>
      </c>
      <c r="K2" s="1">
        <v>-1.13695090439277E-2</v>
      </c>
      <c r="L2" s="2"/>
      <c r="M2">
        <f>G2/F2</f>
        <v>2.4680366515434571</v>
      </c>
    </row>
    <row r="3" spans="1:13" ht="15.75" x14ac:dyDescent="0.25">
      <c r="A3" s="1">
        <v>-797</v>
      </c>
      <c r="B3" s="1" t="s">
        <v>15</v>
      </c>
      <c r="C3" s="1" t="s">
        <v>16</v>
      </c>
      <c r="D3" s="1" t="s">
        <v>17</v>
      </c>
      <c r="E3" s="1" t="s">
        <v>18</v>
      </c>
      <c r="F3" s="3">
        <v>9969</v>
      </c>
      <c r="G3" s="3">
        <v>1371535</v>
      </c>
      <c r="H3" s="1">
        <v>120.745</v>
      </c>
      <c r="I3" s="1" t="s">
        <v>205</v>
      </c>
      <c r="J3" s="3">
        <v>167837</v>
      </c>
      <c r="K3" s="1"/>
      <c r="L3" s="2"/>
      <c r="M3">
        <f t="shared" ref="M3:M54" si="0">G3/F3</f>
        <v>137.57999799378072</v>
      </c>
    </row>
    <row r="4" spans="1:13" ht="15.75" x14ac:dyDescent="0.25">
      <c r="A4" s="1">
        <v>0</v>
      </c>
      <c r="B4" s="1" t="s">
        <v>19</v>
      </c>
      <c r="C4" s="1" t="s">
        <v>20</v>
      </c>
      <c r="D4" s="1" t="s">
        <v>17</v>
      </c>
      <c r="E4" s="1" t="s">
        <v>18</v>
      </c>
      <c r="F4" s="3">
        <v>5760</v>
      </c>
      <c r="G4" s="3">
        <v>2738880</v>
      </c>
      <c r="H4" s="1">
        <v>457.221</v>
      </c>
      <c r="I4" s="1" t="s">
        <v>206</v>
      </c>
      <c r="J4" s="3">
        <v>105293</v>
      </c>
      <c r="K4" s="1"/>
      <c r="L4" s="2"/>
      <c r="M4">
        <f t="shared" si="0"/>
        <v>475.5</v>
      </c>
    </row>
    <row r="5" spans="1:13" ht="15.75" x14ac:dyDescent="0.25">
      <c r="A5" s="1">
        <v>0</v>
      </c>
      <c r="B5" s="1" t="s">
        <v>21</v>
      </c>
      <c r="C5" s="1" t="s">
        <v>22</v>
      </c>
      <c r="D5" s="1" t="s">
        <v>17</v>
      </c>
      <c r="E5" s="1" t="s">
        <v>18</v>
      </c>
      <c r="F5" s="3">
        <v>69511</v>
      </c>
      <c r="G5" s="3">
        <v>2628211</v>
      </c>
      <c r="H5" s="1">
        <v>36.543999999999997</v>
      </c>
      <c r="I5" s="1" t="s">
        <v>207</v>
      </c>
      <c r="J5" s="3">
        <v>88013</v>
      </c>
      <c r="K5" s="1"/>
      <c r="L5" s="2"/>
      <c r="M5">
        <f t="shared" si="0"/>
        <v>37.810001294759104</v>
      </c>
    </row>
    <row r="6" spans="1:13" ht="15.75" x14ac:dyDescent="0.25">
      <c r="A6" s="1">
        <v>0</v>
      </c>
      <c r="B6" s="1" t="s">
        <v>23</v>
      </c>
      <c r="C6" s="1" t="s">
        <v>24</v>
      </c>
      <c r="D6" s="1" t="s">
        <v>17</v>
      </c>
      <c r="E6" s="1" t="s">
        <v>18</v>
      </c>
      <c r="F6" s="3">
        <v>10465</v>
      </c>
      <c r="G6" s="3">
        <v>2741307</v>
      </c>
      <c r="H6" s="1">
        <v>246.48099999999999</v>
      </c>
      <c r="I6" s="1" t="s">
        <v>208</v>
      </c>
      <c r="J6" s="3">
        <v>161886</v>
      </c>
      <c r="K6" s="1"/>
      <c r="L6" s="2"/>
      <c r="M6">
        <f t="shared" si="0"/>
        <v>261.95002388915435</v>
      </c>
    </row>
    <row r="7" spans="1:13" ht="15.75" x14ac:dyDescent="0.25">
      <c r="A7" s="3">
        <v>-19117</v>
      </c>
      <c r="B7" s="1" t="s">
        <v>25</v>
      </c>
      <c r="C7" s="1" t="s">
        <v>26</v>
      </c>
      <c r="D7" s="1" t="s">
        <v>17</v>
      </c>
      <c r="E7" s="1" t="s">
        <v>18</v>
      </c>
      <c r="F7" s="3">
        <v>16769</v>
      </c>
      <c r="G7" s="3">
        <v>1303454</v>
      </c>
      <c r="H7" s="1">
        <v>78.314999999999998</v>
      </c>
      <c r="I7" s="1">
        <v>77.73</v>
      </c>
      <c r="J7" s="3">
        <v>-9796</v>
      </c>
      <c r="K7" s="1">
        <v>-1.44541650817801E-2</v>
      </c>
      <c r="L7" s="2"/>
      <c r="M7">
        <f t="shared" si="0"/>
        <v>77.729977935476171</v>
      </c>
    </row>
    <row r="8" spans="1:13" ht="15.75" x14ac:dyDescent="0.25">
      <c r="A8" s="1">
        <v>0</v>
      </c>
      <c r="B8" s="1" t="s">
        <v>27</v>
      </c>
      <c r="C8" s="1" t="s">
        <v>28</v>
      </c>
      <c r="D8" s="1" t="s">
        <v>17</v>
      </c>
      <c r="E8" s="1" t="s">
        <v>18</v>
      </c>
      <c r="F8" s="3">
        <v>12681</v>
      </c>
      <c r="G8" s="3">
        <v>2876938</v>
      </c>
      <c r="H8" s="1">
        <v>214.43600000000001</v>
      </c>
      <c r="I8" s="1" t="s">
        <v>209</v>
      </c>
      <c r="J8" s="3">
        <v>157681</v>
      </c>
      <c r="K8" s="1"/>
      <c r="L8" s="2"/>
      <c r="M8">
        <f t="shared" si="0"/>
        <v>226.86996293667693</v>
      </c>
    </row>
    <row r="9" spans="1:13" ht="15.75" x14ac:dyDescent="0.25">
      <c r="A9" s="1">
        <v>75722</v>
      </c>
      <c r="B9" s="1" t="s">
        <v>29</v>
      </c>
      <c r="C9" s="1" t="s">
        <v>30</v>
      </c>
      <c r="D9" s="1" t="s">
        <v>17</v>
      </c>
      <c r="E9" s="1" t="s">
        <v>18</v>
      </c>
      <c r="F9" s="3">
        <v>118315</v>
      </c>
      <c r="G9" s="3">
        <v>2858490</v>
      </c>
      <c r="H9" s="1">
        <v>19.867000000000001</v>
      </c>
      <c r="I9" s="1">
        <v>24.15</v>
      </c>
      <c r="J9" s="3">
        <v>507991</v>
      </c>
      <c r="K9" s="1">
        <v>2.6785714285714302E-2</v>
      </c>
      <c r="L9" s="2"/>
      <c r="M9">
        <f t="shared" si="0"/>
        <v>24.159996619194523</v>
      </c>
    </row>
    <row r="10" spans="1:13" ht="15.75" x14ac:dyDescent="0.25">
      <c r="A10" s="3">
        <v>0</v>
      </c>
      <c r="B10" s="1" t="s">
        <v>31</v>
      </c>
      <c r="C10" s="1" t="s">
        <v>32</v>
      </c>
      <c r="D10" s="1" t="s">
        <v>17</v>
      </c>
      <c r="E10" s="1" t="s">
        <v>18</v>
      </c>
      <c r="F10" s="3">
        <v>9382</v>
      </c>
      <c r="G10" s="3">
        <v>2696481</v>
      </c>
      <c r="H10" s="1">
        <v>268.62799999999999</v>
      </c>
      <c r="I10" s="1" t="s">
        <v>210</v>
      </c>
      <c r="J10" s="3">
        <v>176213</v>
      </c>
      <c r="K10" s="1"/>
      <c r="L10" s="2"/>
      <c r="M10">
        <f t="shared" si="0"/>
        <v>287.41004050309101</v>
      </c>
    </row>
    <row r="11" spans="1:13" ht="15.75" x14ac:dyDescent="0.25">
      <c r="A11" s="3">
        <v>-1717</v>
      </c>
      <c r="B11" s="1" t="s">
        <v>33</v>
      </c>
      <c r="C11" s="1" t="s">
        <v>34</v>
      </c>
      <c r="D11" s="1" t="s">
        <v>17</v>
      </c>
      <c r="E11" s="1" t="s">
        <v>18</v>
      </c>
      <c r="F11" s="3">
        <v>57228</v>
      </c>
      <c r="G11" s="3">
        <v>1242992</v>
      </c>
      <c r="H11" s="1">
        <v>21.902000000000001</v>
      </c>
      <c r="I11" s="1">
        <v>21.75</v>
      </c>
      <c r="J11" s="3">
        <v>-10379</v>
      </c>
      <c r="K11" s="1">
        <v>0</v>
      </c>
      <c r="L11" s="2"/>
      <c r="M11">
        <f t="shared" si="0"/>
        <v>21.719997204165793</v>
      </c>
    </row>
    <row r="12" spans="1:13" ht="15.75" x14ac:dyDescent="0.25">
      <c r="A12" s="1">
        <v>-31692</v>
      </c>
      <c r="B12" s="1" t="s">
        <v>35</v>
      </c>
      <c r="C12" s="1" t="s">
        <v>36</v>
      </c>
      <c r="D12" s="1" t="s">
        <v>17</v>
      </c>
      <c r="E12" s="1" t="s">
        <v>18</v>
      </c>
      <c r="F12" s="3">
        <v>264102</v>
      </c>
      <c r="G12" s="3">
        <v>4468606</v>
      </c>
      <c r="H12" s="1">
        <v>18.015999999999998</v>
      </c>
      <c r="I12" s="1">
        <v>16.93</v>
      </c>
      <c r="J12" s="3">
        <v>-289380</v>
      </c>
      <c r="K12" s="1">
        <v>-6.4553990610328304E-3</v>
      </c>
      <c r="L12" s="2"/>
      <c r="M12">
        <f t="shared" si="0"/>
        <v>16.920000605826537</v>
      </c>
    </row>
    <row r="13" spans="1:13" ht="15.75" x14ac:dyDescent="0.25">
      <c r="A13" s="1">
        <v>-50325</v>
      </c>
      <c r="B13" s="1" t="s">
        <v>37</v>
      </c>
      <c r="C13" s="1" t="s">
        <v>38</v>
      </c>
      <c r="D13" s="1" t="s">
        <v>17</v>
      </c>
      <c r="E13" s="1" t="s">
        <v>18</v>
      </c>
      <c r="F13" s="3">
        <v>31258</v>
      </c>
      <c r="G13" s="3">
        <v>2744453</v>
      </c>
      <c r="H13" s="1">
        <v>82.542000000000002</v>
      </c>
      <c r="I13" s="1">
        <v>87.8</v>
      </c>
      <c r="J13" s="3">
        <v>164367</v>
      </c>
      <c r="K13" s="1">
        <v>-1.8006934347388402E-2</v>
      </c>
      <c r="L13" s="2"/>
      <c r="M13">
        <f t="shared" si="0"/>
        <v>87.800019195086051</v>
      </c>
    </row>
    <row r="14" spans="1:13" ht="15.75" x14ac:dyDescent="0.25">
      <c r="A14" s="1">
        <v>0</v>
      </c>
      <c r="B14" s="1" t="s">
        <v>39</v>
      </c>
      <c r="C14" s="1" t="s">
        <v>40</v>
      </c>
      <c r="D14" s="1" t="s">
        <v>17</v>
      </c>
      <c r="E14" s="1" t="s">
        <v>18</v>
      </c>
      <c r="F14" s="3">
        <v>34475</v>
      </c>
      <c r="G14" s="3">
        <v>1339009</v>
      </c>
      <c r="H14" s="1">
        <v>34.646000000000001</v>
      </c>
      <c r="I14" s="1" t="s">
        <v>211</v>
      </c>
      <c r="J14" s="3">
        <v>144600</v>
      </c>
      <c r="K14" s="1"/>
      <c r="L14" s="2"/>
      <c r="M14">
        <f t="shared" si="0"/>
        <v>38.840000000000003</v>
      </c>
    </row>
    <row r="15" spans="1:13" ht="15.75" x14ac:dyDescent="0.25">
      <c r="A15" s="3">
        <v>0</v>
      </c>
      <c r="B15" s="1" t="s">
        <v>41</v>
      </c>
      <c r="C15" s="1" t="s">
        <v>42</v>
      </c>
      <c r="D15" s="1" t="s">
        <v>17</v>
      </c>
      <c r="E15" s="1" t="s">
        <v>18</v>
      </c>
      <c r="F15" s="3">
        <v>1901</v>
      </c>
      <c r="G15" s="3">
        <v>2877031</v>
      </c>
      <c r="H15" s="1">
        <v>1231.77</v>
      </c>
      <c r="I15" s="1" t="s">
        <v>212</v>
      </c>
      <c r="J15" s="3">
        <v>535437</v>
      </c>
      <c r="K15" s="1"/>
      <c r="L15" s="2"/>
      <c r="M15">
        <f t="shared" si="0"/>
        <v>1513.4302998421883</v>
      </c>
    </row>
    <row r="16" spans="1:13" ht="15.75" x14ac:dyDescent="0.25">
      <c r="A16" s="1">
        <v>0</v>
      </c>
      <c r="B16" s="1" t="s">
        <v>43</v>
      </c>
      <c r="C16" s="1" t="s">
        <v>44</v>
      </c>
      <c r="D16" s="1" t="s">
        <v>17</v>
      </c>
      <c r="E16" s="1" t="s">
        <v>18</v>
      </c>
      <c r="F16" s="3">
        <v>9779</v>
      </c>
      <c r="G16" s="3">
        <v>2668200</v>
      </c>
      <c r="H16" s="1">
        <v>261.47300000000001</v>
      </c>
      <c r="I16" s="1" t="s">
        <v>213</v>
      </c>
      <c r="J16" s="3">
        <v>111265</v>
      </c>
      <c r="K16" s="1"/>
      <c r="L16" s="2"/>
      <c r="M16">
        <f t="shared" si="0"/>
        <v>272.84998466100831</v>
      </c>
    </row>
    <row r="17" spans="1:13" ht="15.75" x14ac:dyDescent="0.25">
      <c r="A17" s="1">
        <v>0</v>
      </c>
      <c r="B17" s="1" t="s">
        <v>45</v>
      </c>
      <c r="C17" s="1" t="s">
        <v>46</v>
      </c>
      <c r="D17" s="1" t="s">
        <v>17</v>
      </c>
      <c r="E17" s="1" t="s">
        <v>18</v>
      </c>
      <c r="F17" s="3">
        <v>19373</v>
      </c>
      <c r="G17" s="3">
        <v>1354754</v>
      </c>
      <c r="H17" s="1">
        <v>65.141000000000005</v>
      </c>
      <c r="I17" s="1" t="s">
        <v>214</v>
      </c>
      <c r="J17" s="3">
        <v>92783</v>
      </c>
      <c r="K17" s="1"/>
      <c r="L17" s="2"/>
      <c r="M17">
        <f t="shared" si="0"/>
        <v>69.930005678005472</v>
      </c>
    </row>
    <row r="18" spans="1:13" ht="15.75" x14ac:dyDescent="0.25">
      <c r="A18" s="3">
        <v>0</v>
      </c>
      <c r="B18" s="1" t="s">
        <v>47</v>
      </c>
      <c r="C18" s="1" t="s">
        <v>48</v>
      </c>
      <c r="D18" s="1" t="s">
        <v>17</v>
      </c>
      <c r="E18" s="1" t="s">
        <v>18</v>
      </c>
      <c r="F18" s="3">
        <v>3782</v>
      </c>
      <c r="G18" s="3">
        <v>1338034</v>
      </c>
      <c r="H18" s="1">
        <v>335.11399999999998</v>
      </c>
      <c r="I18" s="1" t="s">
        <v>215</v>
      </c>
      <c r="J18" s="3">
        <v>70635</v>
      </c>
      <c r="K18" s="1"/>
      <c r="L18" s="2"/>
      <c r="M18">
        <f t="shared" si="0"/>
        <v>353.79005817028025</v>
      </c>
    </row>
    <row r="19" spans="1:13" ht="15.75" x14ac:dyDescent="0.25">
      <c r="A19" s="1">
        <v>30476</v>
      </c>
      <c r="B19" s="1" t="s">
        <v>49</v>
      </c>
      <c r="C19" s="1" t="s">
        <v>50</v>
      </c>
      <c r="D19" s="1" t="s">
        <v>17</v>
      </c>
      <c r="E19" s="1" t="s">
        <v>18</v>
      </c>
      <c r="F19" s="1">
        <v>4884</v>
      </c>
      <c r="G19" s="3">
        <v>2891328</v>
      </c>
      <c r="H19" s="1">
        <v>416.22899999999998</v>
      </c>
      <c r="I19" s="1">
        <v>591.55999999999995</v>
      </c>
      <c r="J19" s="3">
        <v>858467</v>
      </c>
      <c r="K19" s="1">
        <v>9.90166621141776E-3</v>
      </c>
      <c r="L19" s="2"/>
      <c r="M19">
        <f t="shared" si="0"/>
        <v>592</v>
      </c>
    </row>
    <row r="20" spans="1:13" ht="15.75" x14ac:dyDescent="0.25">
      <c r="A20" s="3">
        <v>41302</v>
      </c>
      <c r="B20" s="1" t="s">
        <v>51</v>
      </c>
      <c r="C20" s="1" t="s">
        <v>52</v>
      </c>
      <c r="D20" s="1" t="s">
        <v>17</v>
      </c>
      <c r="E20" s="1" t="s">
        <v>18</v>
      </c>
      <c r="F20" s="1">
        <v>6364</v>
      </c>
      <c r="G20" s="3">
        <v>3042628</v>
      </c>
      <c r="H20" s="1">
        <v>438.87299999999999</v>
      </c>
      <c r="I20" s="1">
        <v>478.5</v>
      </c>
      <c r="J20" s="3">
        <v>249647</v>
      </c>
      <c r="K20" s="1">
        <v>1.46095290600283E-2</v>
      </c>
      <c r="L20" s="2"/>
      <c r="M20">
        <f t="shared" si="0"/>
        <v>478.09993714644878</v>
      </c>
    </row>
    <row r="21" spans="1:13" ht="15.75" x14ac:dyDescent="0.25">
      <c r="A21" s="3">
        <v>1529</v>
      </c>
      <c r="B21" s="1" t="s">
        <v>53</v>
      </c>
      <c r="C21" s="1" t="s">
        <v>54</v>
      </c>
      <c r="D21" s="1" t="s">
        <v>17</v>
      </c>
      <c r="E21" s="1" t="s">
        <v>55</v>
      </c>
      <c r="F21" s="1">
        <v>4</v>
      </c>
      <c r="G21" s="3">
        <v>200929</v>
      </c>
      <c r="H21" s="1">
        <v>1914.51</v>
      </c>
      <c r="I21" s="1">
        <v>2006.5</v>
      </c>
      <c r="J21" s="3">
        <v>9479</v>
      </c>
      <c r="K21" s="1">
        <v>6.26880641925777E-3</v>
      </c>
      <c r="L21" s="2"/>
      <c r="M21">
        <f t="shared" si="0"/>
        <v>50232.25</v>
      </c>
    </row>
    <row r="22" spans="1:13" ht="15.75" x14ac:dyDescent="0.25">
      <c r="A22" s="3">
        <v>887</v>
      </c>
      <c r="B22" s="1" t="s">
        <v>56</v>
      </c>
      <c r="C22" s="1" t="s">
        <v>57</v>
      </c>
      <c r="D22" s="1" t="s">
        <v>58</v>
      </c>
      <c r="E22" s="1" t="s">
        <v>59</v>
      </c>
      <c r="F22" s="1">
        <v>37</v>
      </c>
      <c r="G22" s="3">
        <v>6719079</v>
      </c>
      <c r="H22" s="1">
        <v>149.94999999999999</v>
      </c>
      <c r="I22" s="1">
        <v>151.47</v>
      </c>
      <c r="J22" s="3">
        <v>69623</v>
      </c>
      <c r="K22" s="1">
        <v>-1.9802E-4</v>
      </c>
      <c r="L22" s="2"/>
      <c r="M22">
        <f t="shared" si="0"/>
        <v>181596.72972972973</v>
      </c>
    </row>
    <row r="23" spans="1:13" ht="15.75" x14ac:dyDescent="0.25">
      <c r="A23" s="3">
        <v>907</v>
      </c>
      <c r="B23" s="1" t="s">
        <v>60</v>
      </c>
      <c r="C23" s="1" t="s">
        <v>61</v>
      </c>
      <c r="D23" s="1" t="s">
        <v>58</v>
      </c>
      <c r="E23" s="1" t="s">
        <v>59</v>
      </c>
      <c r="F23" s="1">
        <v>49</v>
      </c>
      <c r="G23" s="3">
        <v>6696902</v>
      </c>
      <c r="H23" s="1">
        <v>113.693</v>
      </c>
      <c r="I23" s="1">
        <v>114.02</v>
      </c>
      <c r="J23" s="3">
        <v>20166</v>
      </c>
      <c r="K23" s="1">
        <v>0</v>
      </c>
      <c r="L23" s="2"/>
      <c r="M23">
        <f t="shared" si="0"/>
        <v>136671.46938775509</v>
      </c>
    </row>
    <row r="24" spans="1:13" ht="15.75" x14ac:dyDescent="0.25">
      <c r="A24" s="1">
        <v>1626</v>
      </c>
      <c r="B24" s="1" t="s">
        <v>62</v>
      </c>
      <c r="C24" s="1" t="s">
        <v>63</v>
      </c>
      <c r="D24" s="1" t="s">
        <v>64</v>
      </c>
      <c r="E24" s="1" t="s">
        <v>65</v>
      </c>
      <c r="F24" s="1">
        <v>58</v>
      </c>
      <c r="G24" s="3">
        <v>6658580</v>
      </c>
      <c r="H24" s="1">
        <v>148.672</v>
      </c>
      <c r="I24" s="1">
        <v>148.9</v>
      </c>
      <c r="J24" s="3">
        <v>11822</v>
      </c>
      <c r="K24" s="1">
        <v>0</v>
      </c>
      <c r="L24" s="2"/>
      <c r="M24">
        <f t="shared" si="0"/>
        <v>114803.10344827586</v>
      </c>
    </row>
    <row r="25" spans="1:13" ht="15.75" x14ac:dyDescent="0.25">
      <c r="A25" s="3">
        <v>7613</v>
      </c>
      <c r="B25" s="1" t="s">
        <v>66</v>
      </c>
      <c r="C25" s="1" t="s">
        <v>67</v>
      </c>
      <c r="D25" s="1" t="s">
        <v>58</v>
      </c>
      <c r="E25" s="1" t="s">
        <v>59</v>
      </c>
      <c r="F25" s="1">
        <v>25</v>
      </c>
      <c r="G25" s="3">
        <v>6813895</v>
      </c>
      <c r="H25" s="1">
        <v>225.648</v>
      </c>
      <c r="I25" s="1">
        <v>227.14</v>
      </c>
      <c r="J25" s="3">
        <v>52923</v>
      </c>
      <c r="K25" s="1">
        <v>-8.8040000000000004E-5</v>
      </c>
      <c r="L25" s="2"/>
      <c r="M25">
        <f t="shared" si="0"/>
        <v>272555.8</v>
      </c>
    </row>
    <row r="26" spans="1:13" ht="15.75" x14ac:dyDescent="0.25">
      <c r="A26" s="1">
        <v>0</v>
      </c>
      <c r="B26" s="1" t="s">
        <v>68</v>
      </c>
      <c r="C26" s="1" t="s">
        <v>69</v>
      </c>
      <c r="D26" s="1" t="s">
        <v>17</v>
      </c>
      <c r="E26" s="1" t="s">
        <v>70</v>
      </c>
      <c r="F26" s="1">
        <v>80</v>
      </c>
      <c r="G26" s="3">
        <v>19950000</v>
      </c>
      <c r="H26" s="1">
        <v>99.739090000000004</v>
      </c>
      <c r="I26" s="1">
        <v>99.747500000000002</v>
      </c>
      <c r="J26" s="3">
        <v>2182</v>
      </c>
      <c r="K26" s="1">
        <v>-2.5060000000000001E-5</v>
      </c>
      <c r="L26" s="2"/>
      <c r="M26">
        <f t="shared" si="0"/>
        <v>249375</v>
      </c>
    </row>
    <row r="27" spans="1:13" ht="15.75" x14ac:dyDescent="0.25">
      <c r="A27" s="1">
        <v>4125</v>
      </c>
      <c r="B27" s="1" t="s">
        <v>177</v>
      </c>
      <c r="C27" s="1" t="s">
        <v>72</v>
      </c>
      <c r="D27" s="1" t="s">
        <v>17</v>
      </c>
      <c r="E27" s="1" t="s">
        <v>73</v>
      </c>
      <c r="F27" s="1">
        <v>3</v>
      </c>
      <c r="G27" s="3">
        <v>259612</v>
      </c>
      <c r="H27" s="1">
        <v>3.3081</v>
      </c>
      <c r="I27" s="1">
        <v>3.4575</v>
      </c>
      <c r="J27" s="3">
        <v>11506</v>
      </c>
      <c r="K27" s="1">
        <v>1.49713782474681E-2</v>
      </c>
      <c r="L27" s="2"/>
      <c r="M27">
        <f t="shared" si="0"/>
        <v>86537.333333333328</v>
      </c>
    </row>
    <row r="28" spans="1:13" ht="15.75" x14ac:dyDescent="0.25">
      <c r="A28" s="1">
        <v>-1925</v>
      </c>
      <c r="B28" s="1" t="s">
        <v>74</v>
      </c>
      <c r="C28" s="1" t="s">
        <v>75</v>
      </c>
      <c r="D28" s="1" t="s">
        <v>17</v>
      </c>
      <c r="E28" s="1" t="s">
        <v>76</v>
      </c>
      <c r="F28" s="1">
        <v>7</v>
      </c>
      <c r="G28" s="3">
        <v>195912</v>
      </c>
      <c r="H28" s="1">
        <v>565.30700000000002</v>
      </c>
      <c r="I28" s="1">
        <v>559.75</v>
      </c>
      <c r="J28" s="3">
        <v>-1945</v>
      </c>
      <c r="K28" s="1">
        <v>-9.7302078726226801E-3</v>
      </c>
      <c r="L28" s="2"/>
      <c r="M28">
        <f t="shared" si="0"/>
        <v>27987.428571428572</v>
      </c>
    </row>
    <row r="29" spans="1:13" ht="15.75" x14ac:dyDescent="0.25">
      <c r="A29" s="1">
        <v>-9</v>
      </c>
      <c r="B29" s="1" t="s">
        <v>77</v>
      </c>
      <c r="C29" s="1" t="s">
        <v>78</v>
      </c>
      <c r="D29" s="1" t="s">
        <v>79</v>
      </c>
      <c r="E29" s="1" t="s">
        <v>80</v>
      </c>
      <c r="F29" s="1">
        <v>122</v>
      </c>
      <c r="G29" s="3">
        <v>20306213</v>
      </c>
      <c r="H29" s="1">
        <v>99.951099999999997</v>
      </c>
      <c r="I29" s="1">
        <v>99.954999999999998</v>
      </c>
      <c r="J29" s="3">
        <v>798</v>
      </c>
      <c r="K29" s="1">
        <v>0</v>
      </c>
      <c r="L29" s="2"/>
      <c r="M29">
        <f t="shared" si="0"/>
        <v>166444.36885245901</v>
      </c>
    </row>
    <row r="30" spans="1:13" ht="15.75" x14ac:dyDescent="0.25">
      <c r="A30" s="1">
        <v>6480</v>
      </c>
      <c r="B30" s="1" t="s">
        <v>81</v>
      </c>
      <c r="C30" s="1" t="s">
        <v>82</v>
      </c>
      <c r="D30" s="1" t="s">
        <v>17</v>
      </c>
      <c r="E30" s="1" t="s">
        <v>73</v>
      </c>
      <c r="F30" s="1">
        <v>8</v>
      </c>
      <c r="G30" s="3">
        <v>233920</v>
      </c>
      <c r="H30" s="1">
        <v>2.8773</v>
      </c>
      <c r="I30" s="1">
        <v>2.9249999999999998</v>
      </c>
      <c r="J30" s="3">
        <v>3741</v>
      </c>
      <c r="K30" s="1">
        <v>2.88427717200141E-2</v>
      </c>
      <c r="L30" s="2"/>
      <c r="M30">
        <f t="shared" si="0"/>
        <v>29240</v>
      </c>
    </row>
    <row r="31" spans="1:13" ht="15.75" x14ac:dyDescent="0.25">
      <c r="A31" s="3">
        <v>-1692</v>
      </c>
      <c r="B31" s="1" t="s">
        <v>83</v>
      </c>
      <c r="C31" s="1" t="s">
        <v>84</v>
      </c>
      <c r="D31" s="1" t="s">
        <v>17</v>
      </c>
      <c r="E31" s="1" t="s">
        <v>55</v>
      </c>
      <c r="F31" s="1">
        <v>2</v>
      </c>
      <c r="G31" s="3">
        <v>195330</v>
      </c>
      <c r="H31" s="1">
        <v>15801.4</v>
      </c>
      <c r="I31" s="1" t="s">
        <v>216</v>
      </c>
      <c r="J31" s="3">
        <v>5714</v>
      </c>
      <c r="K31" s="1" t="s">
        <v>183</v>
      </c>
      <c r="L31" s="2"/>
      <c r="M31">
        <f t="shared" si="0"/>
        <v>97665</v>
      </c>
    </row>
    <row r="32" spans="1:13" ht="15.75" x14ac:dyDescent="0.25">
      <c r="A32" s="1">
        <v>-2707</v>
      </c>
      <c r="B32" s="1" t="s">
        <v>85</v>
      </c>
      <c r="C32" s="1" t="s">
        <v>86</v>
      </c>
      <c r="D32" s="1" t="s">
        <v>17</v>
      </c>
      <c r="E32" s="1" t="s">
        <v>73</v>
      </c>
      <c r="F32" s="1">
        <v>1</v>
      </c>
      <c r="G32" s="3">
        <v>241263</v>
      </c>
      <c r="H32" s="1">
        <v>2357.9299999999998</v>
      </c>
      <c r="I32" s="1">
        <v>2410.5</v>
      </c>
      <c r="J32" s="1">
        <v>5471</v>
      </c>
      <c r="K32" s="1">
        <v>-1.19686846743453E-2</v>
      </c>
      <c r="L32" s="2"/>
      <c r="M32">
        <f t="shared" si="0"/>
        <v>241263</v>
      </c>
    </row>
    <row r="33" spans="1:13" ht="15.75" x14ac:dyDescent="0.25">
      <c r="A33" s="1">
        <v>3210</v>
      </c>
      <c r="B33" s="1" t="s">
        <v>87</v>
      </c>
      <c r="C33" s="1" t="s">
        <v>88</v>
      </c>
      <c r="D33" s="1" t="s">
        <v>17</v>
      </c>
      <c r="E33" s="1" t="s">
        <v>89</v>
      </c>
      <c r="F33" s="1">
        <v>18</v>
      </c>
      <c r="G33" s="3">
        <v>233034</v>
      </c>
      <c r="H33" s="1">
        <v>115.77</v>
      </c>
      <c r="I33" s="1">
        <v>129.30000000000001</v>
      </c>
      <c r="J33" s="3">
        <v>24649</v>
      </c>
      <c r="K33" s="1">
        <v>1.2687969924812E-2</v>
      </c>
      <c r="L33" s="2"/>
      <c r="M33">
        <f t="shared" si="0"/>
        <v>12946.333333333334</v>
      </c>
    </row>
    <row r="34" spans="1:13" ht="15.75" x14ac:dyDescent="0.25">
      <c r="A34" s="1">
        <v>433</v>
      </c>
      <c r="B34" s="1" t="s">
        <v>90</v>
      </c>
      <c r="C34" s="1" t="s">
        <v>91</v>
      </c>
      <c r="D34" s="1" t="s">
        <v>17</v>
      </c>
      <c r="E34" s="1" t="s">
        <v>55</v>
      </c>
      <c r="F34" s="1">
        <v>2</v>
      </c>
      <c r="G34" s="3">
        <v>189793</v>
      </c>
      <c r="H34" s="1">
        <v>18337.599999999999</v>
      </c>
      <c r="I34" s="1" t="s">
        <v>217</v>
      </c>
      <c r="J34" s="3">
        <v>6417</v>
      </c>
      <c r="K34" s="1" t="s">
        <v>183</v>
      </c>
      <c r="L34" s="2"/>
      <c r="M34">
        <f t="shared" si="0"/>
        <v>94896.5</v>
      </c>
    </row>
    <row r="35" spans="1:13" ht="15.75" x14ac:dyDescent="0.25">
      <c r="A35" s="3">
        <v>-250</v>
      </c>
      <c r="B35" s="1" t="s">
        <v>92</v>
      </c>
      <c r="C35" s="1" t="s">
        <v>93</v>
      </c>
      <c r="D35" s="1" t="s">
        <v>17</v>
      </c>
      <c r="E35" s="1" t="s">
        <v>70</v>
      </c>
      <c r="F35" s="1">
        <v>48</v>
      </c>
      <c r="G35" s="3">
        <v>19984349</v>
      </c>
      <c r="H35" s="1">
        <v>99.917360000000002</v>
      </c>
      <c r="I35" s="1" t="s">
        <v>218</v>
      </c>
      <c r="J35" s="3">
        <v>-720</v>
      </c>
      <c r="K35" s="1" t="s">
        <v>183</v>
      </c>
      <c r="L35" s="2"/>
      <c r="M35">
        <f t="shared" si="0"/>
        <v>416340.60416666669</v>
      </c>
    </row>
    <row r="36" spans="1:13" ht="15.75" x14ac:dyDescent="0.25">
      <c r="A36" s="3">
        <v>-180</v>
      </c>
      <c r="B36" s="1" t="s">
        <v>95</v>
      </c>
      <c r="C36" s="1" t="s">
        <v>96</v>
      </c>
      <c r="D36" s="1" t="s">
        <v>17</v>
      </c>
      <c r="E36" s="1" t="s">
        <v>70</v>
      </c>
      <c r="F36" s="1">
        <v>80</v>
      </c>
      <c r="G36" s="3">
        <v>19983321</v>
      </c>
      <c r="H36" s="1">
        <v>99.922820000000002</v>
      </c>
      <c r="I36" s="1" t="s">
        <v>97</v>
      </c>
      <c r="J36" s="1">
        <v>-1243</v>
      </c>
      <c r="K36" s="1" t="s">
        <v>183</v>
      </c>
      <c r="L36" s="2"/>
      <c r="M36">
        <f t="shared" si="0"/>
        <v>249791.51250000001</v>
      </c>
    </row>
    <row r="37" spans="1:13" ht="15.75" x14ac:dyDescent="0.25">
      <c r="A37" s="3">
        <v>-653</v>
      </c>
      <c r="B37" s="1" t="s">
        <v>178</v>
      </c>
      <c r="C37" s="1" t="s">
        <v>99</v>
      </c>
      <c r="D37" s="1" t="s">
        <v>17</v>
      </c>
      <c r="E37" s="1" t="s">
        <v>76</v>
      </c>
      <c r="F37" s="1">
        <v>42</v>
      </c>
      <c r="G37" s="3">
        <v>6599253</v>
      </c>
      <c r="H37" s="1">
        <v>156.6911522</v>
      </c>
      <c r="I37" s="1" t="s">
        <v>219</v>
      </c>
      <c r="J37" s="3">
        <v>18225</v>
      </c>
      <c r="K37" s="1">
        <v>-9.9430000000000002E-5</v>
      </c>
      <c r="L37" s="2"/>
      <c r="M37">
        <f t="shared" si="0"/>
        <v>157125.07142857142</v>
      </c>
    </row>
    <row r="38" spans="1:13" ht="15.75" x14ac:dyDescent="0.25">
      <c r="A38" s="3">
        <v>-1425</v>
      </c>
      <c r="B38" s="1" t="s">
        <v>100</v>
      </c>
      <c r="C38" s="1" t="s">
        <v>101</v>
      </c>
      <c r="D38" s="1" t="s">
        <v>17</v>
      </c>
      <c r="E38" s="1" t="s">
        <v>89</v>
      </c>
      <c r="F38" s="1">
        <v>28</v>
      </c>
      <c r="G38" s="3">
        <v>228175</v>
      </c>
      <c r="H38" s="1">
        <v>154.56</v>
      </c>
      <c r="I38" s="1">
        <v>162.80000000000001</v>
      </c>
      <c r="J38" s="3">
        <v>11802</v>
      </c>
      <c r="K38" s="1">
        <v>-7.3170731707316297E-3</v>
      </c>
      <c r="L38" s="2"/>
      <c r="M38">
        <f t="shared" si="0"/>
        <v>8149.1071428571431</v>
      </c>
    </row>
    <row r="39" spans="1:13" ht="15.75" x14ac:dyDescent="0.25">
      <c r="A39" s="3">
        <v>9688</v>
      </c>
      <c r="B39" s="1" t="s">
        <v>179</v>
      </c>
      <c r="C39" s="1" t="s">
        <v>103</v>
      </c>
      <c r="D39" s="1" t="s">
        <v>17</v>
      </c>
      <c r="E39" s="1" t="s">
        <v>76</v>
      </c>
      <c r="F39" s="1">
        <v>31</v>
      </c>
      <c r="G39" s="3">
        <v>6705688</v>
      </c>
      <c r="H39" s="1">
        <v>215.51875000000001</v>
      </c>
      <c r="I39" s="1" t="s">
        <v>220</v>
      </c>
      <c r="J39" s="3">
        <v>24703</v>
      </c>
      <c r="K39" s="1">
        <v>1.1574074074074E-3</v>
      </c>
      <c r="L39" s="2"/>
      <c r="M39">
        <f t="shared" si="0"/>
        <v>216312.51612903227</v>
      </c>
    </row>
    <row r="40" spans="1:13" ht="15.75" x14ac:dyDescent="0.25">
      <c r="A40" s="3">
        <v>2515</v>
      </c>
      <c r="B40" s="1" t="s">
        <v>180</v>
      </c>
      <c r="C40" s="1" t="s">
        <v>105</v>
      </c>
      <c r="D40" s="1" t="s">
        <v>17</v>
      </c>
      <c r="E40" s="1" t="s">
        <v>76</v>
      </c>
      <c r="F40" s="1">
        <v>38</v>
      </c>
      <c r="G40" s="3">
        <v>6653703</v>
      </c>
      <c r="H40" s="1">
        <v>174.7</v>
      </c>
      <c r="I40" s="1" t="s">
        <v>221</v>
      </c>
      <c r="J40" s="3">
        <v>15131</v>
      </c>
      <c r="K40" s="1">
        <v>1.7854000000000001E-4</v>
      </c>
      <c r="L40" s="2"/>
      <c r="M40">
        <f t="shared" si="0"/>
        <v>175097.44736842104</v>
      </c>
    </row>
    <row r="41" spans="1:13" ht="15.75" x14ac:dyDescent="0.25">
      <c r="A41" s="1">
        <v>-828</v>
      </c>
      <c r="B41" s="1" t="s">
        <v>181</v>
      </c>
      <c r="C41" s="1" t="s">
        <v>107</v>
      </c>
      <c r="D41" s="1" t="s">
        <v>17</v>
      </c>
      <c r="E41" s="1" t="s">
        <v>76</v>
      </c>
      <c r="F41" s="1">
        <v>53</v>
      </c>
      <c r="G41" s="3">
        <v>6677172</v>
      </c>
      <c r="H41" s="1">
        <v>125.8859375</v>
      </c>
      <c r="I41" s="1" t="s">
        <v>222</v>
      </c>
      <c r="J41" s="1">
        <v>5241</v>
      </c>
      <c r="K41" s="1">
        <v>-1.2401E-4</v>
      </c>
      <c r="L41" s="2"/>
      <c r="M41">
        <f t="shared" si="0"/>
        <v>125984.37735849057</v>
      </c>
    </row>
    <row r="42" spans="1:13" ht="15.75" x14ac:dyDescent="0.25">
      <c r="A42" s="1">
        <v>-1500</v>
      </c>
      <c r="B42" s="1" t="s">
        <v>182</v>
      </c>
      <c r="C42" s="1" t="s">
        <v>109</v>
      </c>
      <c r="D42" s="1" t="s">
        <v>17</v>
      </c>
      <c r="E42" s="1" t="s">
        <v>76</v>
      </c>
      <c r="F42" s="1">
        <v>48</v>
      </c>
      <c r="G42" s="3">
        <v>6631500</v>
      </c>
      <c r="H42" s="1">
        <v>137.91059970000001</v>
      </c>
      <c r="I42" s="1" t="s">
        <v>223</v>
      </c>
      <c r="J42" s="3">
        <v>11791</v>
      </c>
      <c r="K42" s="1">
        <v>-3.3921E-4</v>
      </c>
      <c r="L42" s="2"/>
      <c r="M42">
        <f t="shared" si="0"/>
        <v>138156.25</v>
      </c>
    </row>
    <row r="43" spans="1:13" ht="15.75" x14ac:dyDescent="0.25">
      <c r="A43" s="1">
        <v>240</v>
      </c>
      <c r="B43" s="1" t="s">
        <v>110</v>
      </c>
      <c r="C43" s="1" t="s">
        <v>111</v>
      </c>
      <c r="D43" s="1" t="s">
        <v>17</v>
      </c>
      <c r="E43" s="1" t="s">
        <v>76</v>
      </c>
      <c r="F43" s="1">
        <v>48</v>
      </c>
      <c r="G43" s="3">
        <v>19984338</v>
      </c>
      <c r="H43" s="1">
        <v>99.914730000000006</v>
      </c>
      <c r="I43" s="1" t="s">
        <v>94</v>
      </c>
      <c r="J43" s="1">
        <v>-207</v>
      </c>
      <c r="K43" s="1" t="s">
        <v>183</v>
      </c>
      <c r="L43" s="2"/>
      <c r="M43">
        <f t="shared" si="0"/>
        <v>416340.375</v>
      </c>
    </row>
    <row r="44" spans="1:13" x14ac:dyDescent="0.25">
      <c r="A44">
        <v>915</v>
      </c>
      <c r="B44" t="s">
        <v>112</v>
      </c>
      <c r="C44" t="s">
        <v>113</v>
      </c>
      <c r="D44" t="s">
        <v>17</v>
      </c>
      <c r="E44" t="s">
        <v>55</v>
      </c>
      <c r="F44">
        <v>3</v>
      </c>
      <c r="G44">
        <v>209527</v>
      </c>
      <c r="H44">
        <v>2647</v>
      </c>
      <c r="I44" t="s">
        <v>224</v>
      </c>
      <c r="J44">
        <v>11005</v>
      </c>
      <c r="K44" t="s">
        <v>183</v>
      </c>
      <c r="M44">
        <f t="shared" si="0"/>
        <v>69842.333333333328</v>
      </c>
    </row>
    <row r="45" spans="1:13" x14ac:dyDescent="0.25">
      <c r="A45">
        <v>-107</v>
      </c>
      <c r="B45" t="s">
        <v>184</v>
      </c>
      <c r="C45" t="s">
        <v>115</v>
      </c>
      <c r="D45" t="s">
        <v>17</v>
      </c>
      <c r="E45" t="s">
        <v>76</v>
      </c>
      <c r="F45">
        <v>30</v>
      </c>
      <c r="G45">
        <v>6624502</v>
      </c>
      <c r="H45">
        <v>110.38046875000001</v>
      </c>
      <c r="I45" t="s">
        <v>225</v>
      </c>
      <c r="J45">
        <v>1685</v>
      </c>
      <c r="K45">
        <v>-3.5379999999999997E-5</v>
      </c>
      <c r="M45">
        <f t="shared" si="0"/>
        <v>220816.73333333334</v>
      </c>
    </row>
    <row r="46" spans="1:13" x14ac:dyDescent="0.25">
      <c r="B46" s="36" t="s">
        <v>185</v>
      </c>
      <c r="C46" s="36" t="s">
        <v>186</v>
      </c>
      <c r="M46">
        <v>59462.5</v>
      </c>
    </row>
    <row r="47" spans="1:13" x14ac:dyDescent="0.25">
      <c r="B47" t="s">
        <v>187</v>
      </c>
      <c r="C47" t="s">
        <v>196</v>
      </c>
      <c r="M47">
        <v>21.04</v>
      </c>
    </row>
    <row r="48" spans="1:13" x14ac:dyDescent="0.25">
      <c r="B48" t="s">
        <v>188</v>
      </c>
      <c r="C48" t="s">
        <v>197</v>
      </c>
      <c r="M48">
        <v>37.090000000000003</v>
      </c>
    </row>
    <row r="49" spans="2:13" x14ac:dyDescent="0.25">
      <c r="B49" t="s">
        <v>189</v>
      </c>
      <c r="C49" t="s">
        <v>198</v>
      </c>
      <c r="M49">
        <v>17.010000000000002</v>
      </c>
    </row>
    <row r="50" spans="2:13" x14ac:dyDescent="0.25">
      <c r="B50" t="s">
        <v>190</v>
      </c>
      <c r="C50" t="s">
        <v>199</v>
      </c>
      <c r="M50">
        <v>456.54</v>
      </c>
    </row>
    <row r="51" spans="2:13" x14ac:dyDescent="0.25">
      <c r="B51" t="s">
        <v>191</v>
      </c>
      <c r="C51" t="s">
        <v>200</v>
      </c>
      <c r="M51">
        <v>143.83000000000001</v>
      </c>
    </row>
    <row r="52" spans="2:13" x14ac:dyDescent="0.25">
      <c r="B52" t="s">
        <v>192</v>
      </c>
      <c r="C52" t="s">
        <v>201</v>
      </c>
      <c r="M52">
        <v>179.77</v>
      </c>
    </row>
    <row r="53" spans="2:13" x14ac:dyDescent="0.25">
      <c r="B53" t="s">
        <v>193</v>
      </c>
      <c r="C53" t="s">
        <v>202</v>
      </c>
      <c r="M53">
        <v>29</v>
      </c>
    </row>
    <row r="54" spans="2:13" x14ac:dyDescent="0.25">
      <c r="B54" t="s">
        <v>194</v>
      </c>
      <c r="C54" t="s">
        <v>203</v>
      </c>
      <c r="M54">
        <v>143.5</v>
      </c>
    </row>
    <row r="55" spans="2:13" x14ac:dyDescent="0.25">
      <c r="B55" t="s">
        <v>195</v>
      </c>
      <c r="C55" t="s">
        <v>204</v>
      </c>
      <c r="M55">
        <v>168.89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H87"/>
  <sheetViews>
    <sheetView zoomScale="140" zoomScaleNormal="140" workbookViewId="0">
      <pane xSplit="2" topLeftCell="C1" activePane="topRight" state="frozen"/>
      <selection pane="topRight" activeCell="O18" sqref="O18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116</v>
      </c>
      <c r="C1" s="6">
        <v>44147</v>
      </c>
      <c r="D1" s="7"/>
      <c r="E1" s="8" t="s">
        <v>117</v>
      </c>
      <c r="F1" s="9"/>
      <c r="G1" s="10"/>
      <c r="K1" s="11" t="s">
        <v>118</v>
      </c>
      <c r="L1" s="11" t="s">
        <v>119</v>
      </c>
      <c r="M1" s="12" t="s">
        <v>120</v>
      </c>
    </row>
    <row r="2" spans="1:17" x14ac:dyDescent="0.25">
      <c r="A2" s="5"/>
      <c r="B2" s="5" t="s">
        <v>121</v>
      </c>
      <c r="C2" s="13">
        <v>5.7</v>
      </c>
      <c r="D2" s="14"/>
      <c r="E2" s="15">
        <f>SUM(E27,E42,E50,E65,E29,E67)</f>
        <v>140950513.42499998</v>
      </c>
      <c r="F2" s="16"/>
      <c r="G2" s="17"/>
      <c r="H2" s="14"/>
      <c r="I2" s="14"/>
      <c r="J2" s="14"/>
      <c r="K2" s="15">
        <f>SUM(K27,K42,K50,K65,K29,K67:K67)</f>
        <v>170757465.06368411</v>
      </c>
      <c r="L2" s="18">
        <f>SUM(L50,L65,L42,L27,L29,L67)</f>
        <v>0.99999999999999989</v>
      </c>
      <c r="M2" s="19">
        <f>K2/$C$6</f>
        <v>6.9053849270361347</v>
      </c>
      <c r="N2" s="20"/>
    </row>
    <row r="3" spans="1:17" ht="26.25" x14ac:dyDescent="0.25">
      <c r="A3" s="5"/>
      <c r="B3" s="5" t="s">
        <v>122</v>
      </c>
      <c r="C3" s="21">
        <v>24728160.25</v>
      </c>
      <c r="D3" s="22"/>
      <c r="E3" s="8" t="s">
        <v>123</v>
      </c>
      <c r="F3" s="16"/>
      <c r="H3" s="14"/>
      <c r="I3" s="14"/>
      <c r="J3" s="14"/>
      <c r="K3" s="8" t="s">
        <v>123</v>
      </c>
      <c r="L3" s="14"/>
      <c r="M3" s="12" t="s">
        <v>124</v>
      </c>
      <c r="N3" s="23"/>
    </row>
    <row r="4" spans="1:17" x14ac:dyDescent="0.25">
      <c r="A4" s="5"/>
      <c r="B4" s="5" t="s">
        <v>125</v>
      </c>
      <c r="C4" s="21">
        <v>0</v>
      </c>
      <c r="D4" s="22"/>
      <c r="E4" s="15">
        <f>SUM(E27,E65,E29)</f>
        <v>28894855.252125006</v>
      </c>
      <c r="F4" s="16"/>
      <c r="G4" s="17"/>
      <c r="H4" s="14"/>
      <c r="I4" s="14"/>
      <c r="J4" s="14"/>
      <c r="K4" s="15">
        <f>SUM(K27,K29,K65)</f>
        <v>29005169.261369195</v>
      </c>
      <c r="L4" s="14"/>
      <c r="M4" s="19">
        <f>K4/$C$6</f>
        <v>1.1729610681962963</v>
      </c>
      <c r="N4" s="23"/>
    </row>
    <row r="5" spans="1:17" x14ac:dyDescent="0.25">
      <c r="A5" s="5"/>
      <c r="B5" s="5" t="s">
        <v>126</v>
      </c>
      <c r="C5" s="21">
        <v>0</v>
      </c>
      <c r="D5" s="22"/>
      <c r="E5" s="16"/>
      <c r="F5" s="16"/>
      <c r="G5" s="24">
        <f>SUM(D27,D29,D42,D50,D65,D67:D67)</f>
        <v>1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127</v>
      </c>
      <c r="C6" s="21">
        <f>C3+C4-C5</f>
        <v>24728160.25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128</v>
      </c>
      <c r="B8" s="30" t="s">
        <v>129</v>
      </c>
      <c r="C8" s="31" t="s">
        <v>1</v>
      </c>
      <c r="D8" s="31" t="s">
        <v>130</v>
      </c>
      <c r="E8" s="31" t="s">
        <v>131</v>
      </c>
      <c r="F8" s="31" t="s">
        <v>132</v>
      </c>
      <c r="G8" s="31" t="s">
        <v>133</v>
      </c>
      <c r="H8" s="31" t="s">
        <v>134</v>
      </c>
      <c r="I8" s="31" t="s">
        <v>135</v>
      </c>
      <c r="J8" s="31" t="s">
        <v>136</v>
      </c>
      <c r="K8" s="32" t="s">
        <v>137</v>
      </c>
      <c r="L8" s="32" t="s">
        <v>138</v>
      </c>
      <c r="M8" s="32" t="s">
        <v>139</v>
      </c>
      <c r="N8" s="33"/>
      <c r="Q8" s="35"/>
    </row>
    <row r="9" spans="1:17" s="46" customFormat="1" ht="12.75" customHeight="1" x14ac:dyDescent="0.25">
      <c r="A9" s="36" t="s">
        <v>140</v>
      </c>
      <c r="B9" s="36" t="s">
        <v>49</v>
      </c>
      <c r="C9" s="36" t="s">
        <v>50</v>
      </c>
      <c r="D9" s="37">
        <v>1.2500000000000001E-2</v>
      </c>
      <c r="E9" s="38">
        <f>'Nov 12'!$D9*$C$6*$C$2</f>
        <v>1761881.4178124999</v>
      </c>
      <c r="F9" s="38">
        <v>417.02988565488602</v>
      </c>
      <c r="G9" s="39">
        <f>'Nov 12'!$E9/'Nov 12'!$F9</f>
        <v>4224.8325082163265</v>
      </c>
      <c r="H9" s="36">
        <v>3848</v>
      </c>
      <c r="I9" s="36">
        <f>ROUND(Table13895845679910111213144562678910111213141516171819202134567891011121314151617181920212223345678910[[#This Row],[Target Quantity]],0)</f>
        <v>4225</v>
      </c>
      <c r="J9" s="40">
        <f t="shared" ref="J9:J25" si="0">I9-H9</f>
        <v>377</v>
      </c>
      <c r="K9" s="41">
        <f>'Nov 12'!$F9*'Nov 12'!$I9</f>
        <v>1761951.2668918935</v>
      </c>
      <c r="L9" s="42">
        <f>'Nov 12'!$K9/$K$2</f>
        <v>1.0318443566931451E-2</v>
      </c>
      <c r="M9" s="43"/>
    </row>
    <row r="10" spans="1:17" s="46" customFormat="1" ht="12.75" customHeight="1" x14ac:dyDescent="0.25">
      <c r="A10" s="36" t="s">
        <v>140</v>
      </c>
      <c r="B10" s="36" t="s">
        <v>37</v>
      </c>
      <c r="C10" s="36" t="s">
        <v>38</v>
      </c>
      <c r="D10" s="37">
        <v>1.2500000000000001E-2</v>
      </c>
      <c r="E10" s="38">
        <f>'Nov 12'!$D10*$C$6*$C$2</f>
        <v>1761881.4178124999</v>
      </c>
      <c r="F10" s="38">
        <v>84.400009771827797</v>
      </c>
      <c r="G10" s="39">
        <f>'Nov 12'!$E10/'Nov 12'!$F10</f>
        <v>20875.369832013988</v>
      </c>
      <c r="H10" s="36">
        <v>20467</v>
      </c>
      <c r="I10" s="36">
        <f>ROUND(Table13895845679910111213144562678910111213141516171819202134567891011121314151617181920212223345678910[[#This Row],[Target Quantity]],0)</f>
        <v>20875</v>
      </c>
      <c r="J10" s="40">
        <f t="shared" si="0"/>
        <v>408</v>
      </c>
      <c r="K10" s="41">
        <f>'Nov 12'!$F10*'Nov 12'!$I10</f>
        <v>1761850.2039869053</v>
      </c>
      <c r="L10" s="42">
        <f>'Nov 12'!$K10/$K$2</f>
        <v>1.0317851716349982E-2</v>
      </c>
      <c r="M10" s="43"/>
    </row>
    <row r="11" spans="1:17" s="47" customFormat="1" ht="12.75" customHeight="1" x14ac:dyDescent="0.25">
      <c r="A11" s="36" t="s">
        <v>140</v>
      </c>
      <c r="B11" s="36" t="s">
        <v>27</v>
      </c>
      <c r="C11" s="36" t="s">
        <v>28</v>
      </c>
      <c r="D11" s="37">
        <v>1.2500000000000001E-2</v>
      </c>
      <c r="E11" s="38">
        <f>'Nov 12'!$D11*$C$6*$C$2</f>
        <v>1761881.4178124999</v>
      </c>
      <c r="F11" s="38">
        <v>208.55005724462501</v>
      </c>
      <c r="G11" s="39">
        <f>'Nov 12'!$E11/'Nov 12'!$F11</f>
        <v>8448.2423121363554</v>
      </c>
      <c r="H11" s="36">
        <v>7861</v>
      </c>
      <c r="I11" s="36">
        <f>ROUND(Table13895845679910111213144562678910111213141516171819202134567891011121314151617181920212223345678910[[#This Row],[Target Quantity]],0)</f>
        <v>8448</v>
      </c>
      <c r="J11" s="40">
        <f t="shared" si="0"/>
        <v>587</v>
      </c>
      <c r="K11" s="41">
        <f>'Nov 12'!$F11*'Nov 12'!$I11</f>
        <v>1761830.8836025922</v>
      </c>
      <c r="L11" s="42">
        <f>'Nov 12'!$K11/$K$2</f>
        <v>1.0317738571168857E-2</v>
      </c>
      <c r="M11" s="36"/>
    </row>
    <row r="12" spans="1:17" s="47" customFormat="1" ht="12.75" customHeight="1" x14ac:dyDescent="0.25">
      <c r="A12" s="36" t="s">
        <v>140</v>
      </c>
      <c r="B12" s="36" t="s">
        <v>51</v>
      </c>
      <c r="C12" s="36" t="s">
        <v>52</v>
      </c>
      <c r="D12" s="37">
        <v>1.2500000000000001E-2</v>
      </c>
      <c r="E12" s="38">
        <f>'Nov 12'!$D12*$C$6*$C$2</f>
        <v>1761881.4178124999</v>
      </c>
      <c r="F12" s="38">
        <v>426</v>
      </c>
      <c r="G12" s="39">
        <f>'Nov 12'!$E12/'Nov 12'!$F12</f>
        <v>4135.8718727992955</v>
      </c>
      <c r="H12" s="36">
        <v>4136</v>
      </c>
      <c r="I12" s="36">
        <f>ROUND(Table13895845679910111213144562678910111213141516171819202134567891011121314151617181920212223345678910[[#This Row],[Target Quantity]],0)</f>
        <v>4136</v>
      </c>
      <c r="J12" s="40">
        <f t="shared" si="0"/>
        <v>0</v>
      </c>
      <c r="K12" s="41">
        <f>'Nov 12'!$F12*'Nov 12'!$I12</f>
        <v>1761936</v>
      </c>
      <c r="L12" s="42">
        <f>'Nov 12'!$K12/$K$2</f>
        <v>1.0318354160053177E-2</v>
      </c>
      <c r="M12" s="36"/>
    </row>
    <row r="13" spans="1:17" s="47" customFormat="1" ht="12.75" customHeight="1" x14ac:dyDescent="0.25">
      <c r="A13" s="36" t="s">
        <v>140</v>
      </c>
      <c r="B13" s="36" t="s">
        <v>41</v>
      </c>
      <c r="C13" s="36" t="s">
        <v>42</v>
      </c>
      <c r="D13" s="37">
        <v>1.2500000000000001E-2</v>
      </c>
      <c r="E13" s="38">
        <f>'Nov 12'!$D13*$C$6*$C$2</f>
        <v>1761881.4178124999</v>
      </c>
      <c r="F13" s="38">
        <v>1304.4902723735399</v>
      </c>
      <c r="G13" s="39">
        <f>'Nov 12'!$E13/'Nov 12'!$F13</f>
        <v>1350.6282531388524</v>
      </c>
      <c r="H13" s="36">
        <v>1285</v>
      </c>
      <c r="I13" s="36">
        <f>ROUND(Table13895845679910111213144562678910111213141516171819202134567891011121314151617181920212223345678910[[#This Row],[Target Quantity]],0)</f>
        <v>1351</v>
      </c>
      <c r="J13" s="40">
        <f t="shared" si="0"/>
        <v>66</v>
      </c>
      <c r="K13" s="41">
        <f>'Nov 12'!$F13*'Nov 12'!$I13</f>
        <v>1762366.3579766524</v>
      </c>
      <c r="L13" s="42">
        <f>'Nov 12'!$K13/$K$2</f>
        <v>1.0320874447974363E-2</v>
      </c>
      <c r="M13" s="36"/>
    </row>
    <row r="14" spans="1:17" s="47" customFormat="1" ht="12.75" customHeight="1" x14ac:dyDescent="0.25">
      <c r="A14" s="36" t="s">
        <v>140</v>
      </c>
      <c r="B14" s="36" t="s">
        <v>31</v>
      </c>
      <c r="C14" s="36" t="s">
        <v>32</v>
      </c>
      <c r="D14" s="37">
        <v>1.2500000000000001E-2</v>
      </c>
      <c r="E14" s="38">
        <f>'Nov 12'!$D14*$C$6*$C$2</f>
        <v>1761881.4178124999</v>
      </c>
      <c r="F14" s="38">
        <v>267.81004736129898</v>
      </c>
      <c r="G14" s="39">
        <f>'Nov 12'!$E14/'Nov 12'!$F14</f>
        <v>6578.8473403896196</v>
      </c>
      <c r="H14" s="36">
        <v>5912</v>
      </c>
      <c r="I14" s="36">
        <f>ROUND(Table13895845679910111213144562678910111213141516171819202134567891011121314151617181920212223345678910[[#This Row],[Target Quantity]],0)</f>
        <v>6579</v>
      </c>
      <c r="J14" s="40">
        <f t="shared" si="0"/>
        <v>667</v>
      </c>
      <c r="K14" s="41">
        <f>'Nov 12'!$F14*'Nov 12'!$I14</f>
        <v>1761922.3015899861</v>
      </c>
      <c r="L14" s="42">
        <f>'Nov 12'!$K14/$K$2</f>
        <v>1.0318273938611563E-2</v>
      </c>
      <c r="M14" s="36"/>
    </row>
    <row r="15" spans="1:17" s="47" customFormat="1" ht="12.75" customHeight="1" x14ac:dyDescent="0.25">
      <c r="A15" s="36" t="s">
        <v>140</v>
      </c>
      <c r="B15" s="36" t="s">
        <v>29</v>
      </c>
      <c r="C15" s="36" t="s">
        <v>30</v>
      </c>
      <c r="D15" s="37">
        <v>6.2500000000000003E-3</v>
      </c>
      <c r="E15" s="38">
        <f>'Nov 12'!$D15*$C$6*$C$2</f>
        <v>880940.70890624996</v>
      </c>
      <c r="F15" s="38">
        <v>19.680006021526999</v>
      </c>
      <c r="G15" s="39">
        <f>'Nov 12'!$E15/'Nov 12'!$F15</f>
        <v>44763.23370748118</v>
      </c>
      <c r="H15" s="36">
        <v>39857</v>
      </c>
      <c r="I15" s="36">
        <f>ROUND(Table13895845679910111213144562678910111213141516171819202134567891011121314151617181920212223345678910[[#This Row],[Target Quantity]],0)</f>
        <v>44763</v>
      </c>
      <c r="J15" s="40">
        <f t="shared" si="0"/>
        <v>4906</v>
      </c>
      <c r="K15" s="41">
        <f>'Nov 12'!$F15*'Nov 12'!$I15</f>
        <v>880936.10954161303</v>
      </c>
      <c r="L15" s="42">
        <f>'Nov 12'!$K15/$K$2</f>
        <v>5.1589903212317387E-3</v>
      </c>
      <c r="M15" s="36"/>
    </row>
    <row r="16" spans="1:17" s="47" customFormat="1" ht="12.75" customHeight="1" x14ac:dyDescent="0.25">
      <c r="A16" s="36" t="s">
        <v>140</v>
      </c>
      <c r="B16" s="36" t="s">
        <v>39</v>
      </c>
      <c r="C16" s="36" t="s">
        <v>40</v>
      </c>
      <c r="D16" s="37">
        <v>6.2500000000000003E-3</v>
      </c>
      <c r="E16" s="38">
        <f>'Nov 12'!$D16*$C$6*$C$2</f>
        <v>880940.70890624996</v>
      </c>
      <c r="F16" s="38">
        <v>34.14</v>
      </c>
      <c r="G16" s="39">
        <f>'Nov 12'!$E16/'Nov 12'!$F16</f>
        <v>25803.770032403336</v>
      </c>
      <c r="H16" s="36">
        <v>23200</v>
      </c>
      <c r="I16" s="36">
        <f>ROUND(Table13895845679910111213144562678910111213141516171819202134567891011121314151617181920212223345678910[[#This Row],[Target Quantity]],0)</f>
        <v>25804</v>
      </c>
      <c r="J16" s="40">
        <f t="shared" si="0"/>
        <v>2604</v>
      </c>
      <c r="K16" s="41">
        <f>'Nov 12'!$F16*'Nov 12'!$I16</f>
        <v>880948.56</v>
      </c>
      <c r="L16" s="42">
        <f>'Nov 12'!$K16/$K$2</f>
        <v>5.1590632343449802E-3</v>
      </c>
      <c r="M16" s="36"/>
    </row>
    <row r="17" spans="1:15" s="47" customFormat="1" ht="12.75" customHeight="1" x14ac:dyDescent="0.25">
      <c r="A17" s="36" t="s">
        <v>140</v>
      </c>
      <c r="B17" s="36" t="s">
        <v>19</v>
      </c>
      <c r="C17" s="36" t="s">
        <v>20</v>
      </c>
      <c r="D17" s="37">
        <v>1.2500000000000001E-2</v>
      </c>
      <c r="E17" s="38">
        <f>'Nov 12'!$D17*$C$6*$C$2</f>
        <v>1761881.4178124999</v>
      </c>
      <c r="F17" s="38">
        <v>461.54011166617698</v>
      </c>
      <c r="G17" s="39">
        <f>'Nov 12'!$E17/'Nov 12'!$F17</f>
        <v>3817.3960903463894</v>
      </c>
      <c r="H17" s="36">
        <v>3403</v>
      </c>
      <c r="I17" s="36">
        <f>ROUND(Table13895845679910111213144562678910111213141516171819202134567891011121314151617181920212223345678910[[#This Row],[Target Quantity]],0)</f>
        <v>3817</v>
      </c>
      <c r="J17" s="40">
        <f t="shared" si="0"/>
        <v>414</v>
      </c>
      <c r="K17" s="41">
        <f>'Nov 12'!$F17*'Nov 12'!$I17</f>
        <v>1761698.6062297975</v>
      </c>
      <c r="L17" s="42">
        <f>'Nov 12'!$K17/$K$2</f>
        <v>1.0316963920568689E-2</v>
      </c>
      <c r="M17" s="36"/>
    </row>
    <row r="18" spans="1:15" s="47" customFormat="1" ht="12.75" customHeight="1" x14ac:dyDescent="0.25">
      <c r="A18" s="36" t="s">
        <v>140</v>
      </c>
      <c r="B18" s="36" t="s">
        <v>33</v>
      </c>
      <c r="C18" s="36" t="s">
        <v>34</v>
      </c>
      <c r="D18" s="37">
        <v>6.2500000000000003E-3</v>
      </c>
      <c r="E18" s="38">
        <f>'Nov 12'!$D18*$C$6*$C$2</f>
        <v>880940.70890624996</v>
      </c>
      <c r="F18" s="38">
        <v>22.8000059091178</v>
      </c>
      <c r="G18" s="39">
        <f>'Nov 12'!$E18/'Nov 12'!$F18</f>
        <v>38637.740376810987</v>
      </c>
      <c r="H18" s="36">
        <v>33846</v>
      </c>
      <c r="I18" s="36">
        <f>ROUND(Table13895845679910111213144562678910111213141516171819202134567891011121314151617181920212223345678910[[#This Row],[Target Quantity]],0)</f>
        <v>38638</v>
      </c>
      <c r="J18" s="40">
        <f t="shared" si="0"/>
        <v>4792</v>
      </c>
      <c r="K18" s="41">
        <f>'Nov 12'!$F18*'Nov 12'!$I18</f>
        <v>880946.62831649359</v>
      </c>
      <c r="L18" s="42">
        <f>'Nov 12'!$K18/$K$2</f>
        <v>5.1590519219053997E-3</v>
      </c>
      <c r="M18" s="36"/>
    </row>
    <row r="19" spans="1:15" s="47" customFormat="1" ht="12.75" customHeight="1" x14ac:dyDescent="0.25">
      <c r="A19" s="36" t="s">
        <v>140</v>
      </c>
      <c r="B19" s="36" t="s">
        <v>21</v>
      </c>
      <c r="C19" s="36" t="s">
        <v>22</v>
      </c>
      <c r="D19" s="37">
        <v>1.2500000000000001E-2</v>
      </c>
      <c r="E19" s="38">
        <f>'Nov 12'!$D19*$C$6*$C$2</f>
        <v>1761881.4178124999</v>
      </c>
      <c r="F19" s="38">
        <v>37.9699928212491</v>
      </c>
      <c r="G19" s="39">
        <f>'Nov 12'!$E19/'Nov 12'!$F19</f>
        <v>46401.942347128926</v>
      </c>
      <c r="H19" s="36">
        <v>41790</v>
      </c>
      <c r="I19" s="36">
        <f>ROUND(Table13895845679910111213144562678910111213141516171819202134567891011121314151617181920212223345678910[[#This Row],[Target Quantity]],0)</f>
        <v>46402</v>
      </c>
      <c r="J19" s="40">
        <f t="shared" si="0"/>
        <v>4612</v>
      </c>
      <c r="K19" s="41">
        <f>'Nov 12'!$F19*'Nov 12'!$I19</f>
        <v>1761883.6068916006</v>
      </c>
      <c r="L19" s="42">
        <f>'Nov 12'!$K19/$K$2</f>
        <v>1.0318047332422656E-2</v>
      </c>
      <c r="M19" s="36"/>
    </row>
    <row r="20" spans="1:15" s="47" customFormat="1" ht="12.75" customHeight="1" x14ac:dyDescent="0.25">
      <c r="A20" s="36" t="s">
        <v>140</v>
      </c>
      <c r="B20" s="36" t="s">
        <v>45</v>
      </c>
      <c r="C20" s="36" t="s">
        <v>46</v>
      </c>
      <c r="D20" s="37">
        <v>6.2500000000000003E-3</v>
      </c>
      <c r="E20" s="38">
        <f>'Nov 12'!$D20*$C$6*$C$2</f>
        <v>880940.70890624996</v>
      </c>
      <c r="F20" s="38">
        <v>67.539991571849995</v>
      </c>
      <c r="G20" s="39">
        <f>'Nov 12'!$E20/'Nov 12'!$F20</f>
        <v>13043.245763054216</v>
      </c>
      <c r="H20" s="36">
        <v>11865</v>
      </c>
      <c r="I20" s="36">
        <f>ROUND(Table13895845679910111213144562678910111213141516171819202134567891011121314151617181920212223345678910[[#This Row],[Target Quantity]],0)</f>
        <v>13043</v>
      </c>
      <c r="J20" s="40">
        <f t="shared" si="0"/>
        <v>1178</v>
      </c>
      <c r="K20" s="41">
        <f>'Nov 12'!$F20*'Nov 12'!$I20</f>
        <v>880924.11007163953</v>
      </c>
      <c r="L20" s="42">
        <f>'Nov 12'!$K20/$K$2</f>
        <v>5.158920049223607E-3</v>
      </c>
      <c r="M20" s="36"/>
    </row>
    <row r="21" spans="1:15" s="47" customFormat="1" ht="12.75" customHeight="1" x14ac:dyDescent="0.25">
      <c r="A21" s="36" t="s">
        <v>140</v>
      </c>
      <c r="B21" s="36" t="s">
        <v>23</v>
      </c>
      <c r="C21" s="36" t="s">
        <v>24</v>
      </c>
      <c r="D21" s="37">
        <v>1.2500000000000001E-2</v>
      </c>
      <c r="E21" s="38">
        <f>'Nov 12'!$D21*$C$6*$C$2</f>
        <v>1761881.4178124999</v>
      </c>
      <c r="F21" s="38">
        <v>249.35004821600799</v>
      </c>
      <c r="G21" s="39">
        <f>'Nov 12'!$E21/'Nov 12'!$F21</f>
        <v>7065.895637149466</v>
      </c>
      <c r="H21" s="36">
        <v>6222</v>
      </c>
      <c r="I21" s="36">
        <f>ROUND(Table13895845679910111213144562678910111213141516171819202134567891011121314151617181920212223345678910[[#This Row],[Target Quantity]],0)</f>
        <v>7066</v>
      </c>
      <c r="J21" s="40">
        <f t="shared" si="0"/>
        <v>844</v>
      </c>
      <c r="K21" s="41">
        <f>'Nov 12'!$F21*'Nov 12'!$I21</f>
        <v>1761907.4406943126</v>
      </c>
      <c r="L21" s="42">
        <f>'Nov 12'!$K21/$K$2</f>
        <v>1.0318186909352444E-2</v>
      </c>
      <c r="M21" s="36"/>
    </row>
    <row r="22" spans="1:15" s="47" customFormat="1" ht="12.75" customHeight="1" x14ac:dyDescent="0.25">
      <c r="A22" s="36" t="s">
        <v>140</v>
      </c>
      <c r="B22" s="36" t="s">
        <v>47</v>
      </c>
      <c r="C22" s="36" t="s">
        <v>48</v>
      </c>
      <c r="D22" s="37">
        <v>6.2500000000000003E-3</v>
      </c>
      <c r="E22" s="38">
        <f>'Nov 12'!$D22*$C$6*$C$2</f>
        <v>880940.70890624996</v>
      </c>
      <c r="F22" s="38">
        <v>328.820195994887</v>
      </c>
      <c r="G22" s="39">
        <f>'Nov 12'!$E22/'Nov 12'!$F22</f>
        <v>2679.0955045837518</v>
      </c>
      <c r="H22" s="36">
        <v>2347</v>
      </c>
      <c r="I22" s="36">
        <f>ROUND(Table13895845679910111213144562678910111213141516171819202134567891011121314151617181920212223345678910[[#This Row],[Target Quantity]],0)</f>
        <v>2679</v>
      </c>
      <c r="J22" s="40">
        <f t="shared" si="0"/>
        <v>332</v>
      </c>
      <c r="K22" s="41">
        <f>'Nov 12'!$F22*'Nov 12'!$I22</f>
        <v>880909.30507030233</v>
      </c>
      <c r="L22" s="42">
        <f>'Nov 12'!$K22/$K$2</f>
        <v>5.1588333472962168E-3</v>
      </c>
      <c r="M22" s="36"/>
    </row>
    <row r="23" spans="1:15" s="47" customFormat="1" ht="12.75" customHeight="1" x14ac:dyDescent="0.25">
      <c r="A23" s="36" t="s">
        <v>140</v>
      </c>
      <c r="B23" s="36" t="s">
        <v>15</v>
      </c>
      <c r="C23" s="36" t="s">
        <v>16</v>
      </c>
      <c r="D23" s="37">
        <v>6.2500000000000003E-3</v>
      </c>
      <c r="E23" s="38">
        <f>'Nov 12'!$D23*$C$6*$C$2</f>
        <v>880940.70890624996</v>
      </c>
      <c r="F23" s="38">
        <v>117.799970144798</v>
      </c>
      <c r="G23" s="39">
        <f>'Nov 12'!$E23/'Nov 12'!$F23</f>
        <v>7478.2761644456323</v>
      </c>
      <c r="H23" s="36">
        <v>6699</v>
      </c>
      <c r="I23" s="36">
        <f>ROUND(Table13895845679910111213144562678910111213141516171819202134567891011121314151617181920212223345678910[[#This Row],[Target Quantity]],0)</f>
        <v>7478</v>
      </c>
      <c r="J23" s="40">
        <f t="shared" si="0"/>
        <v>779</v>
      </c>
      <c r="K23" s="41">
        <f>'Nov 12'!$F23*'Nov 12'!$I23</f>
        <v>880908.17674279946</v>
      </c>
      <c r="L23" s="42">
        <f>'Nov 12'!$K23/$K$2</f>
        <v>5.1588267395177379E-3</v>
      </c>
      <c r="M23" s="36"/>
    </row>
    <row r="24" spans="1:15" s="47" customFormat="1" ht="12.75" customHeight="1" x14ac:dyDescent="0.25">
      <c r="A24" s="36" t="s">
        <v>140</v>
      </c>
      <c r="B24" s="36" t="s">
        <v>43</v>
      </c>
      <c r="C24" s="36" t="s">
        <v>44</v>
      </c>
      <c r="D24" s="37">
        <v>1.2500000000000001E-2</v>
      </c>
      <c r="E24" s="38">
        <f>'Nov 12'!$D24*$C$6*$C$2</f>
        <v>1761881.4178124999</v>
      </c>
      <c r="F24" s="38">
        <v>260.769917355372</v>
      </c>
      <c r="G24" s="39">
        <f>'Nov 12'!$E24/'Nov 12'!$F24</f>
        <v>6756.4596241806657</v>
      </c>
      <c r="H24" s="36">
        <v>6050</v>
      </c>
      <c r="I24" s="36">
        <f>ROUND(Table13895845679910111213144562678910111213141516171819202134567891011121314151617181920212223345678910[[#This Row],[Target Quantity]],0)</f>
        <v>6756</v>
      </c>
      <c r="J24" s="40">
        <f t="shared" si="0"/>
        <v>706</v>
      </c>
      <c r="K24" s="41">
        <f>'Nov 12'!$F24*'Nov 12'!$I24</f>
        <v>1761761.5616528932</v>
      </c>
      <c r="L24" s="42">
        <f>'Nov 12'!$K24/$K$2</f>
        <v>1.0317332603853325E-2</v>
      </c>
      <c r="M24" s="36"/>
    </row>
    <row r="25" spans="1:15" s="47" customFormat="1" ht="12.75" customHeight="1" x14ac:dyDescent="0.25">
      <c r="A25" s="36" t="s">
        <v>140</v>
      </c>
      <c r="B25" s="47" t="s">
        <v>11</v>
      </c>
      <c r="C25" s="36" t="s">
        <v>12</v>
      </c>
      <c r="D25" s="37">
        <v>1.2500000000000001E-2</v>
      </c>
      <c r="E25" s="38">
        <f>'Nov 12'!$D25*$C$6*$C$2</f>
        <v>1761881.4178124999</v>
      </c>
      <c r="F25" s="38">
        <v>2.3949725526074999</v>
      </c>
      <c r="G25" s="39">
        <f>'Nov 12'!$E25/'Nov 12'!$F25</f>
        <v>735658.29215632181</v>
      </c>
      <c r="H25" s="36">
        <v>655800</v>
      </c>
      <c r="I25" s="36">
        <f>ROUND(Table13895845679910111213144562678910111213141516171819202134567891011121314151617181920212223345678910[[#This Row],[Target Quantity]],-2)</f>
        <v>735700</v>
      </c>
      <c r="J25" s="40">
        <f t="shared" si="0"/>
        <v>79900</v>
      </c>
      <c r="K25" s="41">
        <f>'Nov 12'!$F25*'Nov 12'!$I25</f>
        <v>1761981.3069533377</v>
      </c>
      <c r="L25" s="42">
        <f>'Nov 12'!$K25/$K$2</f>
        <v>1.0318619489321921E-2</v>
      </c>
      <c r="M25" s="36"/>
    </row>
    <row r="26" spans="1:15" s="47" customFormat="1" ht="12.75" customHeight="1" x14ac:dyDescent="0.25">
      <c r="A26" s="36"/>
      <c r="B26" s="36"/>
      <c r="C26" s="36"/>
      <c r="D26" s="37"/>
      <c r="E26" s="38"/>
      <c r="F26" s="38"/>
      <c r="G26" s="39"/>
      <c r="H26" s="36"/>
      <c r="I26" s="36"/>
      <c r="J26" s="48"/>
      <c r="K26" s="38"/>
      <c r="L26" s="49"/>
      <c r="M26" s="36"/>
    </row>
    <row r="27" spans="1:15" s="56" customFormat="1" ht="12.75" customHeight="1" x14ac:dyDescent="0.25">
      <c r="A27" s="50" t="s">
        <v>149</v>
      </c>
      <c r="B27" s="50"/>
      <c r="C27" s="50"/>
      <c r="D27" s="51">
        <f>SUM(D9:D26)</f>
        <v>0.17500000000000004</v>
      </c>
      <c r="E27" s="52">
        <f>'Nov 12'!$D27*$C$6*$C$2</f>
        <v>24666339.849375006</v>
      </c>
      <c r="F27" s="53"/>
      <c r="G27" s="53"/>
      <c r="H27" s="50"/>
      <c r="I27" s="50"/>
      <c r="J27" s="54"/>
      <c r="K27" s="52">
        <f>SUM(K9:K26)</f>
        <v>24666662.426212821</v>
      </c>
      <c r="L27" s="55">
        <f>'Nov 12'!$K27/$K$2</f>
        <v>0.14445437227012811</v>
      </c>
      <c r="M27" s="50"/>
    </row>
    <row r="28" spans="1:15" s="47" customFormat="1" ht="12.75" customHeight="1" x14ac:dyDescent="0.25">
      <c r="A28" s="36"/>
      <c r="B28" s="36"/>
      <c r="C28" s="36"/>
      <c r="D28" s="37"/>
      <c r="E28" s="38"/>
      <c r="F28" s="38"/>
      <c r="G28" s="39"/>
      <c r="H28" s="36"/>
      <c r="I28" s="36"/>
      <c r="J28" s="48"/>
      <c r="K28" s="38"/>
      <c r="L28" s="42"/>
      <c r="M28" s="36"/>
    </row>
    <row r="29" spans="1:15" s="46" customFormat="1" ht="12.75" customHeight="1" x14ac:dyDescent="0.25">
      <c r="A29" s="57"/>
      <c r="B29" s="50" t="s">
        <v>35</v>
      </c>
      <c r="C29" s="57" t="s">
        <v>36</v>
      </c>
      <c r="D29" s="58">
        <v>0.02</v>
      </c>
      <c r="E29" s="59">
        <f>'Nov 12'!$D29*$C$6*$C$2</f>
        <v>2819010.2685000002</v>
      </c>
      <c r="F29" s="53">
        <v>17.8299981439344</v>
      </c>
      <c r="G29" s="60">
        <f>'Nov 12'!$E29/'Nov 12'!$F29</f>
        <v>158104.91093399251</v>
      </c>
      <c r="H29" s="57">
        <v>145469</v>
      </c>
      <c r="I29" s="57">
        <f>ROUND(Table13895845679910111213144562678910111213141516171819202134567891011121314151617181920212223345678910[[#This Row],[Target Quantity]],0)</f>
        <v>158105</v>
      </c>
      <c r="J29" s="61">
        <f>I29-H29</f>
        <v>12636</v>
      </c>
      <c r="K29" s="62">
        <f>'Nov 12'!$F29*'Nov 12'!$I29</f>
        <v>2819011.8565467484</v>
      </c>
      <c r="L29" s="55">
        <f>'Nov 12'!$K29/$K$2</f>
        <v>1.6508864520185962E-2</v>
      </c>
      <c r="M29" s="50"/>
      <c r="O29" s="44"/>
    </row>
    <row r="30" spans="1:15" s="46" customFormat="1" ht="12.75" customHeight="1" x14ac:dyDescent="0.25">
      <c r="A30" s="36"/>
      <c r="B30" s="36"/>
      <c r="C30" s="36"/>
      <c r="D30" s="37"/>
      <c r="E30" s="38"/>
      <c r="F30" s="38"/>
      <c r="G30" s="39"/>
      <c r="H30" s="36"/>
      <c r="I30" s="36"/>
      <c r="J30" s="48"/>
      <c r="K30" s="41"/>
      <c r="L30" s="42"/>
      <c r="M30" s="36"/>
      <c r="O30" s="44"/>
    </row>
    <row r="31" spans="1:15" s="4" customFormat="1" ht="25.5" x14ac:dyDescent="0.2">
      <c r="A31" s="36" t="s">
        <v>150</v>
      </c>
      <c r="B31" s="63" t="s">
        <v>98</v>
      </c>
      <c r="C31" s="64" t="s">
        <v>99</v>
      </c>
      <c r="D31" s="37">
        <v>2.9499999999999998E-2</v>
      </c>
      <c r="E31" s="38">
        <f>'Nov 12'!$D31*$C$6*$C$2</f>
        <v>4158040.1460375004</v>
      </c>
      <c r="F31" s="38">
        <v>156306.56</v>
      </c>
      <c r="G31" s="39">
        <f>'Nov 12'!$E31/'Nov 12'!$F31</f>
        <v>26.601827498714709</v>
      </c>
      <c r="H31" s="36">
        <v>25</v>
      </c>
      <c r="I31" s="36">
        <v>27</v>
      </c>
      <c r="J31" s="40">
        <f t="shared" ref="J31:J40" si="1">I31-H31</f>
        <v>2</v>
      </c>
      <c r="K31" s="41">
        <f>'Nov 12'!$F31*'Nov 12'!$I31</f>
        <v>4220277.12</v>
      </c>
      <c r="L31" s="42">
        <f>'Nov 12'!$K31/$K$2</f>
        <v>2.4715037309941588E-2</v>
      </c>
      <c r="M31" s="65"/>
    </row>
    <row r="32" spans="1:15" s="4" customFormat="1" ht="25.5" x14ac:dyDescent="0.2">
      <c r="A32" s="36" t="s">
        <v>150</v>
      </c>
      <c r="B32" s="63" t="s">
        <v>102</v>
      </c>
      <c r="C32" s="64" t="s">
        <v>103</v>
      </c>
      <c r="D32" s="37">
        <v>2.9499999999999998E-2</v>
      </c>
      <c r="E32" s="38">
        <f>'Nov 12'!$D32*$C$6*$C$2</f>
        <v>4158040.1460375004</v>
      </c>
      <c r="F32" s="38">
        <v>212307.42105263201</v>
      </c>
      <c r="G32" s="39">
        <f>'Nov 12'!$E32/'Nov 12'!$F32</f>
        <v>19.584996725134271</v>
      </c>
      <c r="H32" s="36">
        <v>19</v>
      </c>
      <c r="I32" s="36">
        <v>20</v>
      </c>
      <c r="J32" s="40">
        <f t="shared" si="1"/>
        <v>1</v>
      </c>
      <c r="K32" s="41">
        <f>'Nov 12'!$F32*'Nov 12'!$I32</f>
        <v>4246148.4210526403</v>
      </c>
      <c r="L32" s="42">
        <f>'Nov 12'!$K32/$K$2</f>
        <v>2.4866546358421497E-2</v>
      </c>
      <c r="M32" s="65"/>
    </row>
    <row r="33" spans="1:13" s="4" customFormat="1" ht="25.5" x14ac:dyDescent="0.2">
      <c r="A33" s="36" t="s">
        <v>150</v>
      </c>
      <c r="B33" s="63" t="s">
        <v>104</v>
      </c>
      <c r="C33" s="64" t="s">
        <v>105</v>
      </c>
      <c r="D33" s="37">
        <v>2.9499999999999998E-2</v>
      </c>
      <c r="E33" s="38">
        <f>'Nov 12'!$D33*$C$6*$C$2</f>
        <v>4158040.1460375004</v>
      </c>
      <c r="F33" s="38">
        <v>170915.26086956501</v>
      </c>
      <c r="G33" s="39">
        <f>'Nov 12'!$E33/'Nov 12'!$F33</f>
        <v>24.328080037339284</v>
      </c>
      <c r="H33" s="36">
        <v>23</v>
      </c>
      <c r="I33" s="36">
        <v>24</v>
      </c>
      <c r="J33" s="40">
        <f t="shared" si="1"/>
        <v>1</v>
      </c>
      <c r="K33" s="41">
        <f>'Nov 12'!$F33*'Nov 12'!$I33</f>
        <v>4101966.2608695603</v>
      </c>
      <c r="L33" s="42">
        <f>'Nov 12'!$K33/$K$2</f>
        <v>2.4022178235895746E-2</v>
      </c>
      <c r="M33" s="65"/>
    </row>
    <row r="34" spans="1:13" s="4" customFormat="1" ht="25.5" x14ac:dyDescent="0.2">
      <c r="A34" s="36" t="s">
        <v>150</v>
      </c>
      <c r="B34" s="63" t="s">
        <v>106</v>
      </c>
      <c r="C34" s="64" t="s">
        <v>107</v>
      </c>
      <c r="D34" s="37">
        <v>2.9499999999999998E-2</v>
      </c>
      <c r="E34" s="38">
        <f>'Nov 12'!$D34*$C$6*$C$2</f>
        <v>4158040.1460375004</v>
      </c>
      <c r="F34" s="38">
        <v>125328.129032258</v>
      </c>
      <c r="G34" s="39">
        <f>'Nov 12'!$E34/'Nov 12'!$F34</f>
        <v>33.177229869658944</v>
      </c>
      <c r="H34" s="36">
        <v>31</v>
      </c>
      <c r="I34" s="36">
        <v>33</v>
      </c>
      <c r="J34" s="40">
        <f t="shared" si="1"/>
        <v>2</v>
      </c>
      <c r="K34" s="41">
        <f>'Nov 12'!$F34*'Nov 12'!$I34</f>
        <v>4135828.258064514</v>
      </c>
      <c r="L34" s="42">
        <f>'Nov 12'!$K34/$K$2</f>
        <v>2.4220482873308375E-2</v>
      </c>
      <c r="M34" s="65"/>
    </row>
    <row r="35" spans="1:13" s="4" customFormat="1" ht="25.5" x14ac:dyDescent="0.2">
      <c r="A35" s="36" t="s">
        <v>150</v>
      </c>
      <c r="B35" s="63" t="s">
        <v>108</v>
      </c>
      <c r="C35" s="64" t="s">
        <v>109</v>
      </c>
      <c r="D35" s="37">
        <v>2.9499999999999998E-2</v>
      </c>
      <c r="E35" s="38">
        <f>'Nov 12'!$D35*$C$6*$C$2</f>
        <v>4158040.1460375004</v>
      </c>
      <c r="F35" s="38">
        <v>137727.14285714299</v>
      </c>
      <c r="G35" s="39">
        <f>'Nov 12'!$E35/'Nov 12'!$F35</f>
        <v>30.190418967381131</v>
      </c>
      <c r="H35" s="36">
        <v>28</v>
      </c>
      <c r="I35" s="36">
        <v>30</v>
      </c>
      <c r="J35" s="40">
        <f t="shared" si="1"/>
        <v>2</v>
      </c>
      <c r="K35" s="41">
        <f>'Nov 12'!$F35*'Nov 12'!$I35</f>
        <v>4131814.2857142896</v>
      </c>
      <c r="L35" s="42">
        <f>'Nov 12'!$K35/$K$2</f>
        <v>2.4196976010233736E-2</v>
      </c>
      <c r="M35" s="65"/>
    </row>
    <row r="36" spans="1:13" s="4" customFormat="1" ht="25.5" x14ac:dyDescent="0.2">
      <c r="A36" s="36" t="s">
        <v>150</v>
      </c>
      <c r="B36" s="63" t="s">
        <v>114</v>
      </c>
      <c r="C36" s="64" t="s">
        <v>115</v>
      </c>
      <c r="D36" s="37">
        <v>2.9499999999999998E-2</v>
      </c>
      <c r="E36" s="38">
        <f>'Nov 12'!$D36*$C$6*$C$2</f>
        <v>4158040.1460375004</v>
      </c>
      <c r="F36" s="38">
        <v>220703.11111111101</v>
      </c>
      <c r="G36" s="39">
        <f>'Nov 12'!$E36/'Nov 12'!$F36</f>
        <v>18.839970696852443</v>
      </c>
      <c r="H36" s="36">
        <v>18</v>
      </c>
      <c r="I36" s="36">
        <v>19</v>
      </c>
      <c r="J36" s="40">
        <f t="shared" si="1"/>
        <v>1</v>
      </c>
      <c r="K36" s="41">
        <f>'Nov 12'!$F36*'Nov 12'!$I36</f>
        <v>4193359.1111111091</v>
      </c>
      <c r="L36" s="42">
        <f>'Nov 12'!$K36/$K$2</f>
        <v>2.4557398468917264E-2</v>
      </c>
      <c r="M36" s="65"/>
    </row>
    <row r="37" spans="1:13" s="46" customFormat="1" ht="25.5" customHeight="1" x14ac:dyDescent="0.25">
      <c r="A37" s="36" t="s">
        <v>151</v>
      </c>
      <c r="B37" s="36" t="s">
        <v>152</v>
      </c>
      <c r="C37" s="36" t="s">
        <v>63</v>
      </c>
      <c r="D37" s="37">
        <v>2.9499999999999998E-2</v>
      </c>
      <c r="E37" s="38">
        <f>'Nov 12'!$D37*$C$6*$C$2</f>
        <v>4158040.1460375004</v>
      </c>
      <c r="F37" s="38">
        <v>114285.256410256</v>
      </c>
      <c r="G37" s="39">
        <f>'Nov 12'!$E37/'Nov 12'!$F37</f>
        <v>36.382997043040774</v>
      </c>
      <c r="H37" s="36">
        <v>39</v>
      </c>
      <c r="I37" s="36">
        <v>36</v>
      </c>
      <c r="J37" s="40">
        <f t="shared" si="1"/>
        <v>-3</v>
      </c>
      <c r="K37" s="41">
        <f>'Nov 12'!$F37*'Nov 12'!$I37</f>
        <v>4114269.2307692161</v>
      </c>
      <c r="L37" s="42">
        <f>'Nov 12'!$K37/$K$2</f>
        <v>2.4094227618305278E-2</v>
      </c>
      <c r="M37" s="43"/>
    </row>
    <row r="38" spans="1:13" s="46" customFormat="1" ht="25.5" x14ac:dyDescent="0.25">
      <c r="A38" s="36" t="s">
        <v>151</v>
      </c>
      <c r="B38" s="36" t="s">
        <v>60</v>
      </c>
      <c r="C38" s="36" t="s">
        <v>61</v>
      </c>
      <c r="D38" s="37">
        <v>2.9499999999999998E-2</v>
      </c>
      <c r="E38" s="38">
        <f>'Nov 12'!$D38*$C$6*$C$2</f>
        <v>4158040.1460375004</v>
      </c>
      <c r="F38" s="38">
        <v>134391.448275862</v>
      </c>
      <c r="G38" s="39">
        <f>'Nov 12'!$E38/'Nov 12'!$F38</f>
        <v>30.939767368995042</v>
      </c>
      <c r="H38" s="36">
        <v>29</v>
      </c>
      <c r="I38" s="36">
        <v>31</v>
      </c>
      <c r="J38" s="40">
        <f t="shared" si="1"/>
        <v>2</v>
      </c>
      <c r="K38" s="41">
        <f>'Nov 12'!$F38*'Nov 12'!$I38</f>
        <v>4166134.8965517222</v>
      </c>
      <c r="L38" s="42">
        <f>'Nov 12'!$K38/$K$2</f>
        <v>2.4397966408074515E-2</v>
      </c>
      <c r="M38" s="43"/>
    </row>
    <row r="39" spans="1:13" s="46" customFormat="1" ht="25.5" x14ac:dyDescent="0.25">
      <c r="A39" s="36" t="s">
        <v>151</v>
      </c>
      <c r="B39" s="36" t="s">
        <v>56</v>
      </c>
      <c r="C39" s="36" t="s">
        <v>57</v>
      </c>
      <c r="D39" s="37">
        <v>2.9499999999999998E-2</v>
      </c>
      <c r="E39" s="38">
        <f>'Nov 12'!$D39*$C$6*$C$2</f>
        <v>4158040.1460375004</v>
      </c>
      <c r="F39" s="38">
        <v>176973.909090909</v>
      </c>
      <c r="G39" s="39">
        <f>'Nov 12'!$E39/'Nov 12'!$F39</f>
        <v>23.495215579498634</v>
      </c>
      <c r="H39" s="36">
        <v>22</v>
      </c>
      <c r="I39" s="36">
        <v>24</v>
      </c>
      <c r="J39" s="40">
        <f t="shared" si="1"/>
        <v>2</v>
      </c>
      <c r="K39" s="41">
        <f>'Nov 12'!$F39*'Nov 12'!$I39</f>
        <v>4247373.8181818165</v>
      </c>
      <c r="L39" s="42">
        <f>'Nov 12'!$K39/$K$2</f>
        <v>2.4873722601806928E-2</v>
      </c>
      <c r="M39" s="43"/>
    </row>
    <row r="40" spans="1:13" s="46" customFormat="1" ht="25.5" x14ac:dyDescent="0.25">
      <c r="A40" s="36" t="s">
        <v>151</v>
      </c>
      <c r="B40" s="36" t="s">
        <v>66</v>
      </c>
      <c r="C40" s="36" t="s">
        <v>67</v>
      </c>
      <c r="D40" s="37">
        <v>2.9499999999999998E-2</v>
      </c>
      <c r="E40" s="38">
        <f>'Nov 12'!$D40*$C$6*$C$2</f>
        <v>4158040.1460375004</v>
      </c>
      <c r="F40" s="38">
        <v>262336.40000000002</v>
      </c>
      <c r="G40" s="39">
        <f>'Nov 12'!$E40/'Nov 12'!$F40</f>
        <v>15.850031280590494</v>
      </c>
      <c r="H40" s="36">
        <v>15</v>
      </c>
      <c r="I40" s="36">
        <v>16</v>
      </c>
      <c r="J40" s="40">
        <f t="shared" si="1"/>
        <v>1</v>
      </c>
      <c r="K40" s="41">
        <f>'Nov 12'!$F40*'Nov 12'!$I40</f>
        <v>4197382.4000000004</v>
      </c>
      <c r="L40" s="42">
        <f>'Nov 12'!$K40/$K$2</f>
        <v>2.4580959892058506E-2</v>
      </c>
      <c r="M40" s="43"/>
    </row>
    <row r="41" spans="1:13" s="67" customFormat="1" ht="12.75" x14ac:dyDescent="0.2">
      <c r="A41" s="36"/>
      <c r="B41" s="64"/>
      <c r="C41" s="64"/>
      <c r="D41" s="37"/>
      <c r="E41" s="66"/>
      <c r="F41" s="38"/>
      <c r="G41" s="39"/>
      <c r="H41" s="36"/>
      <c r="I41" s="36"/>
      <c r="J41" s="48"/>
      <c r="K41" s="38"/>
      <c r="L41" s="49"/>
      <c r="M41" s="65"/>
    </row>
    <row r="42" spans="1:13" s="17" customFormat="1" ht="12.75" x14ac:dyDescent="0.2">
      <c r="A42" s="50" t="s">
        <v>153</v>
      </c>
      <c r="B42" s="68"/>
      <c r="C42" s="68"/>
      <c r="D42" s="58">
        <f>SUBTOTAL(9,D31:D41)</f>
        <v>0.29499999999999993</v>
      </c>
      <c r="E42" s="69">
        <f>'Nov 12'!$D42*$C$6*$C$2</f>
        <v>41580401.460374989</v>
      </c>
      <c r="F42" s="70"/>
      <c r="G42" s="71"/>
      <c r="H42" s="57"/>
      <c r="I42" s="57"/>
      <c r="J42" s="61"/>
      <c r="K42" s="69">
        <f>SUM(K31:K41)</f>
        <v>41754553.80231487</v>
      </c>
      <c r="L42" s="72">
        <f>'Nov 12'!$K42/$K$2</f>
        <v>0.24452549577696345</v>
      </c>
      <c r="M42" s="73"/>
    </row>
    <row r="43" spans="1:13" s="67" customFormat="1" ht="12.75" x14ac:dyDescent="0.2">
      <c r="A43" s="36"/>
      <c r="B43" s="64"/>
      <c r="C43" s="64"/>
      <c r="D43" s="37"/>
      <c r="E43" s="66"/>
      <c r="F43" s="38"/>
      <c r="G43" s="39"/>
      <c r="H43" s="36"/>
      <c r="I43" s="36"/>
      <c r="J43" s="48"/>
      <c r="K43" s="38"/>
      <c r="L43" s="42"/>
      <c r="M43" s="65"/>
    </row>
    <row r="44" spans="1:13" s="4" customFormat="1" ht="24.75" customHeight="1" x14ac:dyDescent="0.2">
      <c r="A44" s="36" t="s">
        <v>150</v>
      </c>
      <c r="B44" s="64" t="s">
        <v>110</v>
      </c>
      <c r="C44" s="64" t="s">
        <v>111</v>
      </c>
      <c r="D44" s="37">
        <v>0.1</v>
      </c>
      <c r="E44" s="38">
        <f>'Nov 12'!$D44*$C$6*$C$2</f>
        <v>14095051.342499999</v>
      </c>
      <c r="F44" s="38">
        <v>416334.5625</v>
      </c>
      <c r="G44" s="39">
        <f>'Nov 12'!$E44/'Nov 12'!$F44</f>
        <v>33.85510743538137</v>
      </c>
      <c r="H44" s="36">
        <v>48</v>
      </c>
      <c r="I44" s="36">
        <v>48</v>
      </c>
      <c r="J44" s="40">
        <f>I44-H44</f>
        <v>0</v>
      </c>
      <c r="K44" s="41">
        <f>'Nov 12'!$F44*'Nov 12'!$I44</f>
        <v>19984059</v>
      </c>
      <c r="L44" s="42">
        <f>'Nov 12'!$K44/$K$2</f>
        <v>0.11703183221036299</v>
      </c>
      <c r="M44" s="65"/>
    </row>
    <row r="45" spans="1:13" s="46" customFormat="1" ht="25.5" x14ac:dyDescent="0.25">
      <c r="A45" s="36" t="s">
        <v>151</v>
      </c>
      <c r="B45" s="36" t="s">
        <v>68</v>
      </c>
      <c r="C45" s="36" t="s">
        <v>69</v>
      </c>
      <c r="D45" s="37">
        <v>0.1</v>
      </c>
      <c r="E45" s="38">
        <f>'Nov 12'!$D45*$C$6*$C$2</f>
        <v>14095051.342499999</v>
      </c>
      <c r="F45" s="38">
        <v>249381.25</v>
      </c>
      <c r="G45" s="39">
        <f>'Nov 12'!$E45/'Nov 12'!$F45</f>
        <v>56.520092599182973</v>
      </c>
      <c r="H45" s="36">
        <v>80</v>
      </c>
      <c r="I45" s="36">
        <v>80</v>
      </c>
      <c r="J45" s="40">
        <f>I45-H45</f>
        <v>0</v>
      </c>
      <c r="K45" s="41">
        <f>'Nov 12'!$F45*'Nov 12'!$I45</f>
        <v>19950500</v>
      </c>
      <c r="L45" s="42">
        <f>'Nov 12'!$K45/$K$2</f>
        <v>0.11683530200310392</v>
      </c>
      <c r="M45" s="43"/>
    </row>
    <row r="46" spans="1:13" s="46" customFormat="1" ht="25.5" x14ac:dyDescent="0.25">
      <c r="A46" s="36" t="s">
        <v>151</v>
      </c>
      <c r="B46" s="36" t="s">
        <v>92</v>
      </c>
      <c r="C46" s="36" t="s">
        <v>93</v>
      </c>
      <c r="D46" s="37">
        <v>0.1</v>
      </c>
      <c r="E46" s="38">
        <f>'Nov 12'!$D46*$C$6*$C$2</f>
        <v>14095051.342499999</v>
      </c>
      <c r="F46" s="38">
        <v>416303.64583333302</v>
      </c>
      <c r="G46" s="39">
        <f>'Nov 12'!$E46/'Nov 12'!$F46</f>
        <v>33.857621674884264</v>
      </c>
      <c r="H46" s="36">
        <v>48</v>
      </c>
      <c r="I46" s="36">
        <v>48</v>
      </c>
      <c r="J46" s="40">
        <f>I46-H46</f>
        <v>0</v>
      </c>
      <c r="K46" s="41">
        <f>'Nov 12'!$F46*'Nov 12'!$I46</f>
        <v>19982574.999999985</v>
      </c>
      <c r="L46" s="42">
        <f>'Nov 12'!$K46/$K$2</f>
        <v>0.11702314152149934</v>
      </c>
      <c r="M46" s="43"/>
    </row>
    <row r="47" spans="1:13" s="46" customFormat="1" ht="25.5" x14ac:dyDescent="0.25">
      <c r="A47" s="36" t="s">
        <v>151</v>
      </c>
      <c r="B47" s="36" t="s">
        <v>95</v>
      </c>
      <c r="C47" s="36" t="s">
        <v>96</v>
      </c>
      <c r="D47" s="37">
        <v>0.1</v>
      </c>
      <c r="E47" s="38">
        <f>'Nov 12'!$D47*$C$6*$C$2</f>
        <v>14095051.342499999</v>
      </c>
      <c r="F47" s="38">
        <v>249775.53750000001</v>
      </c>
      <c r="G47" s="39">
        <f>'Nov 12'!$E47/'Nov 12'!$F47</f>
        <v>56.430871828271009</v>
      </c>
      <c r="H47" s="36">
        <v>80</v>
      </c>
      <c r="I47" s="36">
        <v>80</v>
      </c>
      <c r="J47" s="40">
        <f>I47-H47</f>
        <v>0</v>
      </c>
      <c r="K47" s="41">
        <f>'Nov 12'!$F47*'Nov 12'!$I47</f>
        <v>19982043</v>
      </c>
      <c r="L47" s="42">
        <f>'Nov 12'!$K47/$K$2</f>
        <v>0.11702002599152947</v>
      </c>
      <c r="M47" s="43"/>
    </row>
    <row r="48" spans="1:13" s="46" customFormat="1" ht="25.5" x14ac:dyDescent="0.25">
      <c r="A48" s="36" t="s">
        <v>151</v>
      </c>
      <c r="B48" s="36" t="s">
        <v>77</v>
      </c>
      <c r="C48" s="36" t="s">
        <v>78</v>
      </c>
      <c r="D48" s="37">
        <v>0.1</v>
      </c>
      <c r="E48" s="38">
        <f>'Nov 12'!$D48*$C$6*$C$2</f>
        <v>14095051.342499999</v>
      </c>
      <c r="F48" s="38">
        <v>164742.336065574</v>
      </c>
      <c r="G48" s="39">
        <f>'Nov 12'!$E48/'Nov 12'!$F48</f>
        <v>85.558161181407613</v>
      </c>
      <c r="H48" s="36">
        <v>122</v>
      </c>
      <c r="I48" s="36">
        <v>122</v>
      </c>
      <c r="J48" s="40">
        <f>I48-H48</f>
        <v>0</v>
      </c>
      <c r="K48" s="41">
        <f>'Nov 12'!$F48*'Nov 12'!$I48</f>
        <v>20098565.000000026</v>
      </c>
      <c r="L48" s="42">
        <f>'Nov 12'!$K48/$K$2</f>
        <v>0.11770240904258127</v>
      </c>
      <c r="M48" s="43"/>
    </row>
    <row r="49" spans="1:16" s="47" customFormat="1" ht="12.75" x14ac:dyDescent="0.25">
      <c r="A49" s="36"/>
      <c r="B49" s="36"/>
      <c r="C49" s="36"/>
      <c r="D49" s="37"/>
      <c r="E49" s="38"/>
      <c r="F49" s="38"/>
      <c r="G49" s="39"/>
      <c r="H49" s="36"/>
      <c r="I49" s="36"/>
      <c r="J49" s="48"/>
      <c r="K49" s="38"/>
      <c r="L49" s="42"/>
      <c r="M49" s="36"/>
    </row>
    <row r="50" spans="1:16" s="56" customFormat="1" ht="25.5" x14ac:dyDescent="0.25">
      <c r="A50" s="50" t="s">
        <v>154</v>
      </c>
      <c r="B50" s="50"/>
      <c r="C50" s="50"/>
      <c r="D50" s="58">
        <f>SUBTOTAL(9,D44:D49)</f>
        <v>0.5</v>
      </c>
      <c r="E50" s="52">
        <f>'Nov 12'!$D50*$C$6*$C$2</f>
        <v>70475256.712500006</v>
      </c>
      <c r="F50" s="71"/>
      <c r="G50" s="71"/>
      <c r="H50" s="57"/>
      <c r="I50" s="57"/>
      <c r="J50" s="61"/>
      <c r="K50" s="52">
        <f>SUM(K44:K49)</f>
        <v>99997742.000000015</v>
      </c>
      <c r="L50" s="74">
        <f>'Nov 12'!$K50/$K$2</f>
        <v>0.58561271076907706</v>
      </c>
      <c r="M50" s="50"/>
    </row>
    <row r="51" spans="1:16" s="47" customFormat="1" ht="12.75" x14ac:dyDescent="0.25">
      <c r="A51" s="36"/>
      <c r="B51" s="36"/>
      <c r="C51" s="36"/>
      <c r="D51" s="37"/>
      <c r="E51" s="38"/>
      <c r="F51" s="38"/>
      <c r="G51" s="39"/>
      <c r="H51" s="36"/>
      <c r="I51" s="36"/>
      <c r="J51" s="48"/>
      <c r="K51" s="38"/>
      <c r="L51" s="42"/>
      <c r="M51" s="36"/>
    </row>
    <row r="52" spans="1:16" s="46" customFormat="1" ht="12.75" x14ac:dyDescent="0.25">
      <c r="A52" s="36"/>
      <c r="B52" s="36"/>
      <c r="C52" s="36"/>
      <c r="D52" s="37"/>
      <c r="E52" s="38"/>
      <c r="F52" s="38"/>
      <c r="G52" s="75"/>
      <c r="H52" s="36"/>
      <c r="I52" s="36"/>
      <c r="J52" s="40"/>
      <c r="K52" s="41"/>
      <c r="L52" s="42"/>
      <c r="M52" s="43"/>
    </row>
    <row r="53" spans="1:16" s="46" customFormat="1" ht="25.5" x14ac:dyDescent="0.25">
      <c r="A53" s="36" t="s">
        <v>155</v>
      </c>
      <c r="B53" s="36" t="s">
        <v>53</v>
      </c>
      <c r="C53" s="36" t="s">
        <v>54</v>
      </c>
      <c r="D53" s="37">
        <v>1E-3</v>
      </c>
      <c r="E53" s="38">
        <f>'Nov 12'!$D53*$C$6*$C$2</f>
        <v>140950.51342500001</v>
      </c>
      <c r="F53" s="38">
        <v>47998</v>
      </c>
      <c r="G53" s="75">
        <f>'Nov 12'!$E53/'Nov 12'!$F53</f>
        <v>2.936591387661986</v>
      </c>
      <c r="H53" s="36">
        <v>3</v>
      </c>
      <c r="I53" s="36">
        <v>3</v>
      </c>
      <c r="J53" s="40">
        <f t="shared" ref="J53:J62" si="2">I53-H53</f>
        <v>0</v>
      </c>
      <c r="K53" s="41">
        <f>'Nov 12'!$F53*'Nov 12'!$I53</f>
        <v>143994</v>
      </c>
      <c r="L53" s="42">
        <f>'Nov 12'!$K53/$K$2</f>
        <v>8.4326620769579444E-4</v>
      </c>
      <c r="M53" s="43"/>
    </row>
    <row r="54" spans="1:16" s="46" customFormat="1" ht="25.5" x14ac:dyDescent="0.25">
      <c r="A54" s="36" t="s">
        <v>155</v>
      </c>
      <c r="B54" s="36" t="s">
        <v>71</v>
      </c>
      <c r="C54" s="36" t="s">
        <v>72</v>
      </c>
      <c r="D54" s="37">
        <v>1E-3</v>
      </c>
      <c r="E54" s="38">
        <f>'Nov 12'!$D54*$C$6*$C$2</f>
        <v>140950.51342500001</v>
      </c>
      <c r="F54" s="38">
        <v>78565</v>
      </c>
      <c r="G54" s="75">
        <f>'Nov 12'!$E54/'Nov 12'!$F54</f>
        <v>1.7940624123337365</v>
      </c>
      <c r="H54" s="36">
        <v>2</v>
      </c>
      <c r="I54" s="36">
        <v>2</v>
      </c>
      <c r="J54" s="40">
        <f t="shared" si="2"/>
        <v>0</v>
      </c>
      <c r="K54" s="41">
        <f>'Nov 12'!$F54*'Nov 12'!$I54</f>
        <v>157130</v>
      </c>
      <c r="L54" s="42">
        <f>'Nov 12'!$K54/$K$2</f>
        <v>9.2019403041265736E-4</v>
      </c>
      <c r="M54" s="43"/>
      <c r="P54" s="46" t="s">
        <v>159</v>
      </c>
    </row>
    <row r="55" spans="1:16" s="46" customFormat="1" ht="25.5" x14ac:dyDescent="0.25">
      <c r="A55" s="36" t="s">
        <v>155</v>
      </c>
      <c r="B55" s="36" t="s">
        <v>83</v>
      </c>
      <c r="C55" s="36" t="s">
        <v>84</v>
      </c>
      <c r="D55" s="37">
        <v>1E-3</v>
      </c>
      <c r="E55" s="38">
        <f>'Nov 12'!$D55*$C$6*$C$2</f>
        <v>140950.51342500001</v>
      </c>
      <c r="F55" s="38">
        <v>95378</v>
      </c>
      <c r="G55" s="75">
        <f>'Nov 12'!$E55/'Nov 12'!$F55</f>
        <v>1.4778094888234186</v>
      </c>
      <c r="H55" s="36">
        <v>1</v>
      </c>
      <c r="I55" s="36">
        <v>1</v>
      </c>
      <c r="J55" s="40">
        <f t="shared" si="2"/>
        <v>0</v>
      </c>
      <c r="K55" s="41">
        <f>'Nov 12'!$F55*'Nov 12'!$I55</f>
        <v>95378</v>
      </c>
      <c r="L55" s="42">
        <f>'Nov 12'!$K55/$K$2</f>
        <v>5.5855830352382382E-4</v>
      </c>
      <c r="M55" s="43"/>
    </row>
    <row r="56" spans="1:16" s="46" customFormat="1" ht="25.5" x14ac:dyDescent="0.25">
      <c r="A56" s="36" t="s">
        <v>155</v>
      </c>
      <c r="B56" s="36" t="s">
        <v>161</v>
      </c>
      <c r="C56" s="36" t="s">
        <v>86</v>
      </c>
      <c r="D56" s="37">
        <v>1E-3</v>
      </c>
      <c r="E56" s="38">
        <f>'Nov 12'!$D56*$C$6*$C$2</f>
        <v>140950.51342500001</v>
      </c>
      <c r="F56" s="38">
        <v>234788</v>
      </c>
      <c r="G56" s="75">
        <f>'Nov 12'!$E56/'Nov 12'!$F56</f>
        <v>0.60033099402439649</v>
      </c>
      <c r="H56" s="36">
        <v>1</v>
      </c>
      <c r="I56" s="36">
        <v>1</v>
      </c>
      <c r="J56" s="40">
        <f t="shared" si="2"/>
        <v>0</v>
      </c>
      <c r="K56" s="41">
        <f>'Nov 12'!$F56*'Nov 12'!$I56</f>
        <v>234788</v>
      </c>
      <c r="L56" s="42">
        <f>'Nov 12'!$K56/$K$2</f>
        <v>1.3749794183957678E-3</v>
      </c>
      <c r="M56" s="43"/>
    </row>
    <row r="57" spans="1:16" s="46" customFormat="1" ht="25.5" x14ac:dyDescent="0.25">
      <c r="A57" s="36" t="s">
        <v>155</v>
      </c>
      <c r="B57" s="36" t="s">
        <v>87</v>
      </c>
      <c r="C57" s="36" t="s">
        <v>88</v>
      </c>
      <c r="D57" s="37">
        <v>1E-3</v>
      </c>
      <c r="E57" s="38">
        <f>'Nov 12'!$D57*$C$6*$C$2</f>
        <v>140950.51342500001</v>
      </c>
      <c r="F57" s="38">
        <v>11991.272727272701</v>
      </c>
      <c r="G57" s="75">
        <f>'Nov 12'!$E57/'Nov 12'!$F57</f>
        <v>11.754424791325537</v>
      </c>
      <c r="H57" s="36">
        <v>11</v>
      </c>
      <c r="I57" s="36">
        <v>12</v>
      </c>
      <c r="J57" s="40">
        <f t="shared" si="2"/>
        <v>1</v>
      </c>
      <c r="K57" s="41">
        <f>'Nov 12'!$F57*'Nov 12'!$I57</f>
        <v>143895.27272727242</v>
      </c>
      <c r="L57" s="42">
        <f>'Nov 12'!$K57/$K$2</f>
        <v>8.4268803518257069E-4</v>
      </c>
      <c r="M57" s="43"/>
    </row>
    <row r="58" spans="1:16" s="46" customFormat="1" ht="25.5" x14ac:dyDescent="0.25">
      <c r="A58" s="36" t="s">
        <v>155</v>
      </c>
      <c r="B58" s="36" t="s">
        <v>90</v>
      </c>
      <c r="C58" s="36" t="s">
        <v>91</v>
      </c>
      <c r="D58" s="37">
        <v>1E-3</v>
      </c>
      <c r="E58" s="38">
        <f>'Nov 12'!$D58*$C$6*$C$2</f>
        <v>140950.51342500001</v>
      </c>
      <c r="F58" s="38">
        <v>91232</v>
      </c>
      <c r="G58" s="75">
        <f>'Nov 12'!$E58/'Nov 12'!$F58</f>
        <v>1.544967921617415</v>
      </c>
      <c r="H58" s="36">
        <v>1</v>
      </c>
      <c r="I58" s="36">
        <v>2</v>
      </c>
      <c r="J58" s="40">
        <f t="shared" si="2"/>
        <v>1</v>
      </c>
      <c r="K58" s="41">
        <f>'Nov 12'!$F58*'Nov 12'!$I58</f>
        <v>182464</v>
      </c>
      <c r="L58" s="42">
        <f>'Nov 12'!$K58/$K$2</f>
        <v>1.068556504583562E-3</v>
      </c>
      <c r="M58" s="43"/>
    </row>
    <row r="59" spans="1:16" s="4" customFormat="1" ht="25.5" x14ac:dyDescent="0.2">
      <c r="A59" s="36" t="s">
        <v>155</v>
      </c>
      <c r="B59" s="64" t="s">
        <v>112</v>
      </c>
      <c r="C59" s="64" t="s">
        <v>113</v>
      </c>
      <c r="D59" s="37">
        <v>1E-3</v>
      </c>
      <c r="E59" s="38">
        <f>'Nov 12'!$D59*$C$6*$C$2</f>
        <v>140950.51342500001</v>
      </c>
      <c r="F59" s="38">
        <v>65102.5</v>
      </c>
      <c r="G59" s="75">
        <f>'Nov 12'!$E59/'Nov 12'!$F59</f>
        <v>2.1650553116239779</v>
      </c>
      <c r="H59" s="36">
        <v>2</v>
      </c>
      <c r="I59" s="36">
        <v>2</v>
      </c>
      <c r="J59" s="40">
        <f t="shared" si="2"/>
        <v>0</v>
      </c>
      <c r="K59" s="41">
        <f>'Nov 12'!$F59*'Nov 12'!$I59</f>
        <v>130205</v>
      </c>
      <c r="L59" s="42">
        <f>'Nov 12'!$K59/$K$2</f>
        <v>7.6251424762858804E-4</v>
      </c>
      <c r="M59" s="65"/>
    </row>
    <row r="60" spans="1:16" s="46" customFormat="1" ht="25.5" x14ac:dyDescent="0.25">
      <c r="A60" s="36" t="s">
        <v>155</v>
      </c>
      <c r="B60" s="36" t="s">
        <v>164</v>
      </c>
      <c r="C60" s="36" t="s">
        <v>82</v>
      </c>
      <c r="D60" s="37">
        <v>1E-3</v>
      </c>
      <c r="E60" s="38">
        <f>'Nov 12'!$D60*$C$6*$C$2</f>
        <v>140950.51342500001</v>
      </c>
      <c r="F60" s="38">
        <v>30180</v>
      </c>
      <c r="G60" s="75">
        <f>'Nov 12'!$E60/'Nov 12'!$F60</f>
        <v>4.6703284766401598</v>
      </c>
      <c r="H60" s="36">
        <v>4</v>
      </c>
      <c r="I60" s="36">
        <v>5</v>
      </c>
      <c r="J60" s="40">
        <f t="shared" si="2"/>
        <v>1</v>
      </c>
      <c r="K60" s="41">
        <f>'Nov 12'!$F60*'Nov 12'!$I60</f>
        <v>150900</v>
      </c>
      <c r="L60" s="42">
        <f>'Nov 12'!$K60/$K$2</f>
        <v>8.837095347118309E-4</v>
      </c>
      <c r="M60" s="43"/>
    </row>
    <row r="61" spans="1:16" s="46" customFormat="1" ht="25.5" x14ac:dyDescent="0.25">
      <c r="A61" s="36" t="s">
        <v>155</v>
      </c>
      <c r="B61" s="36" t="s">
        <v>100</v>
      </c>
      <c r="C61" s="36" t="s">
        <v>101</v>
      </c>
      <c r="D61" s="37">
        <v>1E-3</v>
      </c>
      <c r="E61" s="38">
        <f>'Nov 12'!$D61*$C$6*$C$2</f>
        <v>140950.51342500001</v>
      </c>
      <c r="F61" s="38">
        <v>7952.7058823529396</v>
      </c>
      <c r="G61" s="75">
        <f>'Nov 12'!$E61/'Nov 12'!$F61</f>
        <v>17.723591883080864</v>
      </c>
      <c r="H61" s="36">
        <v>17</v>
      </c>
      <c r="I61" s="36">
        <v>18</v>
      </c>
      <c r="J61" s="40">
        <f t="shared" si="2"/>
        <v>1</v>
      </c>
      <c r="K61" s="41">
        <f>'Nov 12'!$F61*'Nov 12'!$I61</f>
        <v>143148.70588235292</v>
      </c>
      <c r="L61" s="42">
        <f>'Nov 12'!$K61/$K$2</f>
        <v>8.383159461225635E-4</v>
      </c>
      <c r="M61" s="43"/>
    </row>
    <row r="62" spans="1:16" s="46" customFormat="1" ht="25.5" x14ac:dyDescent="0.25">
      <c r="A62" s="36" t="s">
        <v>155</v>
      </c>
      <c r="B62" s="36" t="s">
        <v>174</v>
      </c>
      <c r="C62" s="36" t="s">
        <v>75</v>
      </c>
      <c r="D62" s="37">
        <v>1E-3</v>
      </c>
      <c r="E62" s="38">
        <f>'Nov 12'!$D62*$C$6*$C$2</f>
        <v>140950.51342500001</v>
      </c>
      <c r="F62" s="38">
        <v>27518.400000000001</v>
      </c>
      <c r="G62" s="75">
        <f>'Nov 12'!$E62/'Nov 12'!$F62</f>
        <v>5.1220461009724403</v>
      </c>
      <c r="H62" s="36">
        <v>5</v>
      </c>
      <c r="I62" s="36">
        <v>5</v>
      </c>
      <c r="J62" s="40">
        <f t="shared" si="2"/>
        <v>0</v>
      </c>
      <c r="K62" s="41">
        <f>'Nov 12'!$F62*'Nov 12'!$I62</f>
        <v>137592</v>
      </c>
      <c r="L62" s="42">
        <f>'Nov 12'!$K62/$K$2</f>
        <v>8.0577443538813937E-4</v>
      </c>
      <c r="M62" s="43"/>
    </row>
    <row r="63" spans="1:16" s="46" customFormat="1" ht="12.75" x14ac:dyDescent="0.25">
      <c r="A63" s="36"/>
      <c r="B63" s="36"/>
      <c r="C63" s="36"/>
      <c r="D63" s="37"/>
      <c r="E63" s="38"/>
      <c r="F63" s="38"/>
      <c r="G63" s="39"/>
      <c r="H63" s="36"/>
      <c r="I63" s="36"/>
      <c r="J63" s="43"/>
      <c r="K63" s="41"/>
      <c r="L63" s="42"/>
      <c r="M63" s="43"/>
    </row>
    <row r="64" spans="1:16" s="46" customFormat="1" ht="12.75" x14ac:dyDescent="0.25">
      <c r="A64" s="36"/>
      <c r="B64" s="36"/>
      <c r="C64" s="36"/>
      <c r="D64" s="37"/>
      <c r="E64" s="38"/>
      <c r="F64" s="38"/>
      <c r="G64" s="39"/>
      <c r="H64" s="36"/>
      <c r="I64" s="36"/>
      <c r="J64" s="43"/>
      <c r="K64" s="41"/>
      <c r="L64" s="42"/>
      <c r="M64" s="43"/>
    </row>
    <row r="65" spans="1:13" s="17" customFormat="1" ht="12.75" x14ac:dyDescent="0.2">
      <c r="A65" s="50" t="s">
        <v>167</v>
      </c>
      <c r="B65" s="68"/>
      <c r="C65" s="68"/>
      <c r="D65" s="76">
        <f>SUM(D53:D64)</f>
        <v>1.0000000000000002E-2</v>
      </c>
      <c r="E65" s="52">
        <f>SUM(E52:E64)</f>
        <v>1409505.1342500001</v>
      </c>
      <c r="F65" s="71"/>
      <c r="G65" s="71"/>
      <c r="H65" s="68"/>
      <c r="I65" s="68"/>
      <c r="J65" s="50"/>
      <c r="K65" s="52">
        <f>SUM(K52:K64)</f>
        <v>1519494.9786096255</v>
      </c>
      <c r="L65" s="55">
        <f>'Nov 12'!$K65/$K$2</f>
        <v>8.8985566636452986E-3</v>
      </c>
      <c r="M65" s="62"/>
    </row>
    <row r="66" spans="1:13" s="4" customFormat="1" ht="12.75" x14ac:dyDescent="0.2">
      <c r="A66" s="36"/>
      <c r="B66" s="64"/>
      <c r="C66" s="64"/>
      <c r="D66" s="77"/>
      <c r="E66" s="38"/>
      <c r="F66" s="38"/>
      <c r="G66" s="39"/>
      <c r="H66" s="64"/>
      <c r="I66" s="64"/>
      <c r="J66" s="36"/>
      <c r="K66" s="36"/>
      <c r="L66" s="42"/>
      <c r="M66" s="65"/>
    </row>
    <row r="67" spans="1:13" s="46" customFormat="1" ht="25.5" x14ac:dyDescent="0.25">
      <c r="A67" s="50" t="s">
        <v>168</v>
      </c>
      <c r="B67" s="57" t="s">
        <v>169</v>
      </c>
      <c r="C67" s="57" t="s">
        <v>170</v>
      </c>
      <c r="D67" s="58">
        <v>0</v>
      </c>
      <c r="E67" s="59">
        <f>'Nov 12'!$D67*$C$6*$C$2</f>
        <v>0</v>
      </c>
      <c r="F67" s="59">
        <v>0</v>
      </c>
      <c r="G67" s="60" t="s">
        <v>175</v>
      </c>
      <c r="H67" s="57">
        <v>0</v>
      </c>
      <c r="I67" s="57">
        <v>0</v>
      </c>
      <c r="J67" s="78">
        <f>I67-H67</f>
        <v>0</v>
      </c>
      <c r="K67" s="59">
        <f>'Nov 12'!$F67*'Nov 12'!$I67</f>
        <v>0</v>
      </c>
      <c r="L67" s="79">
        <f>'Nov 12'!$K67/$K$2</f>
        <v>0</v>
      </c>
      <c r="M67" s="57"/>
    </row>
    <row r="68" spans="1:13" s="4" customFormat="1" ht="12.75" x14ac:dyDescent="0.2">
      <c r="A68" s="36"/>
      <c r="B68" s="64"/>
      <c r="C68" s="64"/>
      <c r="D68" s="77"/>
      <c r="E68" s="38"/>
      <c r="F68" s="38"/>
      <c r="G68" s="39"/>
      <c r="H68" s="64"/>
      <c r="I68" s="64"/>
      <c r="J68" s="36"/>
      <c r="K68" s="36"/>
      <c r="L68" s="42"/>
      <c r="M68" s="65"/>
    </row>
    <row r="69" spans="1:13" s="4" customFormat="1" ht="12.75" x14ac:dyDescent="0.2">
      <c r="A69" s="36"/>
      <c r="B69" s="64"/>
      <c r="C69" s="64"/>
      <c r="D69" s="80"/>
      <c r="E69" s="66"/>
      <c r="F69" s="38"/>
      <c r="G69" s="39"/>
      <c r="H69" s="64"/>
      <c r="I69" s="64"/>
      <c r="J69" s="36"/>
      <c r="K69" s="36"/>
      <c r="L69" s="42"/>
      <c r="M69" s="65"/>
    </row>
    <row r="70" spans="1:13" s="17" customFormat="1" ht="12.75" x14ac:dyDescent="0.2">
      <c r="A70" s="50" t="s">
        <v>171</v>
      </c>
      <c r="B70" s="68"/>
      <c r="C70" s="68"/>
      <c r="D70" s="68"/>
      <c r="E70" s="81"/>
      <c r="F70" s="81"/>
      <c r="G70" s="50"/>
      <c r="H70" s="68"/>
      <c r="I70" s="68"/>
      <c r="J70" s="68"/>
      <c r="K70" s="81">
        <f>SUM(K27,K29,K42,K50,K65,K67:K67)</f>
        <v>170757465.06368408</v>
      </c>
      <c r="L70" s="55">
        <f>'Nov 12'!$K70/$K$2</f>
        <v>0.99999999999999978</v>
      </c>
      <c r="M70" s="68"/>
    </row>
    <row r="71" spans="1:13" s="4" customFormat="1" ht="12.75" x14ac:dyDescent="0.2">
      <c r="A71" s="65"/>
      <c r="B71" s="65"/>
      <c r="C71" s="65"/>
      <c r="D71" s="82"/>
      <c r="E71" s="83"/>
      <c r="F71" s="38"/>
      <c r="G71" s="84"/>
      <c r="H71" s="65"/>
      <c r="I71" s="65"/>
      <c r="J71" s="65"/>
      <c r="K71" s="65"/>
      <c r="L71" s="42"/>
      <c r="M71" s="65"/>
    </row>
    <row r="72" spans="1:13" s="4" customFormat="1" ht="12.75" x14ac:dyDescent="0.2">
      <c r="A72" s="65"/>
      <c r="B72" s="65"/>
      <c r="C72" s="65"/>
      <c r="D72" s="82"/>
      <c r="E72" s="83"/>
      <c r="F72" s="38"/>
      <c r="G72" s="84"/>
      <c r="H72" s="65"/>
      <c r="I72" s="65"/>
      <c r="J72" s="65"/>
      <c r="K72" s="65"/>
      <c r="L72" s="42"/>
      <c r="M72" s="65"/>
    </row>
    <row r="73" spans="1:13" s="4" customFormat="1" ht="12.75" x14ac:dyDescent="0.2">
      <c r="A73" s="65"/>
      <c r="B73" s="65"/>
      <c r="C73" s="65"/>
      <c r="D73" s="82"/>
      <c r="E73" s="83"/>
      <c r="F73" s="38"/>
      <c r="G73" s="84"/>
      <c r="H73" s="65"/>
      <c r="I73" s="65"/>
      <c r="J73" s="65"/>
      <c r="K73" s="65"/>
      <c r="L73" s="42"/>
      <c r="M73" s="65"/>
    </row>
    <row r="74" spans="1:13" s="4" customFormat="1" ht="12.75" x14ac:dyDescent="0.2">
      <c r="A74" s="65"/>
      <c r="B74" s="65"/>
      <c r="C74" s="65"/>
      <c r="D74" s="82"/>
      <c r="E74" s="83"/>
      <c r="F74" s="38"/>
      <c r="G74" s="84"/>
      <c r="H74" s="65"/>
      <c r="I74" s="65"/>
      <c r="J74" s="65"/>
      <c r="K74" s="65"/>
      <c r="L74" s="42"/>
      <c r="M74" s="65"/>
    </row>
    <row r="75" spans="1:13" s="4" customFormat="1" ht="12.75" x14ac:dyDescent="0.2">
      <c r="A75" s="65"/>
      <c r="B75" s="65"/>
      <c r="C75" s="65"/>
      <c r="D75" s="82"/>
      <c r="E75" s="83"/>
      <c r="F75" s="38"/>
      <c r="G75" s="84"/>
      <c r="H75" s="65"/>
      <c r="I75" s="65"/>
      <c r="J75" s="65"/>
      <c r="K75" s="65"/>
      <c r="L75" s="42"/>
      <c r="M75" s="65"/>
    </row>
    <row r="76" spans="1:13" s="4" customFormat="1" ht="12.75" x14ac:dyDescent="0.2">
      <c r="A76" s="65"/>
      <c r="B76" s="65"/>
      <c r="C76" s="65"/>
      <c r="D76" s="82"/>
      <c r="E76" s="83"/>
      <c r="F76" s="38"/>
      <c r="G76" s="84"/>
      <c r="H76" s="65"/>
      <c r="I76" s="65"/>
      <c r="J76" s="65"/>
      <c r="K76" s="65"/>
      <c r="L76" s="42"/>
      <c r="M76" s="65"/>
    </row>
    <row r="77" spans="1:13" s="4" customFormat="1" ht="12.75" x14ac:dyDescent="0.2">
      <c r="A77" s="65"/>
      <c r="B77" s="65"/>
      <c r="C77" s="65"/>
      <c r="D77" s="82"/>
      <c r="E77" s="83"/>
      <c r="F77" s="38"/>
      <c r="G77" s="84"/>
      <c r="H77" s="65"/>
      <c r="I77" s="65"/>
      <c r="J77" s="65"/>
      <c r="K77" s="65"/>
      <c r="L77" s="42"/>
      <c r="M77" s="65"/>
    </row>
    <row r="78" spans="1:13" s="4" customFormat="1" ht="12.75" x14ac:dyDescent="0.2">
      <c r="A78" s="65"/>
      <c r="B78" s="65"/>
      <c r="C78" s="65"/>
      <c r="D78" s="82"/>
      <c r="E78" s="83"/>
      <c r="F78" s="38"/>
      <c r="G78" s="84"/>
      <c r="H78" s="65"/>
      <c r="I78" s="65"/>
      <c r="J78" s="65"/>
      <c r="K78" s="65"/>
      <c r="L78" s="42"/>
      <c r="M78" s="65"/>
    </row>
    <row r="79" spans="1:13" s="4" customFormat="1" ht="12.75" x14ac:dyDescent="0.2">
      <c r="A79" s="65"/>
      <c r="B79" s="65"/>
      <c r="C79" s="65"/>
      <c r="D79" s="82"/>
      <c r="E79" s="83"/>
      <c r="F79" s="38"/>
      <c r="G79" s="84"/>
      <c r="H79" s="65"/>
      <c r="I79" s="65"/>
      <c r="J79" s="65"/>
      <c r="K79" s="65"/>
      <c r="L79" s="42"/>
      <c r="M79" s="65"/>
    </row>
    <row r="80" spans="1:13" s="4" customFormat="1" ht="12.75" x14ac:dyDescent="0.2"/>
    <row r="81" spans="1:13" s="4" customFormat="1" ht="12.75" x14ac:dyDescent="0.2"/>
    <row r="83" spans="1:13" s="4" customFormat="1" ht="12.75" x14ac:dyDescent="0.2">
      <c r="A83" s="85"/>
      <c r="B83" s="85"/>
      <c r="E83" s="85"/>
      <c r="F83" s="85"/>
      <c r="G83" s="85"/>
      <c r="H83" s="86"/>
      <c r="M83" s="85"/>
    </row>
    <row r="84" spans="1:13" s="4" customFormat="1" ht="12.75" x14ac:dyDescent="0.2">
      <c r="A84" s="85"/>
      <c r="B84" s="85"/>
      <c r="E84" s="85"/>
      <c r="F84" s="85"/>
      <c r="G84" s="85"/>
      <c r="H84" s="86"/>
      <c r="M84" s="85"/>
    </row>
    <row r="85" spans="1:13" s="4" customFormat="1" ht="12.75" x14ac:dyDescent="0.2">
      <c r="A85" s="87"/>
      <c r="B85" s="87"/>
    </row>
    <row r="86" spans="1:13" s="4" customFormat="1" ht="12.75" x14ac:dyDescent="0.2">
      <c r="A86" s="88"/>
      <c r="B86" s="88"/>
      <c r="E86" s="88"/>
      <c r="F86" s="87"/>
      <c r="G86" s="87"/>
      <c r="M86" s="89"/>
    </row>
    <row r="87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H87"/>
  <sheetViews>
    <sheetView zoomScale="140" zoomScaleNormal="140" workbookViewId="0">
      <pane xSplit="2" topLeftCell="H1" activePane="topRight" state="frozen"/>
      <selection pane="topRight" activeCell="I6" sqref="I6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116</v>
      </c>
      <c r="C1" s="6">
        <v>44148</v>
      </c>
      <c r="D1" s="7"/>
      <c r="E1" s="8" t="s">
        <v>117</v>
      </c>
      <c r="F1" s="9"/>
      <c r="G1" s="10"/>
      <c r="K1" s="11" t="s">
        <v>118</v>
      </c>
      <c r="L1" s="11" t="s">
        <v>119</v>
      </c>
      <c r="M1" s="12" t="s">
        <v>120</v>
      </c>
    </row>
    <row r="2" spans="1:17" x14ac:dyDescent="0.25">
      <c r="A2" s="5"/>
      <c r="B2" s="5" t="s">
        <v>121</v>
      </c>
      <c r="C2" s="13">
        <v>6.1</v>
      </c>
      <c r="D2" s="14"/>
      <c r="E2" s="15">
        <f>SUM(E27,E42,E50,E65,E29,E67)</f>
        <v>152013786.62900001</v>
      </c>
      <c r="F2" s="16"/>
      <c r="G2" s="17"/>
      <c r="H2" s="14"/>
      <c r="I2" s="14"/>
      <c r="J2" s="14"/>
      <c r="K2" s="15">
        <f>SUM(K27,K42,K50,K65,K29,K67:K67)</f>
        <v>175978795.26303452</v>
      </c>
      <c r="L2" s="18">
        <f>SUM(L50,L65,L42,L27,L29,L67)</f>
        <v>0.99999999999999989</v>
      </c>
      <c r="M2" s="19">
        <f>K2/$C$6</f>
        <v>7.0616664113787833</v>
      </c>
      <c r="N2" s="20"/>
    </row>
    <row r="3" spans="1:17" ht="26.25" x14ac:dyDescent="0.25">
      <c r="A3" s="5"/>
      <c r="B3" s="5" t="s">
        <v>122</v>
      </c>
      <c r="C3" s="21">
        <v>24920292.890000001</v>
      </c>
      <c r="D3" s="22"/>
      <c r="E3" s="8" t="s">
        <v>123</v>
      </c>
      <c r="F3" s="16"/>
      <c r="H3" s="14"/>
      <c r="I3" s="14"/>
      <c r="J3" s="14"/>
      <c r="K3" s="8" t="s">
        <v>123</v>
      </c>
      <c r="L3" s="14"/>
      <c r="M3" s="12" t="s">
        <v>124</v>
      </c>
      <c r="N3" s="23"/>
    </row>
    <row r="4" spans="1:17" x14ac:dyDescent="0.25">
      <c r="A4" s="5"/>
      <c r="B4" s="5" t="s">
        <v>125</v>
      </c>
      <c r="C4" s="21">
        <v>0</v>
      </c>
      <c r="D4" s="22"/>
      <c r="E4" s="15">
        <f>SUM(E27,E65,E29)</f>
        <v>31162826.258945007</v>
      </c>
      <c r="F4" s="16"/>
      <c r="G4" s="17"/>
      <c r="H4" s="14"/>
      <c r="I4" s="14"/>
      <c r="J4" s="14"/>
      <c r="K4" s="15">
        <f>SUM(K27,K29,K65)</f>
        <v>31299633.305676974</v>
      </c>
      <c r="L4" s="14"/>
      <c r="M4" s="19">
        <f>K4/$C$6</f>
        <v>1.2559897848647226</v>
      </c>
      <c r="N4" s="23"/>
    </row>
    <row r="5" spans="1:17" x14ac:dyDescent="0.25">
      <c r="A5" s="5"/>
      <c r="B5" s="5" t="s">
        <v>126</v>
      </c>
      <c r="C5" s="21">
        <v>0</v>
      </c>
      <c r="D5" s="22"/>
      <c r="E5" s="16"/>
      <c r="F5" s="16"/>
      <c r="G5" s="24">
        <f>SUM(D27,D29,D42,D50,D65,D67:D67)</f>
        <v>1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127</v>
      </c>
      <c r="C6" s="21">
        <f>C3+C4-C5</f>
        <v>24920292.890000001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128</v>
      </c>
      <c r="B8" s="30" t="s">
        <v>129</v>
      </c>
      <c r="C8" s="31" t="s">
        <v>1</v>
      </c>
      <c r="D8" s="31" t="s">
        <v>130</v>
      </c>
      <c r="E8" s="31" t="s">
        <v>131</v>
      </c>
      <c r="F8" s="31" t="s">
        <v>132</v>
      </c>
      <c r="G8" s="31" t="s">
        <v>133</v>
      </c>
      <c r="H8" s="31" t="s">
        <v>134</v>
      </c>
      <c r="I8" s="31" t="s">
        <v>135</v>
      </c>
      <c r="J8" s="31" t="s">
        <v>136</v>
      </c>
      <c r="K8" s="32" t="s">
        <v>137</v>
      </c>
      <c r="L8" s="32" t="s">
        <v>138</v>
      </c>
      <c r="M8" s="32" t="s">
        <v>139</v>
      </c>
      <c r="N8" s="33"/>
      <c r="Q8" s="35"/>
    </row>
    <row r="9" spans="1:17" s="46" customFormat="1" ht="12.75" customHeight="1" x14ac:dyDescent="0.25">
      <c r="A9" s="36" t="s">
        <v>140</v>
      </c>
      <c r="B9" s="36" t="s">
        <v>49</v>
      </c>
      <c r="C9" s="36" t="s">
        <v>50</v>
      </c>
      <c r="D9" s="37">
        <v>1.2500000000000001E-2</v>
      </c>
      <c r="E9" s="38">
        <f>'Nov 13'!$D9*$C$6*$C$2</f>
        <v>1900172.3328625001</v>
      </c>
      <c r="F9" s="38">
        <v>407.8</v>
      </c>
      <c r="G9" s="39">
        <f>'Nov 13'!$E9/'Nov 13'!$F9</f>
        <v>4659.5692321297201</v>
      </c>
      <c r="H9" s="36">
        <v>4225</v>
      </c>
      <c r="I9" s="36">
        <f>ROUND(Table1389584567991011121314456267891011121314151617181920213456789101112131415161718192021222334567891011[[#This Row],[Target Quantity]],0)</f>
        <v>4660</v>
      </c>
      <c r="J9" s="40">
        <f t="shared" ref="J9:J25" si="0">I9-H9</f>
        <v>435</v>
      </c>
      <c r="K9" s="41">
        <f>'Nov 13'!$F9*'Nov 13'!$I9</f>
        <v>1900348</v>
      </c>
      <c r="L9" s="42">
        <f>'Nov 13'!$K9/$K$2</f>
        <v>1.0798732865283914E-2</v>
      </c>
      <c r="M9" s="43"/>
    </row>
    <row r="10" spans="1:17" s="46" customFormat="1" ht="12.75" customHeight="1" x14ac:dyDescent="0.25">
      <c r="A10" s="36" t="s">
        <v>140</v>
      </c>
      <c r="B10" s="36" t="s">
        <v>37</v>
      </c>
      <c r="C10" s="36" t="s">
        <v>38</v>
      </c>
      <c r="D10" s="37">
        <v>1.2500000000000001E-2</v>
      </c>
      <c r="E10" s="38">
        <f>'Nov 13'!$D10*$C$6*$C$2</f>
        <v>1900172.3328625001</v>
      </c>
      <c r="F10" s="38">
        <v>90</v>
      </c>
      <c r="G10" s="39">
        <f>'Nov 13'!$E10/'Nov 13'!$F10</f>
        <v>21113.025920694447</v>
      </c>
      <c r="H10" s="36">
        <v>20875</v>
      </c>
      <c r="I10" s="36">
        <f>ROUND(Table1389584567991011121314456267891011121314151617181920213456789101112131415161718192021222334567891011[[#This Row],[Target Quantity]],0)</f>
        <v>21113</v>
      </c>
      <c r="J10" s="40">
        <f t="shared" si="0"/>
        <v>238</v>
      </c>
      <c r="K10" s="41">
        <f>'Nov 13'!$F10*'Nov 13'!$I10</f>
        <v>1900170</v>
      </c>
      <c r="L10" s="42">
        <f>'Nov 13'!$K10/$K$2</f>
        <v>1.0797721379782301E-2</v>
      </c>
      <c r="M10" s="43"/>
    </row>
    <row r="11" spans="1:17" s="47" customFormat="1" ht="12.75" customHeight="1" x14ac:dyDescent="0.25">
      <c r="A11" s="36" t="s">
        <v>140</v>
      </c>
      <c r="B11" s="36" t="s">
        <v>27</v>
      </c>
      <c r="C11" s="36" t="s">
        <v>28</v>
      </c>
      <c r="D11" s="37">
        <v>1.2500000000000001E-2</v>
      </c>
      <c r="E11" s="38">
        <f>'Nov 13'!$D11*$C$6*$C$2</f>
        <v>1900172.3328625001</v>
      </c>
      <c r="F11" s="38">
        <v>212.64003314393901</v>
      </c>
      <c r="G11" s="39">
        <f>'Nov 13'!$E11/'Nov 13'!$F11</f>
        <v>8936.0987428752269</v>
      </c>
      <c r="H11" s="36">
        <v>8448</v>
      </c>
      <c r="I11" s="36">
        <f>ROUND(Table1389584567991011121314456267891011121314151617181920213456789101112131415161718192021222334567891011[[#This Row],[Target Quantity]],0)</f>
        <v>8936</v>
      </c>
      <c r="J11" s="40">
        <f t="shared" si="0"/>
        <v>488</v>
      </c>
      <c r="K11" s="41">
        <f>'Nov 13'!$F11*'Nov 13'!$I11</f>
        <v>1900151.3361742389</v>
      </c>
      <c r="L11" s="42">
        <f>'Nov 13'!$K11/$K$2</f>
        <v>1.0797615322539818E-2</v>
      </c>
      <c r="M11" s="36"/>
    </row>
    <row r="12" spans="1:17" s="47" customFormat="1" ht="12.75" customHeight="1" x14ac:dyDescent="0.25">
      <c r="A12" s="36" t="s">
        <v>140</v>
      </c>
      <c r="B12" s="36" t="s">
        <v>51</v>
      </c>
      <c r="C12" s="36" t="s">
        <v>52</v>
      </c>
      <c r="D12" s="37">
        <v>1.2500000000000001E-2</v>
      </c>
      <c r="E12" s="38">
        <f>'Nov 13'!$D12*$C$6*$C$2</f>
        <v>1900172.3328625001</v>
      </c>
      <c r="F12" s="38">
        <v>433</v>
      </c>
      <c r="G12" s="39">
        <f>'Nov 13'!$E12/'Nov 13'!$F12</f>
        <v>4388.3887594976904</v>
      </c>
      <c r="H12" s="36">
        <v>4136</v>
      </c>
      <c r="I12" s="36">
        <f>ROUND(Table1389584567991011121314456267891011121314151617181920213456789101112131415161718192021222334567891011[[#This Row],[Target Quantity]],0)</f>
        <v>4388</v>
      </c>
      <c r="J12" s="40">
        <f t="shared" si="0"/>
        <v>252</v>
      </c>
      <c r="K12" s="41">
        <f>'Nov 13'!$F12*'Nov 13'!$I12</f>
        <v>1900004</v>
      </c>
      <c r="L12" s="42">
        <f>'Nov 13'!$K12/$K$2</f>
        <v>1.0796778084314503E-2</v>
      </c>
      <c r="M12" s="36"/>
    </row>
    <row r="13" spans="1:17" s="47" customFormat="1" ht="12.75" customHeight="1" x14ac:dyDescent="0.25">
      <c r="A13" s="36" t="s">
        <v>140</v>
      </c>
      <c r="B13" s="36" t="s">
        <v>41</v>
      </c>
      <c r="C13" s="36" t="s">
        <v>42</v>
      </c>
      <c r="D13" s="37">
        <v>1.2500000000000001E-2</v>
      </c>
      <c r="E13" s="38">
        <f>'Nov 13'!$D13*$C$6*$C$2</f>
        <v>1900172.3328625001</v>
      </c>
      <c r="F13" s="38">
        <v>1296</v>
      </c>
      <c r="G13" s="39">
        <f>'Nov 13'!$E13/'Nov 13'!$F13</f>
        <v>1466.1823556037809</v>
      </c>
      <c r="H13" s="36">
        <v>1351</v>
      </c>
      <c r="I13" s="36">
        <f>ROUND(Table1389584567991011121314456267891011121314151617181920213456789101112131415161718192021222334567891011[[#This Row],[Target Quantity]],0)</f>
        <v>1466</v>
      </c>
      <c r="J13" s="40">
        <f t="shared" si="0"/>
        <v>115</v>
      </c>
      <c r="K13" s="41">
        <f>'Nov 13'!$F13*'Nov 13'!$I13</f>
        <v>1899936</v>
      </c>
      <c r="L13" s="42">
        <f>'Nov 13'!$K13/$K$2</f>
        <v>1.0796391674122875E-2</v>
      </c>
      <c r="M13" s="36"/>
    </row>
    <row r="14" spans="1:17" s="47" customFormat="1" ht="12.75" customHeight="1" x14ac:dyDescent="0.25">
      <c r="A14" s="36" t="s">
        <v>140</v>
      </c>
      <c r="B14" s="36" t="s">
        <v>31</v>
      </c>
      <c r="C14" s="36" t="s">
        <v>32</v>
      </c>
      <c r="D14" s="37">
        <v>1.2500000000000001E-2</v>
      </c>
      <c r="E14" s="38">
        <f>'Nov 13'!$D14*$C$6*$C$2</f>
        <v>1900172.3328625001</v>
      </c>
      <c r="F14" s="38">
        <v>269.50007599939198</v>
      </c>
      <c r="G14" s="39">
        <f>'Nov 13'!$E14/'Nov 13'!$F14</f>
        <v>7050.7302300975498</v>
      </c>
      <c r="H14" s="36">
        <v>6579</v>
      </c>
      <c r="I14" s="36">
        <f>ROUND(Table1389584567991011121314456267891011121314151617181920213456789101112131415161718192021222334567891011[[#This Row],[Target Quantity]],0)</f>
        <v>7051</v>
      </c>
      <c r="J14" s="40">
        <f t="shared" si="0"/>
        <v>472</v>
      </c>
      <c r="K14" s="41">
        <f>'Nov 13'!$F14*'Nov 13'!$I14</f>
        <v>1900245.035871713</v>
      </c>
      <c r="L14" s="42">
        <f>'Nov 13'!$K14/$K$2</f>
        <v>1.0798147771334764E-2</v>
      </c>
      <c r="M14" s="36"/>
    </row>
    <row r="15" spans="1:17" s="47" customFormat="1" ht="12.75" customHeight="1" x14ac:dyDescent="0.25">
      <c r="A15" s="36" t="s">
        <v>140</v>
      </c>
      <c r="B15" s="36" t="s">
        <v>29</v>
      </c>
      <c r="C15" s="36" t="s">
        <v>30</v>
      </c>
      <c r="D15" s="37">
        <v>6.2500000000000003E-3</v>
      </c>
      <c r="E15" s="38">
        <f>'Nov 13'!$D15*$C$6*$C$2</f>
        <v>950086.16643125005</v>
      </c>
      <c r="F15" s="38">
        <v>19.520005361570899</v>
      </c>
      <c r="G15" s="39">
        <f>'Nov 13'!$E15/'Nov 13'!$F15</f>
        <v>48672.433681892726</v>
      </c>
      <c r="H15" s="36">
        <v>44763</v>
      </c>
      <c r="I15" s="36">
        <f>ROUND(Table1389584567991011121314456267891011121314151617181920213456789101112131415161718192021222334567891011[[#This Row],[Target Quantity]],0)</f>
        <v>48672</v>
      </c>
      <c r="J15" s="40">
        <f t="shared" si="0"/>
        <v>3909</v>
      </c>
      <c r="K15" s="41">
        <f>'Nov 13'!$F15*'Nov 13'!$I15</f>
        <v>950077.70095837885</v>
      </c>
      <c r="L15" s="42">
        <f>'Nov 13'!$K15/$K$2</f>
        <v>5.3988192130665687E-3</v>
      </c>
      <c r="M15" s="36"/>
    </row>
    <row r="16" spans="1:17" s="47" customFormat="1" ht="12.75" customHeight="1" x14ac:dyDescent="0.25">
      <c r="A16" s="36" t="s">
        <v>140</v>
      </c>
      <c r="B16" s="36" t="s">
        <v>39</v>
      </c>
      <c r="C16" s="36" t="s">
        <v>40</v>
      </c>
      <c r="D16" s="37">
        <v>6.2500000000000003E-3</v>
      </c>
      <c r="E16" s="38">
        <f>'Nov 13'!$D16*$C$6*$C$2</f>
        <v>950086.16643125005</v>
      </c>
      <c r="F16" s="38">
        <v>33.059990699116398</v>
      </c>
      <c r="G16" s="39">
        <f>'Nov 13'!$E16/'Nov 13'!$F16</f>
        <v>28738.246634069477</v>
      </c>
      <c r="H16" s="36">
        <v>25804</v>
      </c>
      <c r="I16" s="36">
        <f>ROUND(Table1389584567991011121314456267891011121314151617181920213456789101112131415161718192021222334567891011[[#This Row],[Target Quantity]],0)</f>
        <v>28738</v>
      </c>
      <c r="J16" s="40">
        <f t="shared" si="0"/>
        <v>2934</v>
      </c>
      <c r="K16" s="41">
        <f>'Nov 13'!$F16*'Nov 13'!$I16</f>
        <v>950078.01271120703</v>
      </c>
      <c r="L16" s="42">
        <f>'Nov 13'!$K16/$K$2</f>
        <v>5.3988209846028935E-3</v>
      </c>
      <c r="M16" s="36"/>
    </row>
    <row r="17" spans="1:15" s="47" customFormat="1" ht="12.75" customHeight="1" x14ac:dyDescent="0.25">
      <c r="A17" s="36" t="s">
        <v>140</v>
      </c>
      <c r="B17" s="36" t="s">
        <v>19</v>
      </c>
      <c r="C17" s="36" t="s">
        <v>20</v>
      </c>
      <c r="D17" s="37">
        <v>1.2500000000000001E-2</v>
      </c>
      <c r="E17" s="38">
        <f>'Nov 13'!$D17*$C$6*$C$2</f>
        <v>1900172.3328625001</v>
      </c>
      <c r="F17" s="38">
        <v>452.76002095886798</v>
      </c>
      <c r="G17" s="39">
        <f>'Nov 13'!$E17/'Nov 13'!$F17</f>
        <v>4196.8642214439815</v>
      </c>
      <c r="H17" s="36">
        <v>3817</v>
      </c>
      <c r="I17" s="36">
        <f>ROUND(Table1389584567991011121314456267891011121314151617181920213456789101112131415161718192021222334567891011[[#This Row],[Target Quantity]],0)</f>
        <v>4197</v>
      </c>
      <c r="J17" s="40">
        <f t="shared" si="0"/>
        <v>380</v>
      </c>
      <c r="K17" s="41">
        <f>'Nov 13'!$F17*'Nov 13'!$I17</f>
        <v>1900233.807964369</v>
      </c>
      <c r="L17" s="42">
        <f>'Nov 13'!$K17/$K$2</f>
        <v>1.0798083968719641E-2</v>
      </c>
      <c r="M17" s="36"/>
    </row>
    <row r="18" spans="1:15" s="47" customFormat="1" ht="12.75" customHeight="1" x14ac:dyDescent="0.25">
      <c r="A18" s="36" t="s">
        <v>140</v>
      </c>
      <c r="B18" s="36" t="s">
        <v>33</v>
      </c>
      <c r="C18" s="36" t="s">
        <v>34</v>
      </c>
      <c r="D18" s="37">
        <v>6.2500000000000003E-3</v>
      </c>
      <c r="E18" s="38">
        <f>'Nov 13'!$D18*$C$6*$C$2</f>
        <v>950086.16643125005</v>
      </c>
      <c r="F18" s="38">
        <v>21.730006729126799</v>
      </c>
      <c r="G18" s="39">
        <f>'Nov 13'!$E18/'Nov 13'!$F18</f>
        <v>43722.313493707254</v>
      </c>
      <c r="H18" s="36">
        <v>38638</v>
      </c>
      <c r="I18" s="36">
        <f>ROUND(Table1389584567991011121314456267891011121314151617181920213456789101112131415161718192021222334567891011[[#This Row],[Target Quantity]],0)</f>
        <v>43722</v>
      </c>
      <c r="J18" s="40">
        <f t="shared" si="0"/>
        <v>5084</v>
      </c>
      <c r="K18" s="41">
        <f>'Nov 13'!$F18*'Nov 13'!$I18</f>
        <v>950079.35421088187</v>
      </c>
      <c r="L18" s="42">
        <f>'Nov 13'!$K18/$K$2</f>
        <v>5.3988286076785763E-3</v>
      </c>
      <c r="M18" s="36"/>
    </row>
    <row r="19" spans="1:15" s="47" customFormat="1" ht="12.75" customHeight="1" x14ac:dyDescent="0.25">
      <c r="A19" s="36" t="s">
        <v>140</v>
      </c>
      <c r="B19" s="36" t="s">
        <v>21</v>
      </c>
      <c r="C19" s="36" t="s">
        <v>22</v>
      </c>
      <c r="D19" s="37">
        <v>1.2500000000000001E-2</v>
      </c>
      <c r="E19" s="38">
        <f>'Nov 13'!$D19*$C$6*$C$2</f>
        <v>1900172.3328625001</v>
      </c>
      <c r="F19" s="38">
        <v>37.960001724063602</v>
      </c>
      <c r="G19" s="39">
        <f>'Nov 13'!$E19/'Nov 13'!$F19</f>
        <v>50057.224619616994</v>
      </c>
      <c r="H19" s="36">
        <v>46402</v>
      </c>
      <c r="I19" s="36">
        <f>ROUND(Table1389584567991011121314456267891011121314151617181920213456789101112131415161718192021222334567891011[[#This Row],[Target Quantity]],0)</f>
        <v>50057</v>
      </c>
      <c r="J19" s="40">
        <f t="shared" si="0"/>
        <v>3655</v>
      </c>
      <c r="K19" s="41">
        <f>'Nov 13'!$F19*'Nov 13'!$I19</f>
        <v>1900163.8063014518</v>
      </c>
      <c r="L19" s="42">
        <f>'Nov 13'!$K19/$K$2</f>
        <v>1.0797686184072845E-2</v>
      </c>
      <c r="M19" s="36"/>
    </row>
    <row r="20" spans="1:15" s="47" customFormat="1" ht="12.75" customHeight="1" x14ac:dyDescent="0.25">
      <c r="A20" s="36" t="s">
        <v>140</v>
      </c>
      <c r="B20" s="36" t="s">
        <v>45</v>
      </c>
      <c r="C20" s="36" t="s">
        <v>46</v>
      </c>
      <c r="D20" s="37">
        <v>6.2500000000000003E-3</v>
      </c>
      <c r="E20" s="38">
        <f>'Nov 13'!$D20*$C$6*$C$2</f>
        <v>950086.16643125005</v>
      </c>
      <c r="F20" s="38">
        <v>67.069999233305197</v>
      </c>
      <c r="G20" s="39">
        <f>'Nov 13'!$E20/'Nov 13'!$F20</f>
        <v>14165.590834828312</v>
      </c>
      <c r="H20" s="36">
        <v>13043</v>
      </c>
      <c r="I20" s="36">
        <f>ROUND(Table1389584567991011121314456267891011121314151617181920213456789101112131415161718192021222334567891011[[#This Row],[Target Quantity]],0)</f>
        <v>14166</v>
      </c>
      <c r="J20" s="40">
        <f t="shared" si="0"/>
        <v>1123</v>
      </c>
      <c r="K20" s="41">
        <f>'Nov 13'!$F20*'Nov 13'!$I20</f>
        <v>950113.60913900146</v>
      </c>
      <c r="L20" s="42">
        <f>'Nov 13'!$K20/$K$2</f>
        <v>5.3990232614041476E-3</v>
      </c>
      <c r="M20" s="36"/>
    </row>
    <row r="21" spans="1:15" s="47" customFormat="1" ht="12.75" customHeight="1" x14ac:dyDescent="0.25">
      <c r="A21" s="36" t="s">
        <v>140</v>
      </c>
      <c r="B21" s="36" t="s">
        <v>23</v>
      </c>
      <c r="C21" s="36" t="s">
        <v>24</v>
      </c>
      <c r="D21" s="37">
        <v>1.2500000000000001E-2</v>
      </c>
      <c r="E21" s="38">
        <f>'Nov 13'!$D21*$C$6*$C$2</f>
        <v>1900172.3328625001</v>
      </c>
      <c r="F21" s="38">
        <v>248.010048117747</v>
      </c>
      <c r="G21" s="39">
        <f>'Nov 13'!$E21/'Nov 13'!$F21</f>
        <v>7661.674788113266</v>
      </c>
      <c r="H21" s="36">
        <v>7066</v>
      </c>
      <c r="I21" s="36">
        <f>ROUND(Table1389584567991011121314456267891011121314151617181920213456789101112131415161718192021222334567891011[[#This Row],[Target Quantity]],0)</f>
        <v>7662</v>
      </c>
      <c r="J21" s="40">
        <f t="shared" si="0"/>
        <v>596</v>
      </c>
      <c r="K21" s="41">
        <f>'Nov 13'!$F21*'Nov 13'!$I21</f>
        <v>1900252.9886781776</v>
      </c>
      <c r="L21" s="42">
        <f>'Nov 13'!$K21/$K$2</f>
        <v>1.0798192963179911E-2</v>
      </c>
      <c r="M21" s="36"/>
    </row>
    <row r="22" spans="1:15" s="47" customFormat="1" ht="12.75" customHeight="1" x14ac:dyDescent="0.25">
      <c r="A22" s="36" t="s">
        <v>140</v>
      </c>
      <c r="B22" s="36" t="s">
        <v>47</v>
      </c>
      <c r="C22" s="36" t="s">
        <v>48</v>
      </c>
      <c r="D22" s="37">
        <v>6.2500000000000003E-3</v>
      </c>
      <c r="E22" s="38">
        <f>'Nov 13'!$D22*$C$6*$C$2</f>
        <v>950086.16643125005</v>
      </c>
      <c r="F22" s="38">
        <v>331.63008585292999</v>
      </c>
      <c r="G22" s="39">
        <f>'Nov 13'!$E22/'Nov 13'!$F22</f>
        <v>2864.897387062133</v>
      </c>
      <c r="H22" s="36">
        <v>2679</v>
      </c>
      <c r="I22" s="36">
        <f>ROUND(Table1389584567991011121314456267891011121314151617181920213456789101112131415161718192021222334567891011[[#This Row],[Target Quantity]],0)</f>
        <v>2865</v>
      </c>
      <c r="J22" s="40">
        <f t="shared" si="0"/>
        <v>186</v>
      </c>
      <c r="K22" s="41">
        <f>'Nov 13'!$F22*'Nov 13'!$I22</f>
        <v>950120.19596864446</v>
      </c>
      <c r="L22" s="42">
        <f>'Nov 13'!$K22/$K$2</f>
        <v>5.3990606910821566E-3</v>
      </c>
      <c r="M22" s="36"/>
    </row>
    <row r="23" spans="1:15" s="47" customFormat="1" ht="12.75" customHeight="1" x14ac:dyDescent="0.25">
      <c r="A23" s="36" t="s">
        <v>140</v>
      </c>
      <c r="B23" s="36" t="s">
        <v>15</v>
      </c>
      <c r="C23" s="36" t="s">
        <v>16</v>
      </c>
      <c r="D23" s="37">
        <v>6.2500000000000003E-3</v>
      </c>
      <c r="E23" s="38">
        <f>'Nov 13'!$D23*$C$6*$C$2</f>
        <v>950086.16643125005</v>
      </c>
      <c r="F23" s="38">
        <v>118.640010698048</v>
      </c>
      <c r="G23" s="39">
        <f>'Nov 13'!$E23/'Nov 13'!$F23</f>
        <v>8008.1429598765362</v>
      </c>
      <c r="H23" s="36">
        <v>7478</v>
      </c>
      <c r="I23" s="36">
        <f>ROUND(Table1389584567991011121314456267891011121314151617181920213456789101112131415161718192021222334567891011[[#This Row],[Target Quantity]],0)</f>
        <v>8008</v>
      </c>
      <c r="J23" s="40">
        <f t="shared" si="0"/>
        <v>530</v>
      </c>
      <c r="K23" s="41">
        <f>'Nov 13'!$F23*'Nov 13'!$I23</f>
        <v>950069.20566996839</v>
      </c>
      <c r="L23" s="42">
        <f>'Nov 13'!$K23/$K$2</f>
        <v>5.3987709385662358E-3</v>
      </c>
      <c r="M23" s="36"/>
    </row>
    <row r="24" spans="1:15" s="47" customFormat="1" ht="12.75" customHeight="1" x14ac:dyDescent="0.25">
      <c r="A24" s="36" t="s">
        <v>140</v>
      </c>
      <c r="B24" s="36" t="s">
        <v>43</v>
      </c>
      <c r="C24" s="36" t="s">
        <v>44</v>
      </c>
      <c r="D24" s="37">
        <v>1.2500000000000001E-2</v>
      </c>
      <c r="E24" s="38">
        <f>'Nov 13'!$D24*$C$6*$C$2</f>
        <v>1900172.3328625001</v>
      </c>
      <c r="F24" s="38">
        <v>256.87004144464203</v>
      </c>
      <c r="G24" s="39">
        <f>'Nov 13'!$E24/'Nov 13'!$F24</f>
        <v>7397.4073511099023</v>
      </c>
      <c r="H24" s="36">
        <v>6756</v>
      </c>
      <c r="I24" s="36">
        <f>ROUND(Table1389584567991011121314456267891011121314151617181920213456789101112131415161718192021222334567891011[[#This Row],[Target Quantity]],0)</f>
        <v>7397</v>
      </c>
      <c r="J24" s="40">
        <f t="shared" si="0"/>
        <v>641</v>
      </c>
      <c r="K24" s="41">
        <f>'Nov 13'!$F24*'Nov 13'!$I24</f>
        <v>1900067.6965660171</v>
      </c>
      <c r="L24" s="42">
        <f>'Nov 13'!$K24/$K$2</f>
        <v>1.0797140040230396E-2</v>
      </c>
      <c r="M24" s="36"/>
    </row>
    <row r="25" spans="1:15" s="47" customFormat="1" ht="12.75" customHeight="1" x14ac:dyDescent="0.25">
      <c r="A25" s="36" t="s">
        <v>140</v>
      </c>
      <c r="B25" s="47" t="s">
        <v>11</v>
      </c>
      <c r="C25" s="36" t="s">
        <v>12</v>
      </c>
      <c r="D25" s="37">
        <v>1.2500000000000001E-2</v>
      </c>
      <c r="E25" s="38">
        <f>'Nov 13'!$D25*$C$6*$C$2</f>
        <v>1900172.3328625001</v>
      </c>
      <c r="F25" s="38">
        <v>2.3614652711703101</v>
      </c>
      <c r="G25" s="39">
        <f>'Nov 13'!$E25/'Nov 13'!$F25</f>
        <v>804658.17391453765</v>
      </c>
      <c r="H25" s="36">
        <v>735700</v>
      </c>
      <c r="I25" s="36">
        <f>ROUND(Table1389584567991011121314456267891011121314151617181920213456789101112131415161718192021222334567891011[[#This Row],[Target Quantity]],-2)</f>
        <v>804700</v>
      </c>
      <c r="J25" s="40">
        <f t="shared" si="0"/>
        <v>69000</v>
      </c>
      <c r="K25" s="41">
        <f>'Nov 13'!$F25*'Nov 13'!$I25</f>
        <v>1900271.1037107485</v>
      </c>
      <c r="L25" s="42">
        <f>'Nov 13'!$K25/$K$2</f>
        <v>1.0798295901903544E-2</v>
      </c>
      <c r="M25" s="36"/>
    </row>
    <row r="26" spans="1:15" s="47" customFormat="1" ht="12.75" customHeight="1" x14ac:dyDescent="0.25">
      <c r="A26" s="36"/>
      <c r="B26" s="36"/>
      <c r="C26" s="36"/>
      <c r="D26" s="37"/>
      <c r="E26" s="38"/>
      <c r="F26" s="38"/>
      <c r="G26" s="39"/>
      <c r="H26" s="36"/>
      <c r="I26" s="36"/>
      <c r="J26" s="48"/>
      <c r="K26" s="38"/>
      <c r="L26" s="49"/>
      <c r="M26" s="36"/>
    </row>
    <row r="27" spans="1:15" s="56" customFormat="1" ht="12.75" customHeight="1" x14ac:dyDescent="0.25">
      <c r="A27" s="50" t="s">
        <v>149</v>
      </c>
      <c r="B27" s="50"/>
      <c r="C27" s="50"/>
      <c r="D27" s="51">
        <f>SUM(D9:D26)</f>
        <v>0.17500000000000004</v>
      </c>
      <c r="E27" s="52">
        <f>'Nov 13'!$D27*$C$6*$C$2</f>
        <v>26602412.660075009</v>
      </c>
      <c r="F27" s="53"/>
      <c r="G27" s="53"/>
      <c r="H27" s="50"/>
      <c r="I27" s="50"/>
      <c r="J27" s="54"/>
      <c r="K27" s="52">
        <f>SUM(K9:K26)</f>
        <v>26602381.853924792</v>
      </c>
      <c r="L27" s="55">
        <f>'Nov 13'!$K27/$K$2</f>
        <v>0.15116810985188506</v>
      </c>
      <c r="M27" s="50"/>
    </row>
    <row r="28" spans="1:15" s="47" customFormat="1" ht="12.75" customHeight="1" x14ac:dyDescent="0.25">
      <c r="A28" s="36"/>
      <c r="B28" s="36"/>
      <c r="C28" s="36"/>
      <c r="D28" s="37"/>
      <c r="E28" s="38"/>
      <c r="F28" s="38"/>
      <c r="G28" s="39"/>
      <c r="H28" s="36"/>
      <c r="I28" s="36"/>
      <c r="J28" s="48"/>
      <c r="K28" s="38"/>
      <c r="L28" s="42"/>
      <c r="M28" s="36"/>
    </row>
    <row r="29" spans="1:15" s="46" customFormat="1" ht="12.75" customHeight="1" x14ac:dyDescent="0.25">
      <c r="A29" s="57"/>
      <c r="B29" s="50" t="s">
        <v>35</v>
      </c>
      <c r="C29" s="57" t="s">
        <v>36</v>
      </c>
      <c r="D29" s="58">
        <v>0.02</v>
      </c>
      <c r="E29" s="59">
        <f>'Nov 13'!$D29*$C$6*$C$2</f>
        <v>3040275.7325799996</v>
      </c>
      <c r="F29" s="53">
        <v>17.899996837544698</v>
      </c>
      <c r="G29" s="60">
        <f>'Nov 13'!$E29/'Nov 13'!$F29</f>
        <v>169847.83629699386</v>
      </c>
      <c r="H29" s="57">
        <v>158105</v>
      </c>
      <c r="I29" s="57">
        <f>ROUND(Table1389584567991011121314456267891011121314151617181920213456789101112131415161718192021222334567891011[[#This Row],[Target Quantity]],0)</f>
        <v>169848</v>
      </c>
      <c r="J29" s="61">
        <f>I29-H29</f>
        <v>11743</v>
      </c>
      <c r="K29" s="62">
        <f>'Nov 13'!$F29*'Nov 13'!$I29</f>
        <v>3040278.6628632918</v>
      </c>
      <c r="L29" s="55">
        <f>'Nov 13'!$K29/$K$2</f>
        <v>1.7276392069391112E-2</v>
      </c>
      <c r="M29" s="50"/>
      <c r="O29" s="44"/>
    </row>
    <row r="30" spans="1:15" s="46" customFormat="1" ht="12.75" customHeight="1" x14ac:dyDescent="0.25">
      <c r="A30" s="36"/>
      <c r="B30" s="36"/>
      <c r="C30" s="36"/>
      <c r="D30" s="37"/>
      <c r="E30" s="38"/>
      <c r="F30" s="38"/>
      <c r="G30" s="39"/>
      <c r="H30" s="36"/>
      <c r="I30" s="36"/>
      <c r="J30" s="48"/>
      <c r="K30" s="41"/>
      <c r="L30" s="42"/>
      <c r="M30" s="36"/>
      <c r="O30" s="44"/>
    </row>
    <row r="31" spans="1:15" s="4" customFormat="1" ht="25.5" x14ac:dyDescent="0.2">
      <c r="A31" s="36" t="s">
        <v>150</v>
      </c>
      <c r="B31" s="63" t="s">
        <v>98</v>
      </c>
      <c r="C31" s="64" t="s">
        <v>99</v>
      </c>
      <c r="D31" s="37">
        <v>2.9499999999999998E-2</v>
      </c>
      <c r="E31" s="38">
        <f>'Nov 13'!$D31*$C$6*$C$2</f>
        <v>4484406.7055554995</v>
      </c>
      <c r="F31" s="38">
        <v>157099.296296296</v>
      </c>
      <c r="G31" s="39">
        <f>'Nov 13'!$E31/'Nov 13'!$F31</f>
        <v>28.545046421453833</v>
      </c>
      <c r="H31" s="36">
        <v>27</v>
      </c>
      <c r="I31" s="36">
        <v>29</v>
      </c>
      <c r="J31" s="40">
        <f t="shared" ref="J31:J40" si="1">I31-H31</f>
        <v>2</v>
      </c>
      <c r="K31" s="41">
        <f>'Nov 13'!$F31*'Nov 13'!$I31</f>
        <v>4555879.592592584</v>
      </c>
      <c r="L31" s="42">
        <f>'Nov 13'!$K31/$K$2</f>
        <v>2.5888798623623581E-2</v>
      </c>
      <c r="M31" s="65"/>
    </row>
    <row r="32" spans="1:15" s="4" customFormat="1" ht="25.5" x14ac:dyDescent="0.2">
      <c r="A32" s="36" t="s">
        <v>150</v>
      </c>
      <c r="B32" s="63" t="s">
        <v>102</v>
      </c>
      <c r="C32" s="64" t="s">
        <v>103</v>
      </c>
      <c r="D32" s="37">
        <v>2.9499999999999998E-2</v>
      </c>
      <c r="E32" s="38">
        <f>'Nov 13'!$D32*$C$6*$C$2</f>
        <v>4484406.7055554995</v>
      </c>
      <c r="F32" s="38">
        <v>215176.2</v>
      </c>
      <c r="G32" s="39">
        <f>'Nov 13'!$E32/'Nov 13'!$F32</f>
        <v>20.840625987239758</v>
      </c>
      <c r="H32" s="36">
        <v>20</v>
      </c>
      <c r="I32" s="36">
        <v>21</v>
      </c>
      <c r="J32" s="40">
        <f t="shared" si="1"/>
        <v>1</v>
      </c>
      <c r="K32" s="41">
        <f>'Nov 13'!$F32*'Nov 13'!$I32</f>
        <v>4518700.2</v>
      </c>
      <c r="L32" s="42">
        <f>'Nov 13'!$K32/$K$2</f>
        <v>2.5677526620442676E-2</v>
      </c>
      <c r="M32" s="65"/>
    </row>
    <row r="33" spans="1:13" s="4" customFormat="1" ht="25.5" x14ac:dyDescent="0.2">
      <c r="A33" s="36" t="s">
        <v>150</v>
      </c>
      <c r="B33" s="63" t="s">
        <v>104</v>
      </c>
      <c r="C33" s="64" t="s">
        <v>105</v>
      </c>
      <c r="D33" s="37">
        <v>2.9499999999999998E-2</v>
      </c>
      <c r="E33" s="38">
        <f>'Nov 13'!$D33*$C$6*$C$2</f>
        <v>4484406.7055554995</v>
      </c>
      <c r="F33" s="38">
        <v>172244.95833333299</v>
      </c>
      <c r="G33" s="39">
        <f>'Nov 13'!$E33/'Nov 13'!$F33</f>
        <v>26.03505350140442</v>
      </c>
      <c r="H33" s="36">
        <v>24</v>
      </c>
      <c r="I33" s="36">
        <v>26</v>
      </c>
      <c r="J33" s="40">
        <f t="shared" si="1"/>
        <v>2</v>
      </c>
      <c r="K33" s="41">
        <f>'Nov 13'!$F33*'Nov 13'!$I33</f>
        <v>4478368.9166666577</v>
      </c>
      <c r="L33" s="42">
        <f>'Nov 13'!$K33/$K$2</f>
        <v>2.5448343989245208E-2</v>
      </c>
      <c r="M33" s="65"/>
    </row>
    <row r="34" spans="1:13" s="4" customFormat="1" ht="25.5" x14ac:dyDescent="0.2">
      <c r="A34" s="36" t="s">
        <v>150</v>
      </c>
      <c r="B34" s="63" t="s">
        <v>106</v>
      </c>
      <c r="C34" s="64" t="s">
        <v>107</v>
      </c>
      <c r="D34" s="37">
        <v>2.9499999999999998E-2</v>
      </c>
      <c r="E34" s="38">
        <f>'Nov 13'!$D34*$C$6*$C$2</f>
        <v>4484406.7055554995</v>
      </c>
      <c r="F34" s="38">
        <v>125485.939393939</v>
      </c>
      <c r="G34" s="39">
        <f>'Nov 13'!$E34/'Nov 13'!$F34</f>
        <v>35.736328127389363</v>
      </c>
      <c r="H34" s="36">
        <v>33</v>
      </c>
      <c r="I34" s="36">
        <v>36</v>
      </c>
      <c r="J34" s="40">
        <f t="shared" si="1"/>
        <v>3</v>
      </c>
      <c r="K34" s="41">
        <f>'Nov 13'!$F34*'Nov 13'!$I34</f>
        <v>4517493.8181818044</v>
      </c>
      <c r="L34" s="42">
        <f>'Nov 13'!$K34/$K$2</f>
        <v>2.5670671352361129E-2</v>
      </c>
      <c r="M34" s="65"/>
    </row>
    <row r="35" spans="1:13" s="4" customFormat="1" ht="25.5" x14ac:dyDescent="0.2">
      <c r="A35" s="36" t="s">
        <v>150</v>
      </c>
      <c r="B35" s="63" t="s">
        <v>108</v>
      </c>
      <c r="C35" s="64" t="s">
        <v>109</v>
      </c>
      <c r="D35" s="37">
        <v>2.9499999999999998E-2</v>
      </c>
      <c r="E35" s="38">
        <f>'Nov 13'!$D35*$C$6*$C$2</f>
        <v>4484406.7055554995</v>
      </c>
      <c r="F35" s="38">
        <v>138128.23333333299</v>
      </c>
      <c r="G35" s="39">
        <f>'Nov 13'!$E35/'Nov 13'!$F35</f>
        <v>32.465532913417249</v>
      </c>
      <c r="H35" s="36">
        <v>30</v>
      </c>
      <c r="I35" s="36">
        <v>32</v>
      </c>
      <c r="J35" s="40">
        <f t="shared" si="1"/>
        <v>2</v>
      </c>
      <c r="K35" s="41">
        <f>'Nov 13'!$F35*'Nov 13'!$I35</f>
        <v>4420103.4666666556</v>
      </c>
      <c r="L35" s="42">
        <f>'Nov 13'!$K35/$K$2</f>
        <v>2.5117250405424993E-2</v>
      </c>
      <c r="M35" s="65"/>
    </row>
    <row r="36" spans="1:13" s="4" customFormat="1" ht="25.5" x14ac:dyDescent="0.2">
      <c r="A36" s="36" t="s">
        <v>150</v>
      </c>
      <c r="B36" s="63" t="s">
        <v>114</v>
      </c>
      <c r="C36" s="64" t="s">
        <v>115</v>
      </c>
      <c r="D36" s="37">
        <v>2.9499999999999998E-2</v>
      </c>
      <c r="E36" s="38">
        <f>'Nov 13'!$D36*$C$6*$C$2</f>
        <v>4484406.7055554995</v>
      </c>
      <c r="F36" s="38">
        <v>220725.05263157899</v>
      </c>
      <c r="G36" s="39">
        <f>'Nov 13'!$E36/'Nov 13'!$F36</f>
        <v>20.316709191324112</v>
      </c>
      <c r="H36" s="36">
        <v>19</v>
      </c>
      <c r="I36" s="36">
        <v>20</v>
      </c>
      <c r="J36" s="40">
        <f t="shared" si="1"/>
        <v>1</v>
      </c>
      <c r="K36" s="41">
        <f>'Nov 13'!$F36*'Nov 13'!$I36</f>
        <v>4414501.0526315793</v>
      </c>
      <c r="L36" s="42">
        <f>'Nov 13'!$K36/$K$2</f>
        <v>2.5085414671882765E-2</v>
      </c>
      <c r="M36" s="65"/>
    </row>
    <row r="37" spans="1:13" s="46" customFormat="1" ht="25.5" customHeight="1" x14ac:dyDescent="0.25">
      <c r="A37" s="36" t="s">
        <v>151</v>
      </c>
      <c r="B37" s="36" t="s">
        <v>152</v>
      </c>
      <c r="C37" s="36" t="s">
        <v>63</v>
      </c>
      <c r="D37" s="37">
        <v>2.9499999999999998E-2</v>
      </c>
      <c r="E37" s="38">
        <f>'Nov 13'!$D37*$C$6*$C$2</f>
        <v>4484406.7055554995</v>
      </c>
      <c r="F37" s="38">
        <v>114279.194444444</v>
      </c>
      <c r="G37" s="39">
        <f>'Nov 13'!$E37/'Nov 13'!$F37</f>
        <v>39.240797306596008</v>
      </c>
      <c r="H37" s="36">
        <v>36</v>
      </c>
      <c r="I37" s="36">
        <v>39</v>
      </c>
      <c r="J37" s="40">
        <f t="shared" si="1"/>
        <v>3</v>
      </c>
      <c r="K37" s="41">
        <f>'Nov 13'!$F37*'Nov 13'!$I37</f>
        <v>4456888.5833333163</v>
      </c>
      <c r="L37" s="42">
        <f>'Nov 13'!$K37/$K$2</f>
        <v>2.5326281934545749E-2</v>
      </c>
      <c r="M37" s="43"/>
    </row>
    <row r="38" spans="1:13" s="46" customFormat="1" ht="25.5" x14ac:dyDescent="0.25">
      <c r="A38" s="36" t="s">
        <v>151</v>
      </c>
      <c r="B38" s="36" t="s">
        <v>60</v>
      </c>
      <c r="C38" s="36" t="s">
        <v>61</v>
      </c>
      <c r="D38" s="37">
        <v>2.9499999999999998E-2</v>
      </c>
      <c r="E38" s="38">
        <f>'Nov 13'!$D38*$C$6*$C$2</f>
        <v>4484406.7055554995</v>
      </c>
      <c r="F38" s="38">
        <v>134496.90322580599</v>
      </c>
      <c r="G38" s="39">
        <f>'Nov 13'!$E38/'Nov 13'!$F38</f>
        <v>33.342081475486893</v>
      </c>
      <c r="H38" s="36">
        <v>31</v>
      </c>
      <c r="I38" s="36">
        <v>33</v>
      </c>
      <c r="J38" s="40">
        <f t="shared" si="1"/>
        <v>2</v>
      </c>
      <c r="K38" s="41">
        <f>'Nov 13'!$F38*'Nov 13'!$I38</f>
        <v>4438397.8064515973</v>
      </c>
      <c r="L38" s="42">
        <f>'Nov 13'!$K38/$K$2</f>
        <v>2.5221208042807367E-2</v>
      </c>
      <c r="M38" s="43"/>
    </row>
    <row r="39" spans="1:13" s="46" customFormat="1" ht="25.5" x14ac:dyDescent="0.25">
      <c r="A39" s="36" t="s">
        <v>151</v>
      </c>
      <c r="B39" s="36" t="s">
        <v>56</v>
      </c>
      <c r="C39" s="36" t="s">
        <v>57</v>
      </c>
      <c r="D39" s="37">
        <v>2.9499999999999998E-2</v>
      </c>
      <c r="E39" s="38">
        <f>'Nov 13'!$D39*$C$6*$C$2</f>
        <v>4484406.7055554995</v>
      </c>
      <c r="F39" s="38">
        <v>177701.45833333299</v>
      </c>
      <c r="G39" s="39">
        <f>'Nov 13'!$E39/'Nov 13'!$F39</f>
        <v>25.235621292109119</v>
      </c>
      <c r="H39" s="36">
        <v>24</v>
      </c>
      <c r="I39" s="36">
        <v>25</v>
      </c>
      <c r="J39" s="40">
        <f t="shared" si="1"/>
        <v>1</v>
      </c>
      <c r="K39" s="41">
        <f>'Nov 13'!$F39*'Nov 13'!$I39</f>
        <v>4442536.4583333246</v>
      </c>
      <c r="L39" s="42">
        <f>'Nov 13'!$K39/$K$2</f>
        <v>2.5244725943788227E-2</v>
      </c>
      <c r="M39" s="43"/>
    </row>
    <row r="40" spans="1:13" s="46" customFormat="1" ht="25.5" x14ac:dyDescent="0.25">
      <c r="A40" s="36" t="s">
        <v>151</v>
      </c>
      <c r="B40" s="36" t="s">
        <v>66</v>
      </c>
      <c r="C40" s="36" t="s">
        <v>67</v>
      </c>
      <c r="D40" s="37">
        <v>2.9499999999999998E-2</v>
      </c>
      <c r="E40" s="38">
        <f>'Nov 13'!$D40*$C$6*$C$2</f>
        <v>4484406.7055554995</v>
      </c>
      <c r="F40" s="38">
        <v>264547.0625</v>
      </c>
      <c r="G40" s="39">
        <f>'Nov 13'!$E40/'Nov 13'!$F40</f>
        <v>16.951262520843525</v>
      </c>
      <c r="H40" s="36">
        <v>16</v>
      </c>
      <c r="I40" s="36">
        <v>17</v>
      </c>
      <c r="J40" s="40">
        <f t="shared" si="1"/>
        <v>1</v>
      </c>
      <c r="K40" s="41">
        <f>'Nov 13'!$F40*'Nov 13'!$I40</f>
        <v>4497300.0625</v>
      </c>
      <c r="L40" s="42">
        <f>'Nov 13'!$K40/$K$2</f>
        <v>2.5555920278792173E-2</v>
      </c>
      <c r="M40" s="43"/>
    </row>
    <row r="41" spans="1:13" s="67" customFormat="1" ht="12.75" x14ac:dyDescent="0.2">
      <c r="A41" s="36"/>
      <c r="B41" s="64"/>
      <c r="C41" s="64"/>
      <c r="D41" s="37"/>
      <c r="E41" s="66"/>
      <c r="F41" s="38"/>
      <c r="G41" s="39"/>
      <c r="H41" s="36"/>
      <c r="I41" s="36"/>
      <c r="J41" s="48"/>
      <c r="K41" s="38"/>
      <c r="L41" s="49"/>
      <c r="M41" s="65"/>
    </row>
    <row r="42" spans="1:13" s="17" customFormat="1" ht="12.75" x14ac:dyDescent="0.2">
      <c r="A42" s="50" t="s">
        <v>153</v>
      </c>
      <c r="B42" s="68"/>
      <c r="C42" s="68"/>
      <c r="D42" s="58">
        <f>SUBTOTAL(9,D31:D41)</f>
        <v>0.29499999999999993</v>
      </c>
      <c r="E42" s="69">
        <f>'Nov 13'!$D42*$C$6*$C$2</f>
        <v>44844067.055554993</v>
      </c>
      <c r="F42" s="70"/>
      <c r="G42" s="71"/>
      <c r="H42" s="57"/>
      <c r="I42" s="57"/>
      <c r="J42" s="61"/>
      <c r="K42" s="69">
        <f>SUM(K31:K41)</f>
        <v>44740169.957357526</v>
      </c>
      <c r="L42" s="72">
        <f>'Nov 13'!$K42/$K$2</f>
        <v>0.25423614186291388</v>
      </c>
      <c r="M42" s="73"/>
    </row>
    <row r="43" spans="1:13" s="67" customFormat="1" ht="12.75" x14ac:dyDescent="0.2">
      <c r="A43" s="36"/>
      <c r="B43" s="64"/>
      <c r="C43" s="64"/>
      <c r="D43" s="37"/>
      <c r="E43" s="66"/>
      <c r="F43" s="38"/>
      <c r="G43" s="39"/>
      <c r="H43" s="36"/>
      <c r="I43" s="36"/>
      <c r="J43" s="48"/>
      <c r="K43" s="38"/>
      <c r="L43" s="42"/>
      <c r="M43" s="65"/>
    </row>
    <row r="44" spans="1:13" s="4" customFormat="1" ht="24.75" customHeight="1" x14ac:dyDescent="0.2">
      <c r="A44" s="36" t="s">
        <v>150</v>
      </c>
      <c r="B44" s="64" t="s">
        <v>110</v>
      </c>
      <c r="C44" s="64" t="s">
        <v>111</v>
      </c>
      <c r="D44" s="37">
        <v>0.1</v>
      </c>
      <c r="E44" s="38">
        <f>'Nov 13'!$D44*$C$6*$C$2</f>
        <v>15201378.662900001</v>
      </c>
      <c r="F44" s="38">
        <v>416328.58333333302</v>
      </c>
      <c r="G44" s="39">
        <f>'Nov 13'!$E44/'Nov 13'!$F44</f>
        <v>36.512935386732828</v>
      </c>
      <c r="H44" s="36">
        <v>48</v>
      </c>
      <c r="I44" s="36">
        <v>48</v>
      </c>
      <c r="J44" s="40">
        <f>I44-H44</f>
        <v>0</v>
      </c>
      <c r="K44" s="41">
        <f>'Nov 13'!$F44*'Nov 13'!$I44</f>
        <v>19983771.999999985</v>
      </c>
      <c r="L44" s="42">
        <f>'Nov 13'!$K44/$K$2</f>
        <v>0.11355784070535517</v>
      </c>
      <c r="M44" s="65"/>
    </row>
    <row r="45" spans="1:13" s="46" customFormat="1" ht="25.5" x14ac:dyDescent="0.25">
      <c r="A45" s="36" t="s">
        <v>151</v>
      </c>
      <c r="B45" s="36" t="s">
        <v>68</v>
      </c>
      <c r="C45" s="36" t="s">
        <v>69</v>
      </c>
      <c r="D45" s="37">
        <v>0.1</v>
      </c>
      <c r="E45" s="38">
        <f>'Nov 13'!$D45*$C$6*$C$2</f>
        <v>15201378.662900001</v>
      </c>
      <c r="F45" s="38">
        <v>249381.25</v>
      </c>
      <c r="G45" s="39">
        <f>'Nov 13'!$E45/'Nov 13'!$F45</f>
        <v>60.956381696298344</v>
      </c>
      <c r="H45" s="36">
        <v>80</v>
      </c>
      <c r="I45" s="36">
        <v>80</v>
      </c>
      <c r="J45" s="40">
        <f>I45-H45</f>
        <v>0</v>
      </c>
      <c r="K45" s="41">
        <f>'Nov 13'!$F45*'Nov 13'!$I45</f>
        <v>19950500</v>
      </c>
      <c r="L45" s="42">
        <f>'Nov 13'!$K45/$K$2</f>
        <v>0.11336877247159295</v>
      </c>
      <c r="M45" s="43"/>
    </row>
    <row r="46" spans="1:13" s="46" customFormat="1" ht="25.5" x14ac:dyDescent="0.25">
      <c r="A46" s="36" t="s">
        <v>151</v>
      </c>
      <c r="B46" s="36" t="s">
        <v>92</v>
      </c>
      <c r="C46" s="36" t="s">
        <v>93</v>
      </c>
      <c r="D46" s="37">
        <v>0.1</v>
      </c>
      <c r="E46" s="38">
        <f>'Nov 13'!$D46*$C$6*$C$2</f>
        <v>15201378.662900001</v>
      </c>
      <c r="F46" s="38">
        <v>416311.47916666698</v>
      </c>
      <c r="G46" s="39">
        <f>'Nov 13'!$E46/'Nov 13'!$F46</f>
        <v>36.514435521520298</v>
      </c>
      <c r="H46" s="36">
        <v>48</v>
      </c>
      <c r="I46" s="36">
        <v>48</v>
      </c>
      <c r="J46" s="40">
        <f>I46-H46</f>
        <v>0</v>
      </c>
      <c r="K46" s="41">
        <f>'Nov 13'!$F46*'Nov 13'!$I46</f>
        <v>19982951.000000015</v>
      </c>
      <c r="L46" s="42">
        <f>'Nov 13'!$K46/$K$2</f>
        <v>0.11355317537054171</v>
      </c>
      <c r="M46" s="43"/>
    </row>
    <row r="47" spans="1:13" s="46" customFormat="1" ht="25.5" x14ac:dyDescent="0.25">
      <c r="A47" s="36" t="s">
        <v>151</v>
      </c>
      <c r="B47" s="36" t="s">
        <v>95</v>
      </c>
      <c r="C47" s="36" t="s">
        <v>96</v>
      </c>
      <c r="D47" s="37">
        <v>0.1</v>
      </c>
      <c r="E47" s="38">
        <f>'Nov 13'!$D47*$C$6*$C$2</f>
        <v>15201378.662900001</v>
      </c>
      <c r="F47" s="38">
        <v>249775.33749999999</v>
      </c>
      <c r="G47" s="39">
        <f>'Nov 13'!$E47/'Nov 13'!$F47</f>
        <v>60.860206676329689</v>
      </c>
      <c r="H47" s="36">
        <v>80</v>
      </c>
      <c r="I47" s="36">
        <v>80</v>
      </c>
      <c r="J47" s="40">
        <f>I47-H47</f>
        <v>0</v>
      </c>
      <c r="K47" s="41">
        <f>'Nov 13'!$F47*'Nov 13'!$I47</f>
        <v>19982027</v>
      </c>
      <c r="L47" s="42">
        <f>'Nov 13'!$K47/$K$2</f>
        <v>0.11354792473793775</v>
      </c>
      <c r="M47" s="43"/>
    </row>
    <row r="48" spans="1:13" s="46" customFormat="1" ht="25.5" x14ac:dyDescent="0.25">
      <c r="A48" s="36" t="s">
        <v>151</v>
      </c>
      <c r="B48" s="36" t="s">
        <v>77</v>
      </c>
      <c r="C48" s="36" t="s">
        <v>78</v>
      </c>
      <c r="D48" s="37">
        <v>0.1</v>
      </c>
      <c r="E48" s="38">
        <f>'Nov 13'!$D48*$C$6*$C$2</f>
        <v>15201378.662900001</v>
      </c>
      <c r="F48" s="38">
        <v>164260.18032786899</v>
      </c>
      <c r="G48" s="39">
        <f>'Nov 13'!$E48/'Nov 13'!$F48</f>
        <v>92.544514638651464</v>
      </c>
      <c r="H48" s="36">
        <v>122</v>
      </c>
      <c r="I48" s="36">
        <v>122</v>
      </c>
      <c r="J48" s="40">
        <f>I48-H48</f>
        <v>0</v>
      </c>
      <c r="K48" s="41">
        <f>'Nov 13'!$F48*'Nov 13'!$I48</f>
        <v>20039742.000000019</v>
      </c>
      <c r="L48" s="42">
        <f>'Nov 13'!$K48/$K$2</f>
        <v>0.11387589038808187</v>
      </c>
      <c r="M48" s="43"/>
    </row>
    <row r="49" spans="1:16" s="47" customFormat="1" ht="12.75" x14ac:dyDescent="0.25">
      <c r="A49" s="36"/>
      <c r="B49" s="36"/>
      <c r="C49" s="36"/>
      <c r="D49" s="37"/>
      <c r="E49" s="38"/>
      <c r="F49" s="38"/>
      <c r="G49" s="39"/>
      <c r="H49" s="36"/>
      <c r="I49" s="36"/>
      <c r="J49" s="48"/>
      <c r="K49" s="38"/>
      <c r="L49" s="42"/>
      <c r="M49" s="36"/>
    </row>
    <row r="50" spans="1:16" s="56" customFormat="1" ht="25.5" x14ac:dyDescent="0.25">
      <c r="A50" s="50" t="s">
        <v>154</v>
      </c>
      <c r="B50" s="50"/>
      <c r="C50" s="50"/>
      <c r="D50" s="58">
        <f>SUBTOTAL(9,D44:D49)</f>
        <v>0.5</v>
      </c>
      <c r="E50" s="52">
        <f>'Nov 13'!$D50*$C$6*$C$2</f>
        <v>76006893.314500004</v>
      </c>
      <c r="F50" s="71"/>
      <c r="G50" s="71"/>
      <c r="H50" s="57"/>
      <c r="I50" s="57"/>
      <c r="J50" s="61"/>
      <c r="K50" s="52">
        <f>SUM(K44:K49)</f>
        <v>99938992.000000015</v>
      </c>
      <c r="L50" s="74">
        <f>'Nov 13'!$K50/$K$2</f>
        <v>0.56790360367350945</v>
      </c>
      <c r="M50" s="50"/>
    </row>
    <row r="51" spans="1:16" s="47" customFormat="1" ht="12.75" x14ac:dyDescent="0.25">
      <c r="A51" s="36"/>
      <c r="B51" s="36"/>
      <c r="C51" s="36"/>
      <c r="D51" s="37"/>
      <c r="E51" s="38"/>
      <c r="F51" s="38"/>
      <c r="G51" s="39"/>
      <c r="H51" s="36"/>
      <c r="I51" s="36"/>
      <c r="J51" s="48"/>
      <c r="K51" s="38"/>
      <c r="L51" s="42"/>
      <c r="M51" s="36"/>
    </row>
    <row r="52" spans="1:16" s="46" customFormat="1" ht="12.75" x14ac:dyDescent="0.25">
      <c r="A52" s="36"/>
      <c r="B52" s="36"/>
      <c r="C52" s="36"/>
      <c r="D52" s="37"/>
      <c r="E52" s="38"/>
      <c r="F52" s="38"/>
      <c r="G52" s="75"/>
      <c r="H52" s="36"/>
      <c r="I52" s="36"/>
      <c r="J52" s="40"/>
      <c r="K52" s="41"/>
      <c r="L52" s="42"/>
      <c r="M52" s="43"/>
    </row>
    <row r="53" spans="1:16" s="46" customFormat="1" ht="25.5" x14ac:dyDescent="0.25">
      <c r="A53" s="36" t="s">
        <v>155</v>
      </c>
      <c r="B53" s="36" t="s">
        <v>53</v>
      </c>
      <c r="C53" s="36" t="s">
        <v>54</v>
      </c>
      <c r="D53" s="37">
        <v>1E-3</v>
      </c>
      <c r="E53" s="38">
        <f>'Nov 13'!$D53*$C$6*$C$2</f>
        <v>152013.78662900001</v>
      </c>
      <c r="F53" s="38">
        <v>48182.666666666701</v>
      </c>
      <c r="G53" s="75">
        <f>'Nov 13'!$E53/'Nov 13'!$F53</f>
        <v>3.1549475598901382</v>
      </c>
      <c r="H53" s="36">
        <v>3</v>
      </c>
      <c r="I53" s="36">
        <v>3</v>
      </c>
      <c r="J53" s="40">
        <f t="shared" ref="J53:J62" si="2">I53-H53</f>
        <v>0</v>
      </c>
      <c r="K53" s="41">
        <f>'Nov 13'!$F53*'Nov 13'!$I53</f>
        <v>144548.00000000012</v>
      </c>
      <c r="L53" s="42">
        <f>'Nov 13'!$K53/$K$2</f>
        <v>8.2139441734411828E-4</v>
      </c>
      <c r="M53" s="43"/>
    </row>
    <row r="54" spans="1:16" s="46" customFormat="1" ht="25.5" x14ac:dyDescent="0.25">
      <c r="A54" s="36" t="s">
        <v>155</v>
      </c>
      <c r="B54" s="36" t="s">
        <v>71</v>
      </c>
      <c r="C54" s="36" t="s">
        <v>72</v>
      </c>
      <c r="D54" s="37">
        <v>1E-3</v>
      </c>
      <c r="E54" s="38">
        <f>'Nov 13'!$D54*$C$6*$C$2</f>
        <v>152013.78662900001</v>
      </c>
      <c r="F54" s="38">
        <v>78854</v>
      </c>
      <c r="G54" s="75">
        <f>'Nov 13'!$E54/'Nov 13'!$F54</f>
        <v>1.9277878944505036</v>
      </c>
      <c r="H54" s="36">
        <v>2</v>
      </c>
      <c r="I54" s="36">
        <v>2</v>
      </c>
      <c r="J54" s="40">
        <f t="shared" si="2"/>
        <v>0</v>
      </c>
      <c r="K54" s="41">
        <f>'Nov 13'!$F54*'Nov 13'!$I54</f>
        <v>157708</v>
      </c>
      <c r="L54" s="42">
        <f>'Nov 13'!$K54/$K$2</f>
        <v>8.9617615442971255E-4</v>
      </c>
      <c r="M54" s="43"/>
      <c r="P54" s="46" t="s">
        <v>159</v>
      </c>
    </row>
    <row r="55" spans="1:16" s="46" customFormat="1" ht="25.5" x14ac:dyDescent="0.25">
      <c r="A55" s="36" t="s">
        <v>155</v>
      </c>
      <c r="B55" s="36" t="s">
        <v>83</v>
      </c>
      <c r="C55" s="36" t="s">
        <v>84</v>
      </c>
      <c r="D55" s="37">
        <v>1E-3</v>
      </c>
      <c r="E55" s="38">
        <f>'Nov 13'!$D55*$C$6*$C$2</f>
        <v>152013.78662900001</v>
      </c>
      <c r="F55" s="38">
        <v>95208</v>
      </c>
      <c r="G55" s="75">
        <f>'Nov 13'!$E55/'Nov 13'!$F55</f>
        <v>1.5966493007835476</v>
      </c>
      <c r="H55" s="36">
        <v>1</v>
      </c>
      <c r="I55" s="36">
        <v>2</v>
      </c>
      <c r="J55" s="40">
        <f t="shared" si="2"/>
        <v>1</v>
      </c>
      <c r="K55" s="41">
        <f>'Nov 13'!$F55*'Nov 13'!$I55</f>
        <v>190416</v>
      </c>
      <c r="L55" s="42">
        <f>'Nov 13'!$K55/$K$2</f>
        <v>1.0820394566026337E-3</v>
      </c>
      <c r="M55" s="43"/>
    </row>
    <row r="56" spans="1:16" s="46" customFormat="1" ht="25.5" x14ac:dyDescent="0.25">
      <c r="A56" s="36" t="s">
        <v>155</v>
      </c>
      <c r="B56" s="36" t="s">
        <v>161</v>
      </c>
      <c r="C56" s="36" t="s">
        <v>86</v>
      </c>
      <c r="D56" s="37">
        <v>1E-3</v>
      </c>
      <c r="E56" s="38">
        <f>'Nov 13'!$D56*$C$6*$C$2</f>
        <v>152013.78662900001</v>
      </c>
      <c r="F56" s="38">
        <v>235457</v>
      </c>
      <c r="G56" s="75">
        <f>'Nov 13'!$E56/'Nov 13'!$F56</f>
        <v>0.64561166849573381</v>
      </c>
      <c r="H56" s="36">
        <v>1</v>
      </c>
      <c r="I56" s="36">
        <v>1</v>
      </c>
      <c r="J56" s="40">
        <f t="shared" si="2"/>
        <v>0</v>
      </c>
      <c r="K56" s="41">
        <f>'Nov 13'!$F56*'Nov 13'!$I56</f>
        <v>235457</v>
      </c>
      <c r="L56" s="42">
        <f>'Nov 13'!$K56/$K$2</f>
        <v>1.3379850660306188E-3</v>
      </c>
      <c r="M56" s="43"/>
    </row>
    <row r="57" spans="1:16" s="46" customFormat="1" ht="25.5" x14ac:dyDescent="0.25">
      <c r="A57" s="36" t="s">
        <v>155</v>
      </c>
      <c r="B57" s="36" t="s">
        <v>87</v>
      </c>
      <c r="C57" s="36" t="s">
        <v>88</v>
      </c>
      <c r="D57" s="37">
        <v>1E-3</v>
      </c>
      <c r="E57" s="38">
        <f>'Nov 13'!$D57*$C$6*$C$2</f>
        <v>152013.78662900001</v>
      </c>
      <c r="F57" s="38">
        <v>11919.333333333299</v>
      </c>
      <c r="G57" s="75">
        <f>'Nov 13'!$E57/'Nov 13'!$F57</f>
        <v>12.753547734409121</v>
      </c>
      <c r="H57" s="36">
        <v>12</v>
      </c>
      <c r="I57" s="36">
        <v>13</v>
      </c>
      <c r="J57" s="40">
        <f t="shared" si="2"/>
        <v>1</v>
      </c>
      <c r="K57" s="41">
        <f>'Nov 13'!$F57*'Nov 13'!$I57</f>
        <v>154951.33333333291</v>
      </c>
      <c r="L57" s="42">
        <f>'Nov 13'!$K57/$K$2</f>
        <v>8.8051138832794039E-4</v>
      </c>
      <c r="M57" s="43"/>
    </row>
    <row r="58" spans="1:16" s="46" customFormat="1" ht="25.5" x14ac:dyDescent="0.25">
      <c r="A58" s="36" t="s">
        <v>155</v>
      </c>
      <c r="B58" s="36" t="s">
        <v>90</v>
      </c>
      <c r="C58" s="36" t="s">
        <v>91</v>
      </c>
      <c r="D58" s="37">
        <v>1E-3</v>
      </c>
      <c r="E58" s="38">
        <f>'Nov 13'!$D58*$C$6*$C$2</f>
        <v>152013.78662900001</v>
      </c>
      <c r="F58" s="38">
        <v>91357.5</v>
      </c>
      <c r="G58" s="75">
        <f>'Nov 13'!$E58/'Nov 13'!$F58</f>
        <v>1.6639442479161537</v>
      </c>
      <c r="H58" s="36">
        <v>2</v>
      </c>
      <c r="I58" s="36">
        <v>2</v>
      </c>
      <c r="J58" s="40">
        <f t="shared" si="2"/>
        <v>0</v>
      </c>
      <c r="K58" s="41">
        <f>'Nov 13'!$F58*'Nov 13'!$I58</f>
        <v>182715</v>
      </c>
      <c r="L58" s="42">
        <f>'Nov 13'!$K58/$K$2</f>
        <v>1.0382785024007973E-3</v>
      </c>
      <c r="M58" s="43"/>
    </row>
    <row r="59" spans="1:16" s="4" customFormat="1" ht="25.5" x14ac:dyDescent="0.2">
      <c r="A59" s="36" t="s">
        <v>155</v>
      </c>
      <c r="B59" s="64" t="s">
        <v>112</v>
      </c>
      <c r="C59" s="64" t="s">
        <v>113</v>
      </c>
      <c r="D59" s="37">
        <v>1E-3</v>
      </c>
      <c r="E59" s="38">
        <f>'Nov 13'!$D59*$C$6*$C$2</f>
        <v>152013.78662900001</v>
      </c>
      <c r="F59" s="38">
        <v>65461.5</v>
      </c>
      <c r="G59" s="75">
        <f>'Nov 13'!$E59/'Nov 13'!$F59</f>
        <v>2.3221861190012452</v>
      </c>
      <c r="H59" s="36">
        <v>2</v>
      </c>
      <c r="I59" s="36">
        <v>2</v>
      </c>
      <c r="J59" s="40">
        <f t="shared" si="2"/>
        <v>0</v>
      </c>
      <c r="K59" s="41">
        <f>'Nov 13'!$F59*'Nov 13'!$I59</f>
        <v>130923</v>
      </c>
      <c r="L59" s="42">
        <f>'Nov 13'!$K59/$K$2</f>
        <v>7.439703164481273E-4</v>
      </c>
      <c r="M59" s="65"/>
    </row>
    <row r="60" spans="1:16" s="46" customFormat="1" ht="25.5" x14ac:dyDescent="0.25">
      <c r="A60" s="36" t="s">
        <v>155</v>
      </c>
      <c r="B60" s="36" t="s">
        <v>164</v>
      </c>
      <c r="C60" s="36" t="s">
        <v>82</v>
      </c>
      <c r="D60" s="37">
        <v>1E-3</v>
      </c>
      <c r="E60" s="38">
        <f>'Nov 13'!$D60*$C$6*$C$2</f>
        <v>152013.78662900001</v>
      </c>
      <c r="F60" s="38">
        <v>29760</v>
      </c>
      <c r="G60" s="75">
        <f>'Nov 13'!$E60/'Nov 13'!$F60</f>
        <v>5.1079901421034952</v>
      </c>
      <c r="H60" s="36">
        <v>5</v>
      </c>
      <c r="I60" s="36">
        <v>5</v>
      </c>
      <c r="J60" s="40">
        <f t="shared" si="2"/>
        <v>0</v>
      </c>
      <c r="K60" s="41">
        <f>'Nov 13'!$F60*'Nov 13'!$I60</f>
        <v>148800</v>
      </c>
      <c r="L60" s="42">
        <f>'Nov 13'!$K60/$K$2</f>
        <v>8.4555641932648458E-4</v>
      </c>
      <c r="M60" s="43"/>
    </row>
    <row r="61" spans="1:16" s="46" customFormat="1" ht="25.5" x14ac:dyDescent="0.25">
      <c r="A61" s="36" t="s">
        <v>155</v>
      </c>
      <c r="B61" s="36" t="s">
        <v>100</v>
      </c>
      <c r="C61" s="36" t="s">
        <v>101</v>
      </c>
      <c r="D61" s="37">
        <v>1E-3</v>
      </c>
      <c r="E61" s="38">
        <f>'Nov 13'!$D61*$C$6*$C$2</f>
        <v>152013.78662900001</v>
      </c>
      <c r="F61" s="38">
        <v>7833.0555555555602</v>
      </c>
      <c r="G61" s="75">
        <f>'Nov 13'!$E61/'Nov 13'!$F61</f>
        <v>19.406703495315426</v>
      </c>
      <c r="H61" s="36">
        <v>18</v>
      </c>
      <c r="I61" s="36">
        <v>19</v>
      </c>
      <c r="J61" s="40">
        <f t="shared" si="2"/>
        <v>1</v>
      </c>
      <c r="K61" s="41">
        <f>'Nov 13'!$F61*'Nov 13'!$I61</f>
        <v>148828.05555555565</v>
      </c>
      <c r="L61" s="42">
        <f>'Nov 13'!$K61/$K$2</f>
        <v>8.4571584509999164E-4</v>
      </c>
      <c r="M61" s="43"/>
    </row>
    <row r="62" spans="1:16" s="46" customFormat="1" ht="25.5" x14ac:dyDescent="0.25">
      <c r="A62" s="36" t="s">
        <v>155</v>
      </c>
      <c r="B62" s="36" t="s">
        <v>174</v>
      </c>
      <c r="C62" s="36" t="s">
        <v>75</v>
      </c>
      <c r="D62" s="37">
        <v>1E-3</v>
      </c>
      <c r="E62" s="38">
        <f>'Nov 13'!$D62*$C$6*$C$2</f>
        <v>152013.78662900001</v>
      </c>
      <c r="F62" s="38">
        <v>27104.400000000001</v>
      </c>
      <c r="G62" s="75">
        <f>'Nov 13'!$E62/'Nov 13'!$F62</f>
        <v>5.608454222524756</v>
      </c>
      <c r="H62" s="36">
        <v>5</v>
      </c>
      <c r="I62" s="36">
        <v>6</v>
      </c>
      <c r="J62" s="40">
        <f t="shared" si="2"/>
        <v>1</v>
      </c>
      <c r="K62" s="41">
        <f>'Nov 13'!$F62*'Nov 13'!$I62</f>
        <v>162626.40000000002</v>
      </c>
      <c r="L62" s="42">
        <f>'Nov 13'!$K62/$K$2</f>
        <v>9.2412497629003115E-4</v>
      </c>
      <c r="M62" s="43"/>
    </row>
    <row r="63" spans="1:16" s="46" customFormat="1" ht="12.75" x14ac:dyDescent="0.25">
      <c r="A63" s="36"/>
      <c r="B63" s="36"/>
      <c r="C63" s="36"/>
      <c r="D63" s="37"/>
      <c r="E63" s="38"/>
      <c r="F63" s="38"/>
      <c r="G63" s="39"/>
      <c r="H63" s="36"/>
      <c r="I63" s="36"/>
      <c r="J63" s="43"/>
      <c r="K63" s="41"/>
      <c r="L63" s="42"/>
      <c r="M63" s="43"/>
    </row>
    <row r="64" spans="1:16" s="46" customFormat="1" ht="12.75" x14ac:dyDescent="0.25">
      <c r="A64" s="36"/>
      <c r="B64" s="36"/>
      <c r="C64" s="36"/>
      <c r="D64" s="37"/>
      <c r="E64" s="38"/>
      <c r="F64" s="38"/>
      <c r="G64" s="39"/>
      <c r="H64" s="36"/>
      <c r="I64" s="36"/>
      <c r="J64" s="43"/>
      <c r="K64" s="41"/>
      <c r="L64" s="42"/>
      <c r="M64" s="43"/>
    </row>
    <row r="65" spans="1:13" s="17" customFormat="1" ht="12.75" x14ac:dyDescent="0.2">
      <c r="A65" s="50" t="s">
        <v>167</v>
      </c>
      <c r="B65" s="68"/>
      <c r="C65" s="68"/>
      <c r="D65" s="76">
        <f>SUM(D53:D64)</f>
        <v>1.0000000000000002E-2</v>
      </c>
      <c r="E65" s="52">
        <f>SUM(E52:E64)</f>
        <v>1520137.86629</v>
      </c>
      <c r="F65" s="71"/>
      <c r="G65" s="71"/>
      <c r="H65" s="68"/>
      <c r="I65" s="68"/>
      <c r="J65" s="50"/>
      <c r="K65" s="52">
        <f>SUM(K52:K64)</f>
        <v>1656972.7888888889</v>
      </c>
      <c r="L65" s="55">
        <f>'Nov 13'!$K65/$K$2</f>
        <v>9.4157525423004575E-3</v>
      </c>
      <c r="M65" s="62"/>
    </row>
    <row r="66" spans="1:13" s="4" customFormat="1" ht="12.75" x14ac:dyDescent="0.2">
      <c r="A66" s="36"/>
      <c r="B66" s="64"/>
      <c r="C66" s="64"/>
      <c r="D66" s="77"/>
      <c r="E66" s="38"/>
      <c r="F66" s="38"/>
      <c r="G66" s="39"/>
      <c r="H66" s="64"/>
      <c r="I66" s="64"/>
      <c r="J66" s="36"/>
      <c r="K66" s="36"/>
      <c r="L66" s="42"/>
      <c r="M66" s="65"/>
    </row>
    <row r="67" spans="1:13" s="46" customFormat="1" ht="25.5" x14ac:dyDescent="0.25">
      <c r="A67" s="50" t="s">
        <v>168</v>
      </c>
      <c r="B67" s="57" t="s">
        <v>169</v>
      </c>
      <c r="C67" s="57" t="s">
        <v>170</v>
      </c>
      <c r="D67" s="58">
        <v>0</v>
      </c>
      <c r="E67" s="59">
        <f>'Nov 13'!$D67*$C$6*$C$2</f>
        <v>0</v>
      </c>
      <c r="F67" s="59">
        <v>0</v>
      </c>
      <c r="G67" s="60" t="s">
        <v>175</v>
      </c>
      <c r="H67" s="57">
        <v>0</v>
      </c>
      <c r="I67" s="57">
        <v>0</v>
      </c>
      <c r="J67" s="78">
        <f>I67-H67</f>
        <v>0</v>
      </c>
      <c r="K67" s="59">
        <f>'Nov 13'!$F67*'Nov 13'!$I67</f>
        <v>0</v>
      </c>
      <c r="L67" s="79">
        <f>'Nov 13'!$K67/$K$2</f>
        <v>0</v>
      </c>
      <c r="M67" s="57"/>
    </row>
    <row r="68" spans="1:13" s="4" customFormat="1" ht="12.75" x14ac:dyDescent="0.2">
      <c r="A68" s="36"/>
      <c r="B68" s="64"/>
      <c r="C68" s="64"/>
      <c r="D68" s="77"/>
      <c r="E68" s="38"/>
      <c r="F68" s="38"/>
      <c r="G68" s="39"/>
      <c r="H68" s="64"/>
      <c r="I68" s="64"/>
      <c r="J68" s="36"/>
      <c r="K68" s="36"/>
      <c r="L68" s="42"/>
      <c r="M68" s="65"/>
    </row>
    <row r="69" spans="1:13" s="4" customFormat="1" ht="12.75" x14ac:dyDescent="0.2">
      <c r="A69" s="36"/>
      <c r="B69" s="64"/>
      <c r="C69" s="64"/>
      <c r="D69" s="80"/>
      <c r="E69" s="66"/>
      <c r="F69" s="38"/>
      <c r="G69" s="39"/>
      <c r="H69" s="64"/>
      <c r="I69" s="64"/>
      <c r="J69" s="36"/>
      <c r="K69" s="36"/>
      <c r="L69" s="42"/>
      <c r="M69" s="65"/>
    </row>
    <row r="70" spans="1:13" s="17" customFormat="1" ht="12.75" x14ac:dyDescent="0.2">
      <c r="A70" s="50" t="s">
        <v>171</v>
      </c>
      <c r="B70" s="68"/>
      <c r="C70" s="68"/>
      <c r="D70" s="68"/>
      <c r="E70" s="81"/>
      <c r="F70" s="81"/>
      <c r="G70" s="50"/>
      <c r="H70" s="68"/>
      <c r="I70" s="68"/>
      <c r="J70" s="68"/>
      <c r="K70" s="81">
        <f>SUM(K27,K29,K42,K50,K65,K67:K67)</f>
        <v>175978795.26303452</v>
      </c>
      <c r="L70" s="55">
        <f>'Nov 13'!$K70/$K$2</f>
        <v>1</v>
      </c>
      <c r="M70" s="68"/>
    </row>
    <row r="71" spans="1:13" s="4" customFormat="1" ht="12.75" x14ac:dyDescent="0.2">
      <c r="A71" s="65"/>
      <c r="B71" s="65"/>
      <c r="C71" s="65"/>
      <c r="D71" s="82"/>
      <c r="E71" s="83"/>
      <c r="F71" s="38"/>
      <c r="G71" s="84"/>
      <c r="H71" s="65"/>
      <c r="I71" s="65"/>
      <c r="J71" s="65"/>
      <c r="K71" s="65"/>
      <c r="L71" s="42"/>
      <c r="M71" s="65"/>
    </row>
    <row r="72" spans="1:13" s="4" customFormat="1" ht="12.75" x14ac:dyDescent="0.2">
      <c r="A72" s="65"/>
      <c r="B72" s="65"/>
      <c r="C72" s="65"/>
      <c r="D72" s="82"/>
      <c r="E72" s="83"/>
      <c r="F72" s="38"/>
      <c r="G72" s="84"/>
      <c r="H72" s="65"/>
      <c r="I72" s="65"/>
      <c r="J72" s="65"/>
      <c r="K72" s="65"/>
      <c r="L72" s="42"/>
      <c r="M72" s="65"/>
    </row>
    <row r="73" spans="1:13" s="4" customFormat="1" ht="12.75" x14ac:dyDescent="0.2">
      <c r="A73" s="65"/>
      <c r="B73" s="65"/>
      <c r="C73" s="65"/>
      <c r="D73" s="82"/>
      <c r="E73" s="83"/>
      <c r="F73" s="38"/>
      <c r="G73" s="84"/>
      <c r="H73" s="65"/>
      <c r="I73" s="65"/>
      <c r="J73" s="65"/>
      <c r="K73" s="65"/>
      <c r="L73" s="42"/>
      <c r="M73" s="65"/>
    </row>
    <row r="74" spans="1:13" s="4" customFormat="1" ht="12.75" x14ac:dyDescent="0.2">
      <c r="A74" s="65"/>
      <c r="B74" s="65"/>
      <c r="C74" s="65"/>
      <c r="D74" s="82"/>
      <c r="E74" s="83"/>
      <c r="F74" s="38"/>
      <c r="G74" s="84"/>
      <c r="H74" s="65"/>
      <c r="I74" s="65"/>
      <c r="J74" s="65"/>
      <c r="K74" s="65"/>
      <c r="L74" s="42"/>
      <c r="M74" s="65"/>
    </row>
    <row r="75" spans="1:13" s="4" customFormat="1" ht="12.75" x14ac:dyDescent="0.2">
      <c r="A75" s="65"/>
      <c r="B75" s="65"/>
      <c r="C75" s="65"/>
      <c r="D75" s="82"/>
      <c r="E75" s="83"/>
      <c r="F75" s="38"/>
      <c r="G75" s="84"/>
      <c r="H75" s="65"/>
      <c r="I75" s="65"/>
      <c r="J75" s="65"/>
      <c r="K75" s="65"/>
      <c r="L75" s="42"/>
      <c r="M75" s="65"/>
    </row>
    <row r="76" spans="1:13" s="4" customFormat="1" ht="12.75" x14ac:dyDescent="0.2">
      <c r="A76" s="65"/>
      <c r="B76" s="65"/>
      <c r="C76" s="65"/>
      <c r="D76" s="82"/>
      <c r="E76" s="83"/>
      <c r="F76" s="38"/>
      <c r="G76" s="84"/>
      <c r="H76" s="65"/>
      <c r="I76" s="65"/>
      <c r="J76" s="65"/>
      <c r="K76" s="65"/>
      <c r="L76" s="42"/>
      <c r="M76" s="65"/>
    </row>
    <row r="77" spans="1:13" s="4" customFormat="1" ht="12.75" x14ac:dyDescent="0.2">
      <c r="A77" s="65"/>
      <c r="B77" s="65"/>
      <c r="C77" s="65"/>
      <c r="D77" s="82"/>
      <c r="E77" s="83"/>
      <c r="F77" s="38"/>
      <c r="G77" s="84"/>
      <c r="H77" s="65"/>
      <c r="I77" s="65"/>
      <c r="J77" s="65"/>
      <c r="K77" s="65"/>
      <c r="L77" s="42"/>
      <c r="M77" s="65"/>
    </row>
    <row r="78" spans="1:13" s="4" customFormat="1" ht="12.75" x14ac:dyDescent="0.2">
      <c r="A78" s="65"/>
      <c r="B78" s="65"/>
      <c r="C78" s="65"/>
      <c r="D78" s="82"/>
      <c r="E78" s="83"/>
      <c r="F78" s="38"/>
      <c r="G78" s="84"/>
      <c r="H78" s="65"/>
      <c r="I78" s="65"/>
      <c r="J78" s="65"/>
      <c r="K78" s="65"/>
      <c r="L78" s="42"/>
      <c r="M78" s="65"/>
    </row>
    <row r="79" spans="1:13" s="4" customFormat="1" ht="12.75" x14ac:dyDescent="0.2">
      <c r="A79" s="65"/>
      <c r="B79" s="65"/>
      <c r="C79" s="65"/>
      <c r="D79" s="82"/>
      <c r="E79" s="83"/>
      <c r="F79" s="38"/>
      <c r="G79" s="84"/>
      <c r="H79" s="65"/>
      <c r="I79" s="65"/>
      <c r="J79" s="65"/>
      <c r="K79" s="65"/>
      <c r="L79" s="42"/>
      <c r="M79" s="65"/>
    </row>
    <row r="80" spans="1:13" s="4" customFormat="1" ht="12.75" x14ac:dyDescent="0.2"/>
    <row r="81" spans="1:13" s="4" customFormat="1" ht="12.75" x14ac:dyDescent="0.2"/>
    <row r="83" spans="1:13" s="4" customFormat="1" ht="12.75" x14ac:dyDescent="0.2">
      <c r="A83" s="85"/>
      <c r="B83" s="85"/>
      <c r="E83" s="85"/>
      <c r="F83" s="85"/>
      <c r="G83" s="85"/>
      <c r="H83" s="86"/>
      <c r="M83" s="85"/>
    </row>
    <row r="84" spans="1:13" s="4" customFormat="1" ht="12.75" x14ac:dyDescent="0.2">
      <c r="A84" s="85"/>
      <c r="B84" s="85"/>
      <c r="E84" s="85"/>
      <c r="F84" s="85"/>
      <c r="G84" s="85"/>
      <c r="H84" s="86"/>
      <c r="M84" s="85"/>
    </row>
    <row r="85" spans="1:13" s="4" customFormat="1" ht="12.75" x14ac:dyDescent="0.2">
      <c r="A85" s="87"/>
      <c r="B85" s="87"/>
    </row>
    <row r="86" spans="1:13" s="4" customFormat="1" ht="12.75" x14ac:dyDescent="0.2">
      <c r="A86" s="88"/>
      <c r="B86" s="88"/>
      <c r="E86" s="88"/>
      <c r="F86" s="87"/>
      <c r="G86" s="87"/>
      <c r="M86" s="89"/>
    </row>
    <row r="87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H87"/>
  <sheetViews>
    <sheetView zoomScale="140" zoomScaleNormal="140" workbookViewId="0">
      <pane xSplit="2" topLeftCell="C1" activePane="topRight" state="frozen"/>
      <selection pane="topRight" activeCell="D8" sqref="D8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116</v>
      </c>
      <c r="C1" s="6">
        <v>44151</v>
      </c>
      <c r="D1" s="7"/>
      <c r="E1" s="8" t="s">
        <v>117</v>
      </c>
      <c r="F1" s="9"/>
      <c r="G1" s="10"/>
      <c r="K1" s="11" t="s">
        <v>118</v>
      </c>
      <c r="L1" s="11" t="s">
        <v>119</v>
      </c>
      <c r="M1" s="12" t="s">
        <v>120</v>
      </c>
    </row>
    <row r="2" spans="1:17" x14ac:dyDescent="0.25">
      <c r="A2" s="5"/>
      <c r="B2" s="5" t="s">
        <v>121</v>
      </c>
      <c r="C2" s="13">
        <v>6.6</v>
      </c>
      <c r="D2" s="14"/>
      <c r="E2" s="15">
        <f>SUM(E27,E42,E50,E65,E29,E67)</f>
        <v>167531827.51800001</v>
      </c>
      <c r="F2" s="16"/>
      <c r="G2" s="17"/>
      <c r="H2" s="14"/>
      <c r="I2" s="14"/>
      <c r="J2" s="14"/>
      <c r="K2" s="15">
        <f>SUM(K27,K42,K50,K65,K29,K67:K67)</f>
        <v>184083809.15343615</v>
      </c>
      <c r="L2" s="18">
        <f>SUM(L50,L65,L42,L27,L29,L67)</f>
        <v>1</v>
      </c>
      <c r="M2" s="19">
        <f>K2/$C$6</f>
        <v>7.252073581553578</v>
      </c>
      <c r="N2" s="20"/>
    </row>
    <row r="3" spans="1:17" ht="26.25" x14ac:dyDescent="0.25">
      <c r="A3" s="5"/>
      <c r="B3" s="5" t="s">
        <v>122</v>
      </c>
      <c r="C3" s="21">
        <v>25383610.23</v>
      </c>
      <c r="D3" s="22"/>
      <c r="E3" s="8" t="s">
        <v>123</v>
      </c>
      <c r="F3" s="16"/>
      <c r="H3" s="14"/>
      <c r="I3" s="14"/>
      <c r="J3" s="14"/>
      <c r="K3" s="8" t="s">
        <v>123</v>
      </c>
      <c r="L3" s="14"/>
      <c r="M3" s="12" t="s">
        <v>124</v>
      </c>
      <c r="N3" s="23"/>
    </row>
    <row r="4" spans="1:17" x14ac:dyDescent="0.25">
      <c r="A4" s="5"/>
      <c r="B4" s="5" t="s">
        <v>125</v>
      </c>
      <c r="C4" s="21">
        <v>0</v>
      </c>
      <c r="D4" s="22"/>
      <c r="E4" s="15">
        <f>SUM(E27,E65,E29)</f>
        <v>34344024.641190007</v>
      </c>
      <c r="F4" s="16"/>
      <c r="G4" s="17"/>
      <c r="H4" s="14"/>
      <c r="I4" s="14"/>
      <c r="J4" s="14"/>
      <c r="K4" s="15">
        <f>SUM(K27,K29,K65)</f>
        <v>34457120.252273589</v>
      </c>
      <c r="L4" s="14"/>
      <c r="M4" s="19">
        <f>K4/$C$6</f>
        <v>1.3574554580715208</v>
      </c>
      <c r="N4" s="23"/>
    </row>
    <row r="5" spans="1:17" x14ac:dyDescent="0.25">
      <c r="A5" s="5"/>
      <c r="B5" s="5" t="s">
        <v>126</v>
      </c>
      <c r="C5" s="21">
        <v>0</v>
      </c>
      <c r="D5" s="22"/>
      <c r="E5" s="16"/>
      <c r="F5" s="16"/>
      <c r="G5" s="24">
        <f>SUM(D27,D29,D42,D50,D65,D67:D67)</f>
        <v>1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127</v>
      </c>
      <c r="C6" s="21">
        <f>C3+C4-C5</f>
        <v>25383610.23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128</v>
      </c>
      <c r="B8" s="30" t="s">
        <v>129</v>
      </c>
      <c r="C8" s="31" t="s">
        <v>1</v>
      </c>
      <c r="D8" s="31" t="s">
        <v>130</v>
      </c>
      <c r="E8" s="31" t="s">
        <v>131</v>
      </c>
      <c r="F8" s="31" t="s">
        <v>132</v>
      </c>
      <c r="G8" s="31" t="s">
        <v>133</v>
      </c>
      <c r="H8" s="31" t="s">
        <v>134</v>
      </c>
      <c r="I8" s="31" t="s">
        <v>135</v>
      </c>
      <c r="J8" s="31" t="s">
        <v>136</v>
      </c>
      <c r="K8" s="32" t="s">
        <v>137</v>
      </c>
      <c r="L8" s="32" t="s">
        <v>138</v>
      </c>
      <c r="M8" s="32" t="s">
        <v>139</v>
      </c>
      <c r="N8" s="33"/>
      <c r="Q8" s="35"/>
    </row>
    <row r="9" spans="1:17" s="46" customFormat="1" ht="12.75" customHeight="1" x14ac:dyDescent="0.25">
      <c r="A9" s="36" t="s">
        <v>140</v>
      </c>
      <c r="B9" s="36" t="s">
        <v>49</v>
      </c>
      <c r="C9" s="36" t="s">
        <v>50</v>
      </c>
      <c r="D9" s="37">
        <v>1.2500000000000001E-2</v>
      </c>
      <c r="E9" s="38">
        <f>'Nov 16'!$D9*$C$6*$C$2</f>
        <v>2094147.8439749999</v>
      </c>
      <c r="F9" s="38">
        <v>411.48004291845501</v>
      </c>
      <c r="G9" s="39">
        <f>'Nov 16'!$E9/'Nov 16'!$F9</f>
        <v>5089.3059821858897</v>
      </c>
      <c r="H9" s="36">
        <v>4660</v>
      </c>
      <c r="I9" s="36">
        <f>ROUND(Table138958456799101112131445626789101112131415161718192021345678910111213141516171819202122233456789101112[[#This Row],[Target Quantity]],0)</f>
        <v>5089</v>
      </c>
      <c r="J9" s="40">
        <f t="shared" ref="J9:J25" si="0">I9-H9</f>
        <v>429</v>
      </c>
      <c r="K9" s="41">
        <f>'Nov 16'!$F9*'Nov 16'!$I9</f>
        <v>2094021.9384120177</v>
      </c>
      <c r="L9" s="42">
        <f>'Nov 16'!$K9/$K$2</f>
        <v>1.1375372706823032E-2</v>
      </c>
      <c r="M9" s="43"/>
    </row>
    <row r="10" spans="1:17" s="46" customFormat="1" ht="12.75" customHeight="1" x14ac:dyDescent="0.25">
      <c r="A10" s="36" t="s">
        <v>140</v>
      </c>
      <c r="B10" s="36" t="s">
        <v>37</v>
      </c>
      <c r="C10" s="36" t="s">
        <v>38</v>
      </c>
      <c r="D10" s="37">
        <v>1.2500000000000001E-2</v>
      </c>
      <c r="E10" s="38">
        <f>'Nov 16'!$D10*$C$6*$C$2</f>
        <v>2094147.8439749999</v>
      </c>
      <c r="F10" s="38">
        <v>98.220006630985694</v>
      </c>
      <c r="G10" s="39">
        <f>'Nov 16'!$E10/'Nov 16'!$F10</f>
        <v>21320.990659700834</v>
      </c>
      <c r="H10" s="36">
        <v>21113</v>
      </c>
      <c r="I10" s="36">
        <f>ROUND(Table138958456799101112131445626789101112131415161718192021345678910111213141516171819202122233456789101112[[#This Row],[Target Quantity]],0)</f>
        <v>21321</v>
      </c>
      <c r="J10" s="40">
        <f t="shared" si="0"/>
        <v>208</v>
      </c>
      <c r="K10" s="41">
        <f>'Nov 16'!$F10*'Nov 16'!$I10</f>
        <v>2094148.7613792459</v>
      </c>
      <c r="L10" s="42">
        <f>'Nov 16'!$K10/$K$2</f>
        <v>1.1376061648277534E-2</v>
      </c>
      <c r="M10" s="43"/>
    </row>
    <row r="11" spans="1:17" s="47" customFormat="1" ht="12.75" customHeight="1" x14ac:dyDescent="0.25">
      <c r="A11" s="36" t="s">
        <v>140</v>
      </c>
      <c r="B11" s="36" t="s">
        <v>27</v>
      </c>
      <c r="C11" s="36" t="s">
        <v>28</v>
      </c>
      <c r="D11" s="37">
        <v>1.2500000000000001E-2</v>
      </c>
      <c r="E11" s="38">
        <f>'Nov 16'!$D11*$C$6*$C$2</f>
        <v>2094147.8439749999</v>
      </c>
      <c r="F11" s="38">
        <v>205.69997761862101</v>
      </c>
      <c r="G11" s="39">
        <f>'Nov 16'!$E11/'Nov 16'!$F11</f>
        <v>10180.593445944191</v>
      </c>
      <c r="H11" s="36">
        <v>8936</v>
      </c>
      <c r="I11" s="36">
        <f>ROUND(Table138958456799101112131445626789101112131415161718192021345678910111213141516171819202122233456789101112[[#This Row],[Target Quantity]],0)</f>
        <v>10181</v>
      </c>
      <c r="J11" s="40">
        <f t="shared" si="0"/>
        <v>1245</v>
      </c>
      <c r="K11" s="41">
        <f>'Nov 16'!$F11*'Nov 16'!$I11</f>
        <v>2094231.4721351804</v>
      </c>
      <c r="L11" s="42">
        <f>'Nov 16'!$K11/$K$2</f>
        <v>1.1376510958601538E-2</v>
      </c>
      <c r="M11" s="36"/>
    </row>
    <row r="12" spans="1:17" s="47" customFormat="1" ht="12.75" customHeight="1" x14ac:dyDescent="0.25">
      <c r="A12" s="36" t="s">
        <v>140</v>
      </c>
      <c r="B12" s="36" t="s">
        <v>51</v>
      </c>
      <c r="C12" s="36" t="s">
        <v>52</v>
      </c>
      <c r="D12" s="37">
        <v>1.2500000000000001E-2</v>
      </c>
      <c r="E12" s="38">
        <f>'Nov 16'!$D12*$C$6*$C$2</f>
        <v>2094147.8439749999</v>
      </c>
      <c r="F12" s="38">
        <v>405.56996353691898</v>
      </c>
      <c r="G12" s="39">
        <f>'Nov 16'!$E12/'Nov 16'!$F12</f>
        <v>5163.4687778952593</v>
      </c>
      <c r="H12" s="36">
        <v>4388</v>
      </c>
      <c r="I12" s="36">
        <f>ROUND(Table138958456799101112131445626789101112131415161718192021345678910111213141516171819202122233456789101112[[#This Row],[Target Quantity]],0)</f>
        <v>5163</v>
      </c>
      <c r="J12" s="40">
        <f t="shared" si="0"/>
        <v>775</v>
      </c>
      <c r="K12" s="41">
        <f>'Nov 16'!$F12*'Nov 16'!$I12</f>
        <v>2093957.7217411126</v>
      </c>
      <c r="L12" s="42">
        <f>'Nov 16'!$K12/$K$2</f>
        <v>1.1375023862070198E-2</v>
      </c>
      <c r="M12" s="36"/>
    </row>
    <row r="13" spans="1:17" s="47" customFormat="1" ht="12.75" customHeight="1" x14ac:dyDescent="0.25">
      <c r="A13" s="36" t="s">
        <v>140</v>
      </c>
      <c r="B13" s="36" t="s">
        <v>41</v>
      </c>
      <c r="C13" s="36" t="s">
        <v>42</v>
      </c>
      <c r="D13" s="37">
        <v>1.2500000000000001E-2</v>
      </c>
      <c r="E13" s="38">
        <f>'Nov 16'!$D13*$C$6*$C$2</f>
        <v>2094147.8439749999</v>
      </c>
      <c r="F13" s="38">
        <v>1301.6603001364299</v>
      </c>
      <c r="G13" s="39">
        <f>'Nov 16'!$E13/'Nov 16'!$F13</f>
        <v>1608.8282355661515</v>
      </c>
      <c r="H13" s="36">
        <v>1466</v>
      </c>
      <c r="I13" s="36">
        <f>ROUND(Table138958456799101112131445626789101112131415161718192021345678910111213141516171819202122233456789101112[[#This Row],[Target Quantity]],0)</f>
        <v>1609</v>
      </c>
      <c r="J13" s="40">
        <f t="shared" si="0"/>
        <v>143</v>
      </c>
      <c r="K13" s="41">
        <f>'Nov 16'!$F13*'Nov 16'!$I13</f>
        <v>2094371.4229195158</v>
      </c>
      <c r="L13" s="42">
        <f>'Nov 16'!$K13/$K$2</f>
        <v>1.1377271214405559E-2</v>
      </c>
      <c r="M13" s="36"/>
    </row>
    <row r="14" spans="1:17" s="47" customFormat="1" ht="12.75" customHeight="1" x14ac:dyDescent="0.25">
      <c r="A14" s="36" t="s">
        <v>140</v>
      </c>
      <c r="B14" s="36" t="s">
        <v>31</v>
      </c>
      <c r="C14" s="36" t="s">
        <v>32</v>
      </c>
      <c r="D14" s="37">
        <v>1.2500000000000001E-2</v>
      </c>
      <c r="E14" s="38">
        <f>'Nov 16'!$D14*$C$6*$C$2</f>
        <v>2094147.8439749999</v>
      </c>
      <c r="F14" s="38">
        <v>271.90994185222002</v>
      </c>
      <c r="G14" s="39">
        <f>'Nov 16'!$E14/'Nov 16'!$F14</f>
        <v>7701.6229333502843</v>
      </c>
      <c r="H14" s="36">
        <v>7051</v>
      </c>
      <c r="I14" s="36">
        <f>ROUND(Table138958456799101112131445626789101112131415161718192021345678910111213141516171819202122233456789101112[[#This Row],[Target Quantity]],0)</f>
        <v>7702</v>
      </c>
      <c r="J14" s="40">
        <f t="shared" si="0"/>
        <v>651</v>
      </c>
      <c r="K14" s="41">
        <f>'Nov 16'!$F14*'Nov 16'!$I14</f>
        <v>2094250.3721457985</v>
      </c>
      <c r="L14" s="42">
        <f>'Nov 16'!$K14/$K$2</f>
        <v>1.137661362928564E-2</v>
      </c>
      <c r="M14" s="36"/>
    </row>
    <row r="15" spans="1:17" s="47" customFormat="1" ht="12.75" customHeight="1" x14ac:dyDescent="0.25">
      <c r="A15" s="36" t="s">
        <v>140</v>
      </c>
      <c r="B15" s="36" t="s">
        <v>29</v>
      </c>
      <c r="C15" s="36" t="s">
        <v>30</v>
      </c>
      <c r="D15" s="37">
        <v>6.2500000000000003E-3</v>
      </c>
      <c r="E15" s="38">
        <f>'Nov 16'!$D15*$C$6*$C$2</f>
        <v>1047073.9219874999</v>
      </c>
      <c r="F15" s="38">
        <v>20.5</v>
      </c>
      <c r="G15" s="39">
        <f>'Nov 16'!$E15/'Nov 16'!$F15</f>
        <v>51076.776682317068</v>
      </c>
      <c r="H15" s="36">
        <v>48672</v>
      </c>
      <c r="I15" s="36">
        <f>ROUND(Table138958456799101112131445626789101112131415161718192021345678910111213141516171819202122233456789101112[[#This Row],[Target Quantity]],0)</f>
        <v>51077</v>
      </c>
      <c r="J15" s="40">
        <f t="shared" si="0"/>
        <v>2405</v>
      </c>
      <c r="K15" s="41">
        <f>'Nov 16'!$F15*'Nov 16'!$I15</f>
        <v>1047078.5</v>
      </c>
      <c r="L15" s="42">
        <f>'Nov 16'!$K15/$K$2</f>
        <v>5.6880532015026212E-3</v>
      </c>
      <c r="M15" s="36"/>
    </row>
    <row r="16" spans="1:17" s="47" customFormat="1" ht="12.75" customHeight="1" x14ac:dyDescent="0.25">
      <c r="A16" s="36" t="s">
        <v>140</v>
      </c>
      <c r="B16" s="36" t="s">
        <v>39</v>
      </c>
      <c r="C16" s="36" t="s">
        <v>40</v>
      </c>
      <c r="D16" s="37">
        <v>6.2500000000000003E-3</v>
      </c>
      <c r="E16" s="38">
        <f>'Nov 16'!$D16*$C$6*$C$2</f>
        <v>1047073.9219874999</v>
      </c>
      <c r="F16" s="38">
        <v>34.340002783770601</v>
      </c>
      <c r="G16" s="39">
        <f>'Nov 16'!$E16/'Nov 16'!$F16</f>
        <v>30491.37557095239</v>
      </c>
      <c r="H16" s="36">
        <v>28738</v>
      </c>
      <c r="I16" s="36">
        <f>ROUND(Table138958456799101112131445626789101112131415161718192021345678910111213141516171819202122233456789101112[[#This Row],[Target Quantity]],0)</f>
        <v>30491</v>
      </c>
      <c r="J16" s="40">
        <f t="shared" si="0"/>
        <v>1753</v>
      </c>
      <c r="K16" s="41">
        <f>'Nov 16'!$F16*'Nov 16'!$I16</f>
        <v>1047061.0248799494</v>
      </c>
      <c r="L16" s="42">
        <f>'Nov 16'!$K16/$K$2</f>
        <v>5.6879582712633407E-3</v>
      </c>
      <c r="M16" s="36"/>
    </row>
    <row r="17" spans="1:15" s="47" customFormat="1" ht="12.75" customHeight="1" x14ac:dyDescent="0.25">
      <c r="A17" s="36" t="s">
        <v>140</v>
      </c>
      <c r="B17" s="36" t="s">
        <v>19</v>
      </c>
      <c r="C17" s="36" t="s">
        <v>20</v>
      </c>
      <c r="D17" s="37">
        <v>1.2500000000000001E-2</v>
      </c>
      <c r="E17" s="38">
        <f>'Nov 16'!$D17*$C$6*$C$2</f>
        <v>2094147.8439749999</v>
      </c>
      <c r="F17" s="38">
        <v>457.25994758160601</v>
      </c>
      <c r="G17" s="39">
        <f>'Nov 16'!$E17/'Nov 16'!$F17</f>
        <v>4579.7753663986996</v>
      </c>
      <c r="H17" s="36">
        <v>4197</v>
      </c>
      <c r="I17" s="36">
        <f>ROUND(Table138958456799101112131445626789101112131415161718192021345678910111213141516171819202122233456789101112[[#This Row],[Target Quantity]],0)</f>
        <v>4580</v>
      </c>
      <c r="J17" s="40">
        <f t="shared" si="0"/>
        <v>383</v>
      </c>
      <c r="K17" s="41">
        <f>'Nov 16'!$F17*'Nov 16'!$I17</f>
        <v>2094250.5599237555</v>
      </c>
      <c r="L17" s="42">
        <f>'Nov 16'!$K17/$K$2</f>
        <v>1.1376614649353391E-2</v>
      </c>
      <c r="M17" s="36"/>
    </row>
    <row r="18" spans="1:15" s="47" customFormat="1" ht="12.75" customHeight="1" x14ac:dyDescent="0.25">
      <c r="A18" s="36" t="s">
        <v>140</v>
      </c>
      <c r="B18" s="36" t="s">
        <v>33</v>
      </c>
      <c r="C18" s="36" t="s">
        <v>34</v>
      </c>
      <c r="D18" s="37">
        <v>6.2500000000000003E-3</v>
      </c>
      <c r="E18" s="38">
        <f>'Nov 16'!$D18*$C$6*$C$2</f>
        <v>1047073.9219874999</v>
      </c>
      <c r="F18" s="38">
        <v>22.5</v>
      </c>
      <c r="G18" s="39">
        <f>'Nov 16'!$E18/'Nov 16'!$F18</f>
        <v>46536.618754999996</v>
      </c>
      <c r="H18" s="36">
        <v>43722</v>
      </c>
      <c r="I18" s="36">
        <f>ROUND(Table138958456799101112131445626789101112131415161718192021345678910111213141516171819202122233456789101112[[#This Row],[Target Quantity]],0)</f>
        <v>46537</v>
      </c>
      <c r="J18" s="40">
        <f t="shared" si="0"/>
        <v>2815</v>
      </c>
      <c r="K18" s="41">
        <f>'Nov 16'!$F18*'Nov 16'!$I18</f>
        <v>1047082.5</v>
      </c>
      <c r="L18" s="42">
        <f>'Nov 16'!$K18/$K$2</f>
        <v>5.6880749307357259E-3</v>
      </c>
      <c r="M18" s="36"/>
    </row>
    <row r="19" spans="1:15" s="47" customFormat="1" ht="12.75" customHeight="1" x14ac:dyDescent="0.25">
      <c r="A19" s="36" t="s">
        <v>140</v>
      </c>
      <c r="B19" s="36" t="s">
        <v>21</v>
      </c>
      <c r="C19" s="36" t="s">
        <v>22</v>
      </c>
      <c r="D19" s="37">
        <v>1.2500000000000001E-2</v>
      </c>
      <c r="E19" s="38">
        <f>'Nov 16'!$D19*$C$6*$C$2</f>
        <v>2094147.8439749999</v>
      </c>
      <c r="F19" s="38">
        <v>38.290009389296202</v>
      </c>
      <c r="G19" s="39">
        <f>'Nov 16'!$E19/'Nov 16'!$F19</f>
        <v>54691.755822875544</v>
      </c>
      <c r="H19" s="36">
        <v>50057</v>
      </c>
      <c r="I19" s="36">
        <f>ROUND(Table138958456799101112131445626789101112131415161718192021345678910111213141516171819202122233456789101112[[#This Row],[Target Quantity]],0)</f>
        <v>54692</v>
      </c>
      <c r="J19" s="40">
        <f t="shared" si="0"/>
        <v>4635</v>
      </c>
      <c r="K19" s="41">
        <f>'Nov 16'!$F19*'Nov 16'!$I19</f>
        <v>2094157.1935193879</v>
      </c>
      <c r="L19" s="42">
        <f>'Nov 16'!$K19/$K$2</f>
        <v>1.1376107454262215E-2</v>
      </c>
      <c r="M19" s="36"/>
    </row>
    <row r="20" spans="1:15" s="47" customFormat="1" ht="12.75" customHeight="1" x14ac:dyDescent="0.25">
      <c r="A20" s="36" t="s">
        <v>140</v>
      </c>
      <c r="B20" s="36" t="s">
        <v>45</v>
      </c>
      <c r="C20" s="36" t="s">
        <v>46</v>
      </c>
      <c r="D20" s="37">
        <v>6.2500000000000003E-3</v>
      </c>
      <c r="E20" s="38">
        <f>'Nov 16'!$D20*$C$6*$C$2</f>
        <v>1047073.9219874999</v>
      </c>
      <c r="F20" s="38">
        <v>69</v>
      </c>
      <c r="G20" s="39">
        <f>'Nov 16'!$E20/'Nov 16'!$F20</f>
        <v>15174.984376630433</v>
      </c>
      <c r="H20" s="36">
        <v>14166</v>
      </c>
      <c r="I20" s="36">
        <f>ROUND(Table138958456799101112131445626789101112131415161718192021345678910111213141516171819202122233456789101112[[#This Row],[Target Quantity]],0)</f>
        <v>15175</v>
      </c>
      <c r="J20" s="40">
        <f t="shared" si="0"/>
        <v>1009</v>
      </c>
      <c r="K20" s="41">
        <f>'Nov 16'!$F20*'Nov 16'!$I20</f>
        <v>1047075</v>
      </c>
      <c r="L20" s="42">
        <f>'Nov 16'!$K20/$K$2</f>
        <v>5.6880341884236541E-3</v>
      </c>
      <c r="M20" s="36"/>
    </row>
    <row r="21" spans="1:15" s="47" customFormat="1" ht="12.75" customHeight="1" x14ac:dyDescent="0.25">
      <c r="A21" s="36" t="s">
        <v>140</v>
      </c>
      <c r="B21" s="36" t="s">
        <v>23</v>
      </c>
      <c r="C21" s="36" t="s">
        <v>24</v>
      </c>
      <c r="D21" s="37">
        <v>1.2500000000000001E-2</v>
      </c>
      <c r="E21" s="38">
        <f>'Nov 16'!$D21*$C$6*$C$2</f>
        <v>2094147.8439749999</v>
      </c>
      <c r="F21" s="38">
        <v>251.790002610285</v>
      </c>
      <c r="G21" s="39">
        <f>'Nov 16'!$E21/'Nov 16'!$F21</f>
        <v>8317.0412735420468</v>
      </c>
      <c r="H21" s="36">
        <v>7662</v>
      </c>
      <c r="I21" s="36">
        <f>ROUND(Table138958456799101112131445626789101112131415161718192021345678910111213141516171819202122233456789101112[[#This Row],[Target Quantity]],0)</f>
        <v>8317</v>
      </c>
      <c r="J21" s="40">
        <f t="shared" si="0"/>
        <v>655</v>
      </c>
      <c r="K21" s="41">
        <f>'Nov 16'!$F21*'Nov 16'!$I21</f>
        <v>2094137.4517097403</v>
      </c>
      <c r="L21" s="42">
        <f>'Nov 16'!$K21/$K$2</f>
        <v>1.1376000210666277E-2</v>
      </c>
      <c r="M21" s="36"/>
    </row>
    <row r="22" spans="1:15" s="47" customFormat="1" ht="12.75" customHeight="1" x14ac:dyDescent="0.25">
      <c r="A22" s="36" t="s">
        <v>140</v>
      </c>
      <c r="B22" s="36" t="s">
        <v>47</v>
      </c>
      <c r="C22" s="36" t="s">
        <v>48</v>
      </c>
      <c r="D22" s="37">
        <v>6.2500000000000003E-3</v>
      </c>
      <c r="E22" s="38">
        <f>'Nov 16'!$D22*$C$6*$C$2</f>
        <v>1047073.9219874999</v>
      </c>
      <c r="F22" s="38">
        <v>345.90994764397902</v>
      </c>
      <c r="G22" s="39">
        <f>'Nov 16'!$E22/'Nov 16'!$F22</f>
        <v>3027.0130394318121</v>
      </c>
      <c r="H22" s="36">
        <v>2865</v>
      </c>
      <c r="I22" s="36">
        <f>ROUND(Table138958456799101112131445626789101112131415161718192021345678910111213141516171819202122233456789101112[[#This Row],[Target Quantity]],0)</f>
        <v>3027</v>
      </c>
      <c r="J22" s="40">
        <f t="shared" si="0"/>
        <v>162</v>
      </c>
      <c r="K22" s="41">
        <f>'Nov 16'!$F22*'Nov 16'!$I22</f>
        <v>1047069.4115183245</v>
      </c>
      <c r="L22" s="42">
        <f>'Nov 16'!$K22/$K$2</f>
        <v>5.6880038300683965E-3</v>
      </c>
      <c r="M22" s="36"/>
    </row>
    <row r="23" spans="1:15" s="47" customFormat="1" ht="12.75" customHeight="1" x14ac:dyDescent="0.25">
      <c r="A23" s="36" t="s">
        <v>140</v>
      </c>
      <c r="B23" s="36" t="s">
        <v>15</v>
      </c>
      <c r="C23" s="36" t="s">
        <v>16</v>
      </c>
      <c r="D23" s="37">
        <v>6.2500000000000003E-3</v>
      </c>
      <c r="E23" s="38">
        <f>'Nov 16'!$D23*$C$6*$C$2</f>
        <v>1047073.9219874999</v>
      </c>
      <c r="F23" s="38">
        <v>122.48001998002</v>
      </c>
      <c r="G23" s="39">
        <f>'Nov 16'!$E23/'Nov 16'!$F23</f>
        <v>8548.9365707019606</v>
      </c>
      <c r="H23" s="36">
        <v>8008</v>
      </c>
      <c r="I23" s="36">
        <f>ROUND(Table138958456799101112131445626789101112131415161718192021345678910111213141516171819202122233456789101112[[#This Row],[Target Quantity]],0)</f>
        <v>8549</v>
      </c>
      <c r="J23" s="40">
        <f t="shared" si="0"/>
        <v>541</v>
      </c>
      <c r="K23" s="41">
        <f>'Nov 16'!$F23*'Nov 16'!$I23</f>
        <v>1047081.690809191</v>
      </c>
      <c r="L23" s="42">
        <f>'Nov 16'!$K23/$K$2</f>
        <v>5.688070534961797E-3</v>
      </c>
      <c r="M23" s="36"/>
    </row>
    <row r="24" spans="1:15" s="47" customFormat="1" ht="12.75" customHeight="1" x14ac:dyDescent="0.25">
      <c r="A24" s="36" t="s">
        <v>140</v>
      </c>
      <c r="B24" s="36" t="s">
        <v>43</v>
      </c>
      <c r="C24" s="36" t="s">
        <v>44</v>
      </c>
      <c r="D24" s="37">
        <v>1.2500000000000001E-2</v>
      </c>
      <c r="E24" s="38">
        <f>'Nov 16'!$D24*$C$6*$C$2</f>
        <v>2094147.8439749999</v>
      </c>
      <c r="F24" s="38">
        <v>258.989995944302</v>
      </c>
      <c r="G24" s="39">
        <f>'Nov 16'!$E24/'Nov 16'!$F24</f>
        <v>8085.8252317412453</v>
      </c>
      <c r="H24" s="36">
        <v>7397</v>
      </c>
      <c r="I24" s="36">
        <f>ROUND(Table138958456799101112131445626789101112131415161718192021345678910111213141516171819202122233456789101112[[#This Row],[Target Quantity]],0)</f>
        <v>8086</v>
      </c>
      <c r="J24" s="40">
        <f t="shared" si="0"/>
        <v>689</v>
      </c>
      <c r="K24" s="41">
        <f>'Nov 16'!$F24*'Nov 16'!$I24</f>
        <v>2094193.1072056259</v>
      </c>
      <c r="L24" s="42">
        <f>'Nov 16'!$K24/$K$2</f>
        <v>1.1376302548477197E-2</v>
      </c>
      <c r="M24" s="36"/>
    </row>
    <row r="25" spans="1:15" s="47" customFormat="1" ht="12.75" customHeight="1" x14ac:dyDescent="0.25">
      <c r="A25" s="36" t="s">
        <v>140</v>
      </c>
      <c r="B25" s="47" t="s">
        <v>11</v>
      </c>
      <c r="C25" s="36" t="s">
        <v>12</v>
      </c>
      <c r="D25" s="37">
        <v>1.2500000000000001E-2</v>
      </c>
      <c r="E25" s="38">
        <f>'Nov 16'!$D25*$C$6*$C$2</f>
        <v>2094147.8439749999</v>
      </c>
      <c r="F25" s="38">
        <v>2.4080850006213499</v>
      </c>
      <c r="G25" s="39">
        <f>'Nov 16'!$E25/'Nov 16'!$F25</f>
        <v>869632.02853497863</v>
      </c>
      <c r="H25" s="36">
        <v>804700</v>
      </c>
      <c r="I25" s="36">
        <f>ROUND(Table138958456799101112131445626789101112131415161718192021345678910111213141516171819202122233456789101112[[#This Row],[Target Quantity]],-2)</f>
        <v>869600</v>
      </c>
      <c r="J25" s="40">
        <f t="shared" si="0"/>
        <v>64900</v>
      </c>
      <c r="K25" s="41">
        <f>'Nov 16'!$F25*'Nov 16'!$I25</f>
        <v>2094070.7165403259</v>
      </c>
      <c r="L25" s="42">
        <f>'Nov 16'!$K25/$K$2</f>
        <v>1.1375637684653146E-2</v>
      </c>
      <c r="M25" s="36"/>
    </row>
    <row r="26" spans="1:15" s="47" customFormat="1" ht="12.75" customHeight="1" x14ac:dyDescent="0.25">
      <c r="A26" s="36"/>
      <c r="B26" s="36"/>
      <c r="C26" s="36"/>
      <c r="D26" s="37"/>
      <c r="E26" s="38"/>
      <c r="F26" s="38"/>
      <c r="G26" s="39"/>
      <c r="H26" s="36"/>
      <c r="I26" s="36"/>
      <c r="J26" s="48"/>
      <c r="K26" s="38"/>
      <c r="L26" s="49"/>
      <c r="M26" s="36"/>
    </row>
    <row r="27" spans="1:15" s="56" customFormat="1" ht="12.75" customHeight="1" x14ac:dyDescent="0.25">
      <c r="A27" s="50" t="s">
        <v>149</v>
      </c>
      <c r="B27" s="50"/>
      <c r="C27" s="50"/>
      <c r="D27" s="51">
        <f>SUM(D9:D26)</f>
        <v>0.17500000000000004</v>
      </c>
      <c r="E27" s="52">
        <f>'Nov 16'!$D27*$C$6*$C$2</f>
        <v>29318069.815650009</v>
      </c>
      <c r="F27" s="53"/>
      <c r="G27" s="53"/>
      <c r="H27" s="50"/>
      <c r="I27" s="50"/>
      <c r="J27" s="54"/>
      <c r="K27" s="52">
        <f>SUM(K9:K26)</f>
        <v>29318238.844839171</v>
      </c>
      <c r="L27" s="55">
        <f>'Nov 16'!$K27/$K$2</f>
        <v>0.15926571152383126</v>
      </c>
      <c r="M27" s="50"/>
    </row>
    <row r="28" spans="1:15" s="47" customFormat="1" ht="12.75" customHeight="1" x14ac:dyDescent="0.25">
      <c r="A28" s="36"/>
      <c r="B28" s="36"/>
      <c r="C28" s="36"/>
      <c r="D28" s="37"/>
      <c r="E28" s="38"/>
      <c r="F28" s="38"/>
      <c r="G28" s="39"/>
      <c r="H28" s="36"/>
      <c r="I28" s="36"/>
      <c r="J28" s="48"/>
      <c r="K28" s="38"/>
      <c r="L28" s="42"/>
      <c r="M28" s="36"/>
    </row>
    <row r="29" spans="1:15" s="46" customFormat="1" ht="12.75" customHeight="1" x14ac:dyDescent="0.25">
      <c r="A29" s="57"/>
      <c r="B29" s="50" t="s">
        <v>35</v>
      </c>
      <c r="C29" s="57" t="s">
        <v>36</v>
      </c>
      <c r="D29" s="58">
        <v>0.02</v>
      </c>
      <c r="E29" s="59">
        <f>'Nov 16'!$D29*$C$6*$C$2</f>
        <v>3350636.5503599998</v>
      </c>
      <c r="F29" s="53">
        <v>18.060000706514099</v>
      </c>
      <c r="G29" s="60">
        <f>'Nov 16'!$E29/'Nov 16'!$F29</f>
        <v>185528.04093476318</v>
      </c>
      <c r="H29" s="57">
        <v>169848</v>
      </c>
      <c r="I29" s="57">
        <f>ROUND(Table138958456799101112131445626789101112131415161718192021345678910111213141516171819202122233456789101112[[#This Row],[Target Quantity]],0)</f>
        <v>185528</v>
      </c>
      <c r="J29" s="61">
        <f>I29-H29</f>
        <v>15680</v>
      </c>
      <c r="K29" s="62">
        <f>'Nov 16'!$F29*'Nov 16'!$I29</f>
        <v>3350635.811078148</v>
      </c>
      <c r="L29" s="55">
        <f>'Nov 16'!$K29/$K$2</f>
        <v>1.8201686647440846E-2</v>
      </c>
      <c r="M29" s="50"/>
      <c r="O29" s="44"/>
    </row>
    <row r="30" spans="1:15" s="46" customFormat="1" ht="12.75" customHeight="1" x14ac:dyDescent="0.25">
      <c r="A30" s="36"/>
      <c r="B30" s="36"/>
      <c r="C30" s="36"/>
      <c r="D30" s="37"/>
      <c r="E30" s="38"/>
      <c r="F30" s="38"/>
      <c r="G30" s="39"/>
      <c r="H30" s="36"/>
      <c r="I30" s="36"/>
      <c r="J30" s="48"/>
      <c r="K30" s="41"/>
      <c r="L30" s="42"/>
      <c r="M30" s="36"/>
      <c r="O30" s="44"/>
    </row>
    <row r="31" spans="1:15" s="4" customFormat="1" ht="25.5" x14ac:dyDescent="0.2">
      <c r="A31" s="36" t="s">
        <v>150</v>
      </c>
      <c r="B31" s="63" t="s">
        <v>98</v>
      </c>
      <c r="C31" s="64" t="s">
        <v>99</v>
      </c>
      <c r="D31" s="37">
        <v>2.9499999999999998E-2</v>
      </c>
      <c r="E31" s="38">
        <f>'Nov 16'!$D31*$C$6*$C$2</f>
        <v>4942188.911781</v>
      </c>
      <c r="F31" s="38">
        <v>157244.51724137901</v>
      </c>
      <c r="G31" s="39">
        <f>'Nov 16'!$E31/'Nov 16'!$F31</f>
        <v>31.429960156858552</v>
      </c>
      <c r="H31" s="36">
        <v>29</v>
      </c>
      <c r="I31" s="36">
        <v>31</v>
      </c>
      <c r="J31" s="40">
        <f t="shared" ref="J31:J40" si="1">I31-H31</f>
        <v>2</v>
      </c>
      <c r="K31" s="41">
        <f>'Nov 16'!$F31*'Nov 16'!$I31</f>
        <v>4874580.0344827492</v>
      </c>
      <c r="L31" s="42">
        <f>'Nov 16'!$K31/$K$2</f>
        <v>2.6480221464885736E-2</v>
      </c>
      <c r="M31" s="65"/>
    </row>
    <row r="32" spans="1:15" s="4" customFormat="1" ht="25.5" x14ac:dyDescent="0.2">
      <c r="A32" s="36" t="s">
        <v>150</v>
      </c>
      <c r="B32" s="63" t="s">
        <v>102</v>
      </c>
      <c r="C32" s="64" t="s">
        <v>103</v>
      </c>
      <c r="D32" s="37">
        <v>2.9499999999999998E-2</v>
      </c>
      <c r="E32" s="38">
        <f>'Nov 16'!$D32*$C$6*$C$2</f>
        <v>4942188.911781</v>
      </c>
      <c r="F32" s="38">
        <v>215999.19047619001</v>
      </c>
      <c r="G32" s="39">
        <f>'Nov 16'!$E32/'Nov 16'!$F32</f>
        <v>22.880589972978562</v>
      </c>
      <c r="H32" s="36">
        <v>21</v>
      </c>
      <c r="I32" s="36">
        <v>23</v>
      </c>
      <c r="J32" s="40">
        <f t="shared" si="1"/>
        <v>2</v>
      </c>
      <c r="K32" s="41">
        <f>'Nov 16'!$F32*'Nov 16'!$I32</f>
        <v>4967981.3809523704</v>
      </c>
      <c r="L32" s="42">
        <f>'Nov 16'!$K32/$K$2</f>
        <v>2.6987606372331722E-2</v>
      </c>
      <c r="M32" s="65"/>
    </row>
    <row r="33" spans="1:13" s="4" customFormat="1" ht="25.5" x14ac:dyDescent="0.2">
      <c r="A33" s="36" t="s">
        <v>150</v>
      </c>
      <c r="B33" s="63" t="s">
        <v>104</v>
      </c>
      <c r="C33" s="64" t="s">
        <v>105</v>
      </c>
      <c r="D33" s="37">
        <v>2.9499999999999998E-2</v>
      </c>
      <c r="E33" s="38">
        <f>'Nov 16'!$D33*$C$6*$C$2</f>
        <v>4942188.911781</v>
      </c>
      <c r="F33" s="38">
        <v>172551</v>
      </c>
      <c r="G33" s="39">
        <f>'Nov 16'!$E33/'Nov 16'!$F33</f>
        <v>28.641902462350263</v>
      </c>
      <c r="H33" s="36">
        <v>26</v>
      </c>
      <c r="I33" s="36">
        <v>29</v>
      </c>
      <c r="J33" s="40">
        <f t="shared" si="1"/>
        <v>3</v>
      </c>
      <c r="K33" s="41">
        <f>'Nov 16'!$F33*'Nov 16'!$I33</f>
        <v>5003979</v>
      </c>
      <c r="L33" s="42">
        <f>'Nov 16'!$K33/$K$2</f>
        <v>2.7183156536211835E-2</v>
      </c>
      <c r="M33" s="65"/>
    </row>
    <row r="34" spans="1:13" s="4" customFormat="1" ht="25.5" x14ac:dyDescent="0.2">
      <c r="A34" s="36" t="s">
        <v>150</v>
      </c>
      <c r="B34" s="63" t="s">
        <v>106</v>
      </c>
      <c r="C34" s="64" t="s">
        <v>107</v>
      </c>
      <c r="D34" s="37">
        <v>2.9499999999999998E-2</v>
      </c>
      <c r="E34" s="38">
        <f>'Nov 16'!$D34*$C$6*$C$2</f>
        <v>4942188.911781</v>
      </c>
      <c r="F34" s="38">
        <v>125520.86111111099</v>
      </c>
      <c r="G34" s="39">
        <f>'Nov 16'!$E34/'Nov 16'!$F34</f>
        <v>39.373446517437266</v>
      </c>
      <c r="H34" s="36">
        <v>36</v>
      </c>
      <c r="I34" s="36">
        <v>39</v>
      </c>
      <c r="J34" s="40">
        <f t="shared" si="1"/>
        <v>3</v>
      </c>
      <c r="K34" s="41">
        <f>'Nov 16'!$F34*'Nov 16'!$I34</f>
        <v>4895313.5833333284</v>
      </c>
      <c r="L34" s="42">
        <f>'Nov 16'!$K34/$K$2</f>
        <v>2.659285249390414E-2</v>
      </c>
      <c r="M34" s="65"/>
    </row>
    <row r="35" spans="1:13" s="4" customFormat="1" ht="25.5" x14ac:dyDescent="0.2">
      <c r="A35" s="36" t="s">
        <v>150</v>
      </c>
      <c r="B35" s="63" t="s">
        <v>108</v>
      </c>
      <c r="C35" s="64" t="s">
        <v>109</v>
      </c>
      <c r="D35" s="37">
        <v>2.9499999999999998E-2</v>
      </c>
      <c r="E35" s="38">
        <f>'Nov 16'!$D35*$C$6*$C$2</f>
        <v>4942188.911781</v>
      </c>
      <c r="F35" s="38">
        <v>138218.75</v>
      </c>
      <c r="G35" s="39">
        <f>'Nov 16'!$E35/'Nov 16'!$F35</f>
        <v>35.75628423626317</v>
      </c>
      <c r="H35" s="36">
        <v>32</v>
      </c>
      <c r="I35" s="36">
        <v>36</v>
      </c>
      <c r="J35" s="40">
        <f t="shared" si="1"/>
        <v>4</v>
      </c>
      <c r="K35" s="41">
        <f>'Nov 16'!$F35*'Nov 16'!$I35</f>
        <v>4975875</v>
      </c>
      <c r="L35" s="42">
        <f>'Nov 16'!$K35/$K$2</f>
        <v>2.7030486944414248E-2</v>
      </c>
      <c r="M35" s="65"/>
    </row>
    <row r="36" spans="1:13" s="4" customFormat="1" ht="25.5" x14ac:dyDescent="0.2">
      <c r="A36" s="36" t="s">
        <v>150</v>
      </c>
      <c r="B36" s="63" t="s">
        <v>114</v>
      </c>
      <c r="C36" s="64" t="s">
        <v>115</v>
      </c>
      <c r="D36" s="37">
        <v>2.9499999999999998E-2</v>
      </c>
      <c r="E36" s="38">
        <f>'Nov 16'!$D36*$C$6*$C$2</f>
        <v>4942188.911781</v>
      </c>
      <c r="F36" s="38">
        <v>220725.4</v>
      </c>
      <c r="G36" s="39">
        <f>'Nov 16'!$E36/'Nov 16'!$F36</f>
        <v>22.390666918175253</v>
      </c>
      <c r="H36" s="36">
        <v>20</v>
      </c>
      <c r="I36" s="36">
        <v>22</v>
      </c>
      <c r="J36" s="40">
        <f t="shared" si="1"/>
        <v>2</v>
      </c>
      <c r="K36" s="41">
        <f>'Nov 16'!$F36*'Nov 16'!$I36</f>
        <v>4855958.8</v>
      </c>
      <c r="L36" s="42">
        <f>'Nov 16'!$K36/$K$2</f>
        <v>2.6379065178689872E-2</v>
      </c>
      <c r="M36" s="65"/>
    </row>
    <row r="37" spans="1:13" s="46" customFormat="1" ht="25.5" customHeight="1" x14ac:dyDescent="0.25">
      <c r="A37" s="36" t="s">
        <v>151</v>
      </c>
      <c r="B37" s="36" t="s">
        <v>152</v>
      </c>
      <c r="C37" s="36" t="s">
        <v>63</v>
      </c>
      <c r="D37" s="37">
        <v>2.9499999999999998E-2</v>
      </c>
      <c r="E37" s="38">
        <f>'Nov 16'!$D37*$C$6*$C$2</f>
        <v>4942188.911781</v>
      </c>
      <c r="F37" s="38">
        <v>114781.615384615</v>
      </c>
      <c r="G37" s="39">
        <f>'Nov 16'!$E37/'Nov 16'!$F37</f>
        <v>43.057321464073389</v>
      </c>
      <c r="H37" s="36">
        <v>39</v>
      </c>
      <c r="I37" s="36">
        <v>43</v>
      </c>
      <c r="J37" s="40">
        <f t="shared" si="1"/>
        <v>4</v>
      </c>
      <c r="K37" s="41">
        <f>'Nov 16'!$F37*'Nov 16'!$I37</f>
        <v>4935609.4615384452</v>
      </c>
      <c r="L37" s="42">
        <f>'Nov 16'!$K37/$K$2</f>
        <v>2.6811752126579221E-2</v>
      </c>
      <c r="M37" s="43"/>
    </row>
    <row r="38" spans="1:13" s="46" customFormat="1" ht="25.5" x14ac:dyDescent="0.25">
      <c r="A38" s="36" t="s">
        <v>151</v>
      </c>
      <c r="B38" s="36" t="s">
        <v>60</v>
      </c>
      <c r="C38" s="36" t="s">
        <v>61</v>
      </c>
      <c r="D38" s="37">
        <v>2.9499999999999998E-2</v>
      </c>
      <c r="E38" s="38">
        <f>'Nov 16'!$D38*$C$6*$C$2</f>
        <v>4942188.911781</v>
      </c>
      <c r="F38" s="38">
        <v>135044.727272727</v>
      </c>
      <c r="G38" s="39">
        <f>'Nov 16'!$E38/'Nov 16'!$F38</f>
        <v>36.596681792692998</v>
      </c>
      <c r="H38" s="36">
        <v>33</v>
      </c>
      <c r="I38" s="36">
        <v>37</v>
      </c>
      <c r="J38" s="40">
        <f t="shared" si="1"/>
        <v>4</v>
      </c>
      <c r="K38" s="41">
        <f>'Nov 16'!$F38*'Nov 16'!$I38</f>
        <v>4996654.9090908989</v>
      </c>
      <c r="L38" s="42">
        <f>'Nov 16'!$K38/$K$2</f>
        <v>2.7143369816549835E-2</v>
      </c>
      <c r="M38" s="43"/>
    </row>
    <row r="39" spans="1:13" s="46" customFormat="1" ht="25.5" x14ac:dyDescent="0.25">
      <c r="A39" s="36" t="s">
        <v>151</v>
      </c>
      <c r="B39" s="36" t="s">
        <v>56</v>
      </c>
      <c r="C39" s="36" t="s">
        <v>57</v>
      </c>
      <c r="D39" s="37">
        <v>2.9499999999999998E-2</v>
      </c>
      <c r="E39" s="38">
        <f>'Nov 16'!$D39*$C$6*$C$2</f>
        <v>4942188.911781</v>
      </c>
      <c r="F39" s="38">
        <v>178805.44</v>
      </c>
      <c r="G39" s="39">
        <f>'Nov 16'!$E39/'Nov 16'!$F39</f>
        <v>27.640036633007362</v>
      </c>
      <c r="H39" s="36">
        <v>25</v>
      </c>
      <c r="I39" s="36">
        <v>28</v>
      </c>
      <c r="J39" s="40">
        <f t="shared" si="1"/>
        <v>3</v>
      </c>
      <c r="K39" s="41">
        <f>'Nov 16'!$F39*'Nov 16'!$I39</f>
        <v>5006552.32</v>
      </c>
      <c r="L39" s="42">
        <f>'Nov 16'!$K39/$K$2</f>
        <v>2.7197135603745447E-2</v>
      </c>
      <c r="M39" s="43"/>
    </row>
    <row r="40" spans="1:13" s="46" customFormat="1" ht="25.5" x14ac:dyDescent="0.25">
      <c r="A40" s="36" t="s">
        <v>151</v>
      </c>
      <c r="B40" s="36" t="s">
        <v>66</v>
      </c>
      <c r="C40" s="36" t="s">
        <v>67</v>
      </c>
      <c r="D40" s="37">
        <v>2.9499999999999998E-2</v>
      </c>
      <c r="E40" s="38">
        <f>'Nov 16'!$D40*$C$6*$C$2</f>
        <v>4942188.911781</v>
      </c>
      <c r="F40" s="38">
        <v>267119.70588235301</v>
      </c>
      <c r="G40" s="39">
        <f>'Nov 16'!$E40/'Nov 16'!$F40</f>
        <v>18.501775806677767</v>
      </c>
      <c r="H40" s="36">
        <v>17</v>
      </c>
      <c r="I40" s="36">
        <v>19</v>
      </c>
      <c r="J40" s="40">
        <f t="shared" si="1"/>
        <v>2</v>
      </c>
      <c r="K40" s="41">
        <f>'Nov 16'!$F40*'Nov 16'!$I40</f>
        <v>5075274.4117647074</v>
      </c>
      <c r="L40" s="42">
        <f>'Nov 16'!$K40/$K$2</f>
        <v>2.7570455191604618E-2</v>
      </c>
      <c r="M40" s="43"/>
    </row>
    <row r="41" spans="1:13" s="67" customFormat="1" ht="12.75" x14ac:dyDescent="0.2">
      <c r="A41" s="36"/>
      <c r="B41" s="64"/>
      <c r="C41" s="64"/>
      <c r="D41" s="37"/>
      <c r="E41" s="66"/>
      <c r="F41" s="38"/>
      <c r="G41" s="39"/>
      <c r="H41" s="36"/>
      <c r="I41" s="36"/>
      <c r="J41" s="48"/>
      <c r="K41" s="38"/>
      <c r="L41" s="49"/>
      <c r="M41" s="65"/>
    </row>
    <row r="42" spans="1:13" s="17" customFormat="1" ht="12.75" x14ac:dyDescent="0.2">
      <c r="A42" s="50" t="s">
        <v>153</v>
      </c>
      <c r="B42" s="68"/>
      <c r="C42" s="68"/>
      <c r="D42" s="58">
        <f>SUBTOTAL(9,D31:D41)</f>
        <v>0.29499999999999993</v>
      </c>
      <c r="E42" s="69">
        <f>'Nov 16'!$D42*$C$6*$C$2</f>
        <v>49421889.117809989</v>
      </c>
      <c r="F42" s="70"/>
      <c r="G42" s="71"/>
      <c r="H42" s="57"/>
      <c r="I42" s="57"/>
      <c r="J42" s="61"/>
      <c r="K42" s="69">
        <f>SUM(K31:K41)</f>
        <v>49587778.901162505</v>
      </c>
      <c r="L42" s="72">
        <f>'Nov 16'!$K42/$K$2</f>
        <v>0.26937610172891668</v>
      </c>
      <c r="M42" s="73"/>
    </row>
    <row r="43" spans="1:13" s="67" customFormat="1" ht="12.75" x14ac:dyDescent="0.2">
      <c r="A43" s="36"/>
      <c r="B43" s="64"/>
      <c r="C43" s="64"/>
      <c r="D43" s="37"/>
      <c r="E43" s="66"/>
      <c r="F43" s="38"/>
      <c r="G43" s="39"/>
      <c r="H43" s="36"/>
      <c r="I43" s="36"/>
      <c r="J43" s="48"/>
      <c r="K43" s="38"/>
      <c r="L43" s="42"/>
      <c r="M43" s="65"/>
    </row>
    <row r="44" spans="1:13" s="4" customFormat="1" ht="24.75" customHeight="1" x14ac:dyDescent="0.2">
      <c r="A44" s="36" t="s">
        <v>150</v>
      </c>
      <c r="B44" s="64" t="s">
        <v>110</v>
      </c>
      <c r="C44" s="64" t="s">
        <v>111</v>
      </c>
      <c r="D44" s="37">
        <v>0.1</v>
      </c>
      <c r="E44" s="38">
        <f>'Nov 16'!$D44*$C$6*$C$2</f>
        <v>16753182.751799999</v>
      </c>
      <c r="F44" s="38">
        <v>416329.97916666698</v>
      </c>
      <c r="G44" s="39">
        <f>'Nov 16'!$E44/'Nov 16'!$F44</f>
        <v>40.240154661294028</v>
      </c>
      <c r="H44" s="36">
        <v>48</v>
      </c>
      <c r="I44" s="36">
        <v>48</v>
      </c>
      <c r="J44" s="40">
        <f>I44-H44</f>
        <v>0</v>
      </c>
      <c r="K44" s="41">
        <f>'Nov 16'!$F44*'Nov 16'!$I44</f>
        <v>19983839.000000015</v>
      </c>
      <c r="L44" s="42">
        <f>'Nov 16'!$K44/$K$2</f>
        <v>0.10855837399226803</v>
      </c>
      <c r="M44" s="65"/>
    </row>
    <row r="45" spans="1:13" s="46" customFormat="1" ht="25.5" x14ac:dyDescent="0.25">
      <c r="A45" s="36" t="s">
        <v>151</v>
      </c>
      <c r="B45" s="36" t="s">
        <v>68</v>
      </c>
      <c r="C45" s="36" t="s">
        <v>69</v>
      </c>
      <c r="D45" s="37">
        <v>0.1</v>
      </c>
      <c r="E45" s="38">
        <f>'Nov 16'!$D45*$C$6*$C$2</f>
        <v>16753182.751799999</v>
      </c>
      <c r="F45" s="38">
        <v>249381.01250000001</v>
      </c>
      <c r="G45" s="39">
        <f>'Nov 16'!$E45/'Nov 16'!$F45</f>
        <v>67.179063008255284</v>
      </c>
      <c r="H45" s="36">
        <v>80</v>
      </c>
      <c r="I45" s="36">
        <v>80</v>
      </c>
      <c r="J45" s="40">
        <f>I45-H45</f>
        <v>0</v>
      </c>
      <c r="K45" s="41">
        <f>'Nov 16'!$F45*'Nov 16'!$I45</f>
        <v>19950481</v>
      </c>
      <c r="L45" s="42">
        <f>'Nov 16'!$K45/$K$2</f>
        <v>0.10837716305278659</v>
      </c>
      <c r="M45" s="43"/>
    </row>
    <row r="46" spans="1:13" s="46" customFormat="1" ht="25.5" x14ac:dyDescent="0.25">
      <c r="A46" s="36" t="s">
        <v>151</v>
      </c>
      <c r="B46" s="36" t="s">
        <v>92</v>
      </c>
      <c r="C46" s="36" t="s">
        <v>93</v>
      </c>
      <c r="D46" s="37">
        <v>0.1</v>
      </c>
      <c r="E46" s="38">
        <f>'Nov 16'!$D46*$C$6*$C$2</f>
        <v>16753182.751799999</v>
      </c>
      <c r="F46" s="38">
        <v>416317.41666666698</v>
      </c>
      <c r="G46" s="39">
        <f>'Nov 16'!$E46/'Nov 16'!$F46</f>
        <v>40.241368919748503</v>
      </c>
      <c r="H46" s="36">
        <v>48</v>
      </c>
      <c r="I46" s="36">
        <v>48</v>
      </c>
      <c r="J46" s="40">
        <f>I46-H46</f>
        <v>0</v>
      </c>
      <c r="K46" s="41">
        <f>'Nov 16'!$F46*'Nov 16'!$I46</f>
        <v>19983236.000000015</v>
      </c>
      <c r="L46" s="42">
        <f>'Nov 16'!$K46/$K$2</f>
        <v>0.10855509831037741</v>
      </c>
      <c r="M46" s="43"/>
    </row>
    <row r="47" spans="1:13" s="46" customFormat="1" ht="25.5" x14ac:dyDescent="0.25">
      <c r="A47" s="36" t="s">
        <v>151</v>
      </c>
      <c r="B47" s="36" t="s">
        <v>95</v>
      </c>
      <c r="C47" s="36" t="s">
        <v>96</v>
      </c>
      <c r="D47" s="37">
        <v>0.1</v>
      </c>
      <c r="E47" s="38">
        <f>'Nov 16'!$D47*$C$6*$C$2</f>
        <v>16753182.751799999</v>
      </c>
      <c r="F47" s="38">
        <v>249781.01250000001</v>
      </c>
      <c r="G47" s="39">
        <f>'Nov 16'!$E47/'Nov 16'!$F47</f>
        <v>67.071482272096233</v>
      </c>
      <c r="H47" s="36">
        <v>80</v>
      </c>
      <c r="I47" s="36">
        <v>80</v>
      </c>
      <c r="J47" s="40">
        <f>I47-H47</f>
        <v>0</v>
      </c>
      <c r="K47" s="41">
        <f>'Nov 16'!$F47*'Nov 16'!$I47</f>
        <v>19982481</v>
      </c>
      <c r="L47" s="42">
        <f>'Nov 16'!$K47/$K$2</f>
        <v>0.10855099691762871</v>
      </c>
      <c r="M47" s="43"/>
    </row>
    <row r="48" spans="1:13" s="46" customFormat="1" ht="25.5" x14ac:dyDescent="0.25">
      <c r="A48" s="36" t="s">
        <v>151</v>
      </c>
      <c r="B48" s="36" t="s">
        <v>77</v>
      </c>
      <c r="C48" s="36" t="s">
        <v>78</v>
      </c>
      <c r="D48" s="37">
        <v>0.1</v>
      </c>
      <c r="E48" s="38">
        <f>'Nov 16'!$D48*$C$6*$C$2</f>
        <v>16753182.751799999</v>
      </c>
      <c r="F48" s="38">
        <v>165072.72950819699</v>
      </c>
      <c r="G48" s="39">
        <f>'Nov 16'!$E48/'Nov 16'!$F48</f>
        <v>101.48970579036853</v>
      </c>
      <c r="H48" s="36">
        <v>122</v>
      </c>
      <c r="I48" s="36">
        <v>122</v>
      </c>
      <c r="J48" s="40">
        <f>I48-H48</f>
        <v>0</v>
      </c>
      <c r="K48" s="41">
        <f>'Nov 16'!$F48*'Nov 16'!$I48</f>
        <v>20138873.000000034</v>
      </c>
      <c r="L48" s="42">
        <f>'Nov 16'!$K48/$K$2</f>
        <v>0.10940056647357851</v>
      </c>
      <c r="M48" s="43"/>
    </row>
    <row r="49" spans="1:16" s="47" customFormat="1" ht="12.75" x14ac:dyDescent="0.25">
      <c r="A49" s="36"/>
      <c r="B49" s="36"/>
      <c r="C49" s="36"/>
      <c r="D49" s="37"/>
      <c r="E49" s="38"/>
      <c r="F49" s="38"/>
      <c r="G49" s="39"/>
      <c r="H49" s="36"/>
      <c r="I49" s="36"/>
      <c r="J49" s="48"/>
      <c r="K49" s="38"/>
      <c r="L49" s="42"/>
      <c r="M49" s="36"/>
    </row>
    <row r="50" spans="1:16" s="56" customFormat="1" ht="25.5" x14ac:dyDescent="0.25">
      <c r="A50" s="50" t="s">
        <v>154</v>
      </c>
      <c r="B50" s="50"/>
      <c r="C50" s="50"/>
      <c r="D50" s="58">
        <f>SUBTOTAL(9,D44:D49)</f>
        <v>0.5</v>
      </c>
      <c r="E50" s="52">
        <f>'Nov 16'!$D50*$C$6*$C$2</f>
        <v>83765913.759000003</v>
      </c>
      <c r="F50" s="71"/>
      <c r="G50" s="71"/>
      <c r="H50" s="57"/>
      <c r="I50" s="57"/>
      <c r="J50" s="61"/>
      <c r="K50" s="52">
        <f>SUM(K44:K49)</f>
        <v>100038910.00000006</v>
      </c>
      <c r="L50" s="74">
        <f>'Nov 16'!$K50/$K$2</f>
        <v>0.54344219874663924</v>
      </c>
      <c r="M50" s="50"/>
    </row>
    <row r="51" spans="1:16" s="47" customFormat="1" ht="12.75" x14ac:dyDescent="0.25">
      <c r="A51" s="36"/>
      <c r="B51" s="36"/>
      <c r="C51" s="36"/>
      <c r="D51" s="37"/>
      <c r="E51" s="38"/>
      <c r="F51" s="38"/>
      <c r="G51" s="39"/>
      <c r="H51" s="36"/>
      <c r="I51" s="36"/>
      <c r="J51" s="48"/>
      <c r="K51" s="38"/>
      <c r="L51" s="42"/>
      <c r="M51" s="36"/>
    </row>
    <row r="52" spans="1:16" s="46" customFormat="1" ht="12.75" x14ac:dyDescent="0.25">
      <c r="A52" s="36"/>
      <c r="B52" s="36"/>
      <c r="C52" s="36"/>
      <c r="D52" s="37"/>
      <c r="E52" s="38"/>
      <c r="F52" s="38"/>
      <c r="G52" s="75"/>
      <c r="H52" s="36"/>
      <c r="I52" s="36"/>
      <c r="J52" s="40"/>
      <c r="K52" s="41"/>
      <c r="L52" s="42"/>
      <c r="M52" s="43"/>
    </row>
    <row r="53" spans="1:16" s="46" customFormat="1" ht="25.5" x14ac:dyDescent="0.25">
      <c r="A53" s="36" t="s">
        <v>155</v>
      </c>
      <c r="B53" s="36" t="s">
        <v>53</v>
      </c>
      <c r="C53" s="36" t="s">
        <v>54</v>
      </c>
      <c r="D53" s="37">
        <v>1E-3</v>
      </c>
      <c r="E53" s="38">
        <f>'Nov 16'!$D53*$C$6*$C$2</f>
        <v>167531.82751800001</v>
      </c>
      <c r="F53" s="38">
        <v>48459.333333333299</v>
      </c>
      <c r="G53" s="75">
        <f>'Nov 16'!$E53/'Nov 16'!$F53</f>
        <v>3.4571632747320802</v>
      </c>
      <c r="H53" s="36">
        <v>3</v>
      </c>
      <c r="I53" s="36">
        <v>3</v>
      </c>
      <c r="J53" s="40">
        <f t="shared" ref="J53:J62" si="2">I53-H53</f>
        <v>0</v>
      </c>
      <c r="K53" s="41">
        <f>'Nov 16'!$F53*'Nov 16'!$I53</f>
        <v>145377.99999999988</v>
      </c>
      <c r="L53" s="42">
        <f>'Nov 16'!$K53/$K$2</f>
        <v>7.8973811259427766E-4</v>
      </c>
      <c r="M53" s="43"/>
    </row>
    <row r="54" spans="1:16" s="46" customFormat="1" ht="25.5" x14ac:dyDescent="0.25">
      <c r="A54" s="36" t="s">
        <v>155</v>
      </c>
      <c r="B54" s="36" t="s">
        <v>71</v>
      </c>
      <c r="C54" s="36" t="s">
        <v>72</v>
      </c>
      <c r="D54" s="37">
        <v>1E-3</v>
      </c>
      <c r="E54" s="38">
        <f>'Nov 16'!$D54*$C$6*$C$2</f>
        <v>167531.82751800001</v>
      </c>
      <c r="F54" s="38">
        <v>81060.5</v>
      </c>
      <c r="G54" s="75">
        <f>'Nov 16'!$E54/'Nov 16'!$F54</f>
        <v>2.0667504828862393</v>
      </c>
      <c r="H54" s="36">
        <v>2</v>
      </c>
      <c r="I54" s="36">
        <v>2</v>
      </c>
      <c r="J54" s="40">
        <f t="shared" si="2"/>
        <v>0</v>
      </c>
      <c r="K54" s="41">
        <f>'Nov 16'!$F54*'Nov 16'!$I54</f>
        <v>162121</v>
      </c>
      <c r="L54" s="42">
        <f>'Nov 16'!$K54/$K$2</f>
        <v>8.8069125006463834E-4</v>
      </c>
      <c r="M54" s="43"/>
      <c r="P54" s="46" t="s">
        <v>159</v>
      </c>
    </row>
    <row r="55" spans="1:16" s="46" customFormat="1" ht="25.5" x14ac:dyDescent="0.25">
      <c r="A55" s="36" t="s">
        <v>155</v>
      </c>
      <c r="B55" s="36" t="s">
        <v>83</v>
      </c>
      <c r="C55" s="36" t="s">
        <v>84</v>
      </c>
      <c r="D55" s="37">
        <v>1E-3</v>
      </c>
      <c r="E55" s="38">
        <f>'Nov 16'!$D55*$C$6*$C$2</f>
        <v>167531.82751800001</v>
      </c>
      <c r="F55" s="38">
        <v>96534</v>
      </c>
      <c r="G55" s="75">
        <f>'Nov 16'!$E55/'Nov 16'!$F55</f>
        <v>1.7354696533656535</v>
      </c>
      <c r="H55" s="36">
        <v>2</v>
      </c>
      <c r="I55" s="36">
        <v>2</v>
      </c>
      <c r="J55" s="40">
        <f t="shared" si="2"/>
        <v>0</v>
      </c>
      <c r="K55" s="41">
        <f>'Nov 16'!$F55*'Nov 16'!$I55</f>
        <v>193068</v>
      </c>
      <c r="L55" s="42">
        <f>'Nov 16'!$K55/$K$2</f>
        <v>1.0488048942917918E-3</v>
      </c>
      <c r="M55" s="43"/>
    </row>
    <row r="56" spans="1:16" s="46" customFormat="1" ht="25.5" x14ac:dyDescent="0.25">
      <c r="A56" s="36" t="s">
        <v>155</v>
      </c>
      <c r="B56" s="36" t="s">
        <v>161</v>
      </c>
      <c r="C56" s="36" t="s">
        <v>86</v>
      </c>
      <c r="D56" s="37">
        <v>1E-3</v>
      </c>
      <c r="E56" s="38">
        <f>'Nov 16'!$D56*$C$6*$C$2</f>
        <v>167531.82751800001</v>
      </c>
      <c r="F56" s="38">
        <v>234819</v>
      </c>
      <c r="G56" s="75">
        <f>'Nov 16'!$E56/'Nov 16'!$F56</f>
        <v>0.71345090268675027</v>
      </c>
      <c r="H56" s="36">
        <v>1</v>
      </c>
      <c r="I56" s="36">
        <v>1</v>
      </c>
      <c r="J56" s="40">
        <f t="shared" si="2"/>
        <v>0</v>
      </c>
      <c r="K56" s="41">
        <f>'Nov 16'!$F56*'Nov 16'!$I56</f>
        <v>234819</v>
      </c>
      <c r="L56" s="42">
        <f>'Nov 16'!$K56/$K$2</f>
        <v>1.2756091971362644E-3</v>
      </c>
      <c r="M56" s="43"/>
    </row>
    <row r="57" spans="1:16" s="46" customFormat="1" ht="25.5" x14ac:dyDescent="0.25">
      <c r="A57" s="36" t="s">
        <v>155</v>
      </c>
      <c r="B57" s="36" t="s">
        <v>87</v>
      </c>
      <c r="C57" s="36" t="s">
        <v>88</v>
      </c>
      <c r="D57" s="37">
        <v>1E-3</v>
      </c>
      <c r="E57" s="38">
        <f>'Nov 16'!$D57*$C$6*$C$2</f>
        <v>167531.82751800001</v>
      </c>
      <c r="F57" s="38">
        <v>12024.538461538499</v>
      </c>
      <c r="G57" s="75">
        <f>'Nov 16'!$E57/'Nov 16'!$F57</f>
        <v>13.93249545950264</v>
      </c>
      <c r="H57" s="36">
        <v>13</v>
      </c>
      <c r="I57" s="36">
        <v>14</v>
      </c>
      <c r="J57" s="40">
        <f t="shared" si="2"/>
        <v>1</v>
      </c>
      <c r="K57" s="41">
        <f>'Nov 16'!$F57*'Nov 16'!$I57</f>
        <v>168343.53846153899</v>
      </c>
      <c r="L57" s="42">
        <f>'Nov 16'!$K57/$K$2</f>
        <v>9.1449399724895166E-4</v>
      </c>
      <c r="M57" s="43"/>
    </row>
    <row r="58" spans="1:16" s="46" customFormat="1" ht="25.5" x14ac:dyDescent="0.25">
      <c r="A58" s="36" t="s">
        <v>155</v>
      </c>
      <c r="B58" s="36" t="s">
        <v>90</v>
      </c>
      <c r="C58" s="36" t="s">
        <v>91</v>
      </c>
      <c r="D58" s="37">
        <v>1E-3</v>
      </c>
      <c r="E58" s="38">
        <f>'Nov 16'!$D58*$C$6*$C$2</f>
        <v>167531.82751800001</v>
      </c>
      <c r="F58" s="38">
        <v>91357.5</v>
      </c>
      <c r="G58" s="75">
        <f>'Nov 16'!$E58/'Nov 16'!$F58</f>
        <v>1.8338048602249406</v>
      </c>
      <c r="H58" s="36">
        <v>2</v>
      </c>
      <c r="I58" s="36">
        <v>2</v>
      </c>
      <c r="J58" s="40">
        <f t="shared" si="2"/>
        <v>0</v>
      </c>
      <c r="K58" s="41">
        <f>'Nov 16'!$F58*'Nov 16'!$I58</f>
        <v>182715</v>
      </c>
      <c r="L58" s="42">
        <f>'Nov 16'!$K58/$K$2</f>
        <v>9.9256420670709158E-4</v>
      </c>
      <c r="M58" s="43"/>
    </row>
    <row r="59" spans="1:16" s="4" customFormat="1" ht="25.5" x14ac:dyDescent="0.2">
      <c r="A59" s="36" t="s">
        <v>155</v>
      </c>
      <c r="B59" s="64" t="s">
        <v>112</v>
      </c>
      <c r="C59" s="64" t="s">
        <v>113</v>
      </c>
      <c r="D59" s="37">
        <v>1E-3</v>
      </c>
      <c r="E59" s="38">
        <f>'Nov 16'!$D59*$C$6*$C$2</f>
        <v>167531.82751800001</v>
      </c>
      <c r="F59" s="38">
        <v>66310.5</v>
      </c>
      <c r="G59" s="75">
        <f>'Nov 16'!$E59/'Nov 16'!$F59</f>
        <v>2.5264751060239328</v>
      </c>
      <c r="H59" s="36">
        <v>2</v>
      </c>
      <c r="I59" s="36">
        <v>3</v>
      </c>
      <c r="J59" s="40">
        <f t="shared" si="2"/>
        <v>1</v>
      </c>
      <c r="K59" s="41">
        <f>'Nov 16'!$F59*'Nov 16'!$I59</f>
        <v>198931.5</v>
      </c>
      <c r="L59" s="42">
        <f>'Nov 16'!$K59/$K$2</f>
        <v>1.0806572338699712E-3</v>
      </c>
      <c r="M59" s="65"/>
    </row>
    <row r="60" spans="1:16" s="46" customFormat="1" ht="25.5" x14ac:dyDescent="0.25">
      <c r="A60" s="36" t="s">
        <v>155</v>
      </c>
      <c r="B60" s="36" t="s">
        <v>164</v>
      </c>
      <c r="C60" s="36" t="s">
        <v>82</v>
      </c>
      <c r="D60" s="37">
        <v>1E-3</v>
      </c>
      <c r="E60" s="38">
        <f>'Nov 16'!$D60*$C$6*$C$2</f>
        <v>167531.82751800001</v>
      </c>
      <c r="F60" s="38">
        <v>28725.4</v>
      </c>
      <c r="G60" s="75">
        <f>'Nov 16'!$E60/'Nov 16'!$F60</f>
        <v>5.8321843218197138</v>
      </c>
      <c r="H60" s="36">
        <v>5</v>
      </c>
      <c r="I60" s="36">
        <v>6</v>
      </c>
      <c r="J60" s="40">
        <f t="shared" si="2"/>
        <v>1</v>
      </c>
      <c r="K60" s="41">
        <f>'Nov 16'!$F60*'Nov 16'!$I60</f>
        <v>172352.40000000002</v>
      </c>
      <c r="L60" s="42">
        <f>'Nov 16'!$K60/$K$2</f>
        <v>9.3627136896293878E-4</v>
      </c>
      <c r="M60" s="43"/>
    </row>
    <row r="61" spans="1:16" s="46" customFormat="1" ht="25.5" x14ac:dyDescent="0.25">
      <c r="A61" s="36" t="s">
        <v>155</v>
      </c>
      <c r="B61" s="36" t="s">
        <v>100</v>
      </c>
      <c r="C61" s="36" t="s">
        <v>101</v>
      </c>
      <c r="D61" s="37">
        <v>1E-3</v>
      </c>
      <c r="E61" s="38">
        <f>'Nov 16'!$D61*$C$6*$C$2</f>
        <v>167531.82751800001</v>
      </c>
      <c r="F61" s="38">
        <v>7919.5789473684199</v>
      </c>
      <c r="G61" s="75">
        <f>'Nov 16'!$E61/'Nov 16'!$F61</f>
        <v>21.154133146645226</v>
      </c>
      <c r="H61" s="36">
        <v>19</v>
      </c>
      <c r="I61" s="36">
        <v>21</v>
      </c>
      <c r="J61" s="40">
        <f t="shared" si="2"/>
        <v>2</v>
      </c>
      <c r="K61" s="41">
        <f>'Nov 16'!$F61*'Nov 16'!$I61</f>
        <v>166311.15789473683</v>
      </c>
      <c r="L61" s="42">
        <f>'Nov 16'!$K61/$K$2</f>
        <v>9.0345347947528838E-4</v>
      </c>
      <c r="M61" s="43"/>
    </row>
    <row r="62" spans="1:16" s="46" customFormat="1" ht="25.5" x14ac:dyDescent="0.25">
      <c r="A62" s="36" t="s">
        <v>155</v>
      </c>
      <c r="B62" s="36" t="s">
        <v>174</v>
      </c>
      <c r="C62" s="36" t="s">
        <v>75</v>
      </c>
      <c r="D62" s="37">
        <v>1E-3</v>
      </c>
      <c r="E62" s="38">
        <f>'Nov 16'!$D62*$C$6*$C$2</f>
        <v>167531.82751800001</v>
      </c>
      <c r="F62" s="38">
        <v>27367.666666666701</v>
      </c>
      <c r="G62" s="75">
        <f>'Nov 16'!$E62/'Nov 16'!$F62</f>
        <v>6.1215239705491804</v>
      </c>
      <c r="H62" s="36">
        <v>6</v>
      </c>
      <c r="I62" s="36">
        <v>6</v>
      </c>
      <c r="J62" s="40">
        <f t="shared" si="2"/>
        <v>0</v>
      </c>
      <c r="K62" s="41">
        <f>'Nov 16'!$F62*'Nov 16'!$I62</f>
        <v>164206.0000000002</v>
      </c>
      <c r="L62" s="42">
        <f>'Nov 16'!$K62/$K$2</f>
        <v>8.9201761282075849E-4</v>
      </c>
      <c r="M62" s="43"/>
    </row>
    <row r="63" spans="1:16" s="46" customFormat="1" ht="12.75" x14ac:dyDescent="0.25">
      <c r="A63" s="36"/>
      <c r="B63" s="36"/>
      <c r="C63" s="36"/>
      <c r="D63" s="37"/>
      <c r="E63" s="38"/>
      <c r="F63" s="38"/>
      <c r="G63" s="39"/>
      <c r="H63" s="36"/>
      <c r="I63" s="36"/>
      <c r="J63" s="43"/>
      <c r="K63" s="41"/>
      <c r="L63" s="42"/>
      <c r="M63" s="43"/>
    </row>
    <row r="64" spans="1:16" s="46" customFormat="1" ht="12.75" x14ac:dyDescent="0.25">
      <c r="A64" s="36"/>
      <c r="B64" s="36"/>
      <c r="C64" s="36"/>
      <c r="D64" s="37"/>
      <c r="E64" s="38"/>
      <c r="F64" s="38"/>
      <c r="G64" s="39"/>
      <c r="H64" s="36"/>
      <c r="I64" s="36"/>
      <c r="J64" s="43"/>
      <c r="K64" s="41"/>
      <c r="L64" s="42"/>
      <c r="M64" s="43"/>
    </row>
    <row r="65" spans="1:13" s="17" customFormat="1" ht="12.75" x14ac:dyDescent="0.2">
      <c r="A65" s="50" t="s">
        <v>167</v>
      </c>
      <c r="B65" s="68"/>
      <c r="C65" s="68"/>
      <c r="D65" s="76">
        <f>SUM(D53:D64)</f>
        <v>1.0000000000000002E-2</v>
      </c>
      <c r="E65" s="52">
        <f>SUM(E52:E64)</f>
        <v>1675318.2751800001</v>
      </c>
      <c r="F65" s="71"/>
      <c r="G65" s="71"/>
      <c r="H65" s="68"/>
      <c r="I65" s="68"/>
      <c r="J65" s="50"/>
      <c r="K65" s="52">
        <f>SUM(K52:K64)</f>
        <v>1788245.596356276</v>
      </c>
      <c r="L65" s="55">
        <f>'Nov 16'!$K65/$K$2</f>
        <v>9.7143013531719724E-3</v>
      </c>
      <c r="M65" s="62"/>
    </row>
    <row r="66" spans="1:13" s="4" customFormat="1" ht="12.75" x14ac:dyDescent="0.2">
      <c r="A66" s="36"/>
      <c r="B66" s="64"/>
      <c r="C66" s="64"/>
      <c r="D66" s="77"/>
      <c r="E66" s="38"/>
      <c r="F66" s="38"/>
      <c r="G66" s="39"/>
      <c r="H66" s="64"/>
      <c r="I66" s="64"/>
      <c r="J66" s="36"/>
      <c r="K66" s="36"/>
      <c r="L66" s="42"/>
      <c r="M66" s="65"/>
    </row>
    <row r="67" spans="1:13" s="46" customFormat="1" ht="25.5" x14ac:dyDescent="0.25">
      <c r="A67" s="50" t="s">
        <v>168</v>
      </c>
      <c r="B67" s="57" t="s">
        <v>169</v>
      </c>
      <c r="C67" s="57" t="s">
        <v>170</v>
      </c>
      <c r="D67" s="58">
        <v>0</v>
      </c>
      <c r="E67" s="59">
        <f>'Nov 16'!$D67*$C$6*$C$2</f>
        <v>0</v>
      </c>
      <c r="F67" s="59">
        <v>0</v>
      </c>
      <c r="G67" s="60" t="s">
        <v>175</v>
      </c>
      <c r="H67" s="57">
        <v>0</v>
      </c>
      <c r="I67" s="57">
        <v>0</v>
      </c>
      <c r="J67" s="78">
        <f>I67-H67</f>
        <v>0</v>
      </c>
      <c r="K67" s="59">
        <f>'Nov 16'!$F67*'Nov 16'!$I67</f>
        <v>0</v>
      </c>
      <c r="L67" s="79">
        <f>'Nov 16'!$K67/$K$2</f>
        <v>0</v>
      </c>
      <c r="M67" s="57"/>
    </row>
    <row r="68" spans="1:13" s="4" customFormat="1" ht="12.75" x14ac:dyDescent="0.2">
      <c r="A68" s="36"/>
      <c r="B68" s="64"/>
      <c r="C68" s="64"/>
      <c r="D68" s="77"/>
      <c r="E68" s="38"/>
      <c r="F68" s="38"/>
      <c r="G68" s="39"/>
      <c r="H68" s="64"/>
      <c r="I68" s="64"/>
      <c r="J68" s="36"/>
      <c r="K68" s="36"/>
      <c r="L68" s="42"/>
      <c r="M68" s="65"/>
    </row>
    <row r="69" spans="1:13" s="4" customFormat="1" ht="12.75" x14ac:dyDescent="0.2">
      <c r="A69" s="36"/>
      <c r="B69" s="64"/>
      <c r="C69" s="64"/>
      <c r="D69" s="80"/>
      <c r="E69" s="66"/>
      <c r="F69" s="38"/>
      <c r="G69" s="39"/>
      <c r="H69" s="64"/>
      <c r="I69" s="64"/>
      <c r="J69" s="36"/>
      <c r="K69" s="36"/>
      <c r="L69" s="42"/>
      <c r="M69" s="65"/>
    </row>
    <row r="70" spans="1:13" s="17" customFormat="1" ht="12.75" x14ac:dyDescent="0.2">
      <c r="A70" s="50" t="s">
        <v>171</v>
      </c>
      <c r="B70" s="68"/>
      <c r="C70" s="68"/>
      <c r="D70" s="68"/>
      <c r="E70" s="81"/>
      <c r="F70" s="81"/>
      <c r="G70" s="50"/>
      <c r="H70" s="68"/>
      <c r="I70" s="68"/>
      <c r="J70" s="68"/>
      <c r="K70" s="81">
        <f>SUM(K27,K29,K42,K50,K65,K67:K67)</f>
        <v>184083809.15343615</v>
      </c>
      <c r="L70" s="55">
        <f>'Nov 16'!$K70/$K$2</f>
        <v>1</v>
      </c>
      <c r="M70" s="68"/>
    </row>
    <row r="71" spans="1:13" s="4" customFormat="1" ht="12.75" x14ac:dyDescent="0.2">
      <c r="A71" s="65"/>
      <c r="B71" s="65"/>
      <c r="C71" s="65"/>
      <c r="D71" s="82"/>
      <c r="E71" s="83"/>
      <c r="F71" s="38"/>
      <c r="G71" s="84"/>
      <c r="H71" s="65"/>
      <c r="I71" s="65"/>
      <c r="J71" s="65"/>
      <c r="K71" s="65"/>
      <c r="L71" s="42"/>
      <c r="M71" s="65"/>
    </row>
    <row r="72" spans="1:13" s="4" customFormat="1" ht="12.75" x14ac:dyDescent="0.2">
      <c r="A72" s="65"/>
      <c r="B72" s="65"/>
      <c r="C72" s="65"/>
      <c r="D72" s="82"/>
      <c r="E72" s="83"/>
      <c r="F72" s="38"/>
      <c r="G72" s="84"/>
      <c r="H72" s="65"/>
      <c r="I72" s="65"/>
      <c r="J72" s="65"/>
      <c r="K72" s="65"/>
      <c r="L72" s="42"/>
      <c r="M72" s="65"/>
    </row>
    <row r="73" spans="1:13" s="4" customFormat="1" ht="12.75" x14ac:dyDescent="0.2">
      <c r="A73" s="65"/>
      <c r="B73" s="65"/>
      <c r="C73" s="65"/>
      <c r="D73" s="82"/>
      <c r="E73" s="83"/>
      <c r="F73" s="38"/>
      <c r="G73" s="84"/>
      <c r="H73" s="65"/>
      <c r="I73" s="65"/>
      <c r="J73" s="65"/>
      <c r="K73" s="65"/>
      <c r="L73" s="42"/>
      <c r="M73" s="65"/>
    </row>
    <row r="74" spans="1:13" s="4" customFormat="1" ht="12.75" x14ac:dyDescent="0.2">
      <c r="A74" s="65"/>
      <c r="B74" s="65"/>
      <c r="C74" s="65"/>
      <c r="D74" s="82"/>
      <c r="E74" s="83"/>
      <c r="F74" s="38"/>
      <c r="G74" s="84"/>
      <c r="H74" s="65"/>
      <c r="I74" s="65"/>
      <c r="J74" s="65"/>
      <c r="K74" s="65"/>
      <c r="L74" s="42"/>
      <c r="M74" s="65"/>
    </row>
    <row r="75" spans="1:13" s="4" customFormat="1" ht="12.75" x14ac:dyDescent="0.2">
      <c r="A75" s="65"/>
      <c r="B75" s="65"/>
      <c r="C75" s="65"/>
      <c r="D75" s="82"/>
      <c r="E75" s="83"/>
      <c r="F75" s="38"/>
      <c r="G75" s="84"/>
      <c r="H75" s="65"/>
      <c r="I75" s="65"/>
      <c r="J75" s="65"/>
      <c r="K75" s="65"/>
      <c r="L75" s="42"/>
      <c r="M75" s="65"/>
    </row>
    <row r="76" spans="1:13" s="4" customFormat="1" ht="12.75" x14ac:dyDescent="0.2">
      <c r="A76" s="65"/>
      <c r="B76" s="65"/>
      <c r="C76" s="65"/>
      <c r="D76" s="82"/>
      <c r="E76" s="83"/>
      <c r="F76" s="38"/>
      <c r="G76" s="84"/>
      <c r="H76" s="65"/>
      <c r="I76" s="65"/>
      <c r="J76" s="65"/>
      <c r="K76" s="65"/>
      <c r="L76" s="42"/>
      <c r="M76" s="65"/>
    </row>
    <row r="77" spans="1:13" s="4" customFormat="1" ht="12.75" x14ac:dyDescent="0.2">
      <c r="A77" s="65"/>
      <c r="B77" s="65"/>
      <c r="C77" s="65"/>
      <c r="D77" s="82"/>
      <c r="E77" s="83"/>
      <c r="F77" s="38"/>
      <c r="G77" s="84"/>
      <c r="H77" s="65"/>
      <c r="I77" s="65"/>
      <c r="J77" s="65"/>
      <c r="K77" s="65"/>
      <c r="L77" s="42"/>
      <c r="M77" s="65"/>
    </row>
    <row r="78" spans="1:13" s="4" customFormat="1" ht="12.75" x14ac:dyDescent="0.2">
      <c r="A78" s="65"/>
      <c r="B78" s="65"/>
      <c r="C78" s="65"/>
      <c r="D78" s="82"/>
      <c r="E78" s="83"/>
      <c r="F78" s="38"/>
      <c r="G78" s="84"/>
      <c r="H78" s="65"/>
      <c r="I78" s="65"/>
      <c r="J78" s="65"/>
      <c r="K78" s="65"/>
      <c r="L78" s="42"/>
      <c r="M78" s="65"/>
    </row>
    <row r="79" spans="1:13" s="4" customFormat="1" ht="12.75" x14ac:dyDescent="0.2">
      <c r="A79" s="65"/>
      <c r="B79" s="65"/>
      <c r="C79" s="65"/>
      <c r="D79" s="82"/>
      <c r="E79" s="83"/>
      <c r="F79" s="38"/>
      <c r="G79" s="84"/>
      <c r="H79" s="65"/>
      <c r="I79" s="65"/>
      <c r="J79" s="65"/>
      <c r="K79" s="65"/>
      <c r="L79" s="42"/>
      <c r="M79" s="65"/>
    </row>
    <row r="80" spans="1:13" s="4" customFormat="1" ht="12.75" x14ac:dyDescent="0.2"/>
    <row r="81" spans="1:13" s="4" customFormat="1" ht="12.75" x14ac:dyDescent="0.2"/>
    <row r="83" spans="1:13" s="4" customFormat="1" ht="12.75" x14ac:dyDescent="0.2">
      <c r="A83" s="85"/>
      <c r="B83" s="85"/>
      <c r="E83" s="85"/>
      <c r="F83" s="85"/>
      <c r="G83" s="85"/>
      <c r="H83" s="86"/>
      <c r="M83" s="85"/>
    </row>
    <row r="84" spans="1:13" s="4" customFormat="1" ht="12.75" x14ac:dyDescent="0.2">
      <c r="A84" s="85"/>
      <c r="B84" s="85"/>
      <c r="E84" s="85"/>
      <c r="F84" s="85"/>
      <c r="G84" s="85"/>
      <c r="H84" s="86"/>
      <c r="M84" s="85"/>
    </row>
    <row r="85" spans="1:13" s="4" customFormat="1" ht="12.75" x14ac:dyDescent="0.2">
      <c r="A85" s="87"/>
      <c r="B85" s="87"/>
    </row>
    <row r="86" spans="1:13" s="4" customFormat="1" ht="12.75" x14ac:dyDescent="0.2">
      <c r="A86" s="88"/>
      <c r="B86" s="88"/>
      <c r="E86" s="88"/>
      <c r="F86" s="87"/>
      <c r="G86" s="87"/>
      <c r="M86" s="89"/>
    </row>
    <row r="87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H87"/>
  <sheetViews>
    <sheetView zoomScale="140" zoomScaleNormal="140" workbookViewId="0">
      <pane xSplit="2" topLeftCell="C1" activePane="topRight" state="frozen"/>
      <selection pane="topRight" activeCell="O23" sqref="O23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116</v>
      </c>
      <c r="C1" s="6">
        <v>44152</v>
      </c>
      <c r="D1" s="7"/>
      <c r="E1" s="8" t="s">
        <v>117</v>
      </c>
      <c r="F1" s="9"/>
      <c r="G1" s="10"/>
      <c r="K1" s="11" t="s">
        <v>118</v>
      </c>
      <c r="L1" s="11" t="s">
        <v>119</v>
      </c>
      <c r="M1" s="12" t="s">
        <v>120</v>
      </c>
    </row>
    <row r="2" spans="1:17" x14ac:dyDescent="0.25">
      <c r="A2" s="5"/>
      <c r="B2" s="5" t="s">
        <v>121</v>
      </c>
      <c r="C2" s="13">
        <v>7.05</v>
      </c>
      <c r="D2" s="14"/>
      <c r="E2" s="15">
        <f>SUM(E27,E42,E50,E65,E29,E67)</f>
        <v>182143483.07380095</v>
      </c>
      <c r="F2" s="16"/>
      <c r="G2" s="17"/>
      <c r="H2" s="14"/>
      <c r="I2" s="14"/>
      <c r="J2" s="14"/>
      <c r="K2" s="15">
        <f>SUM(K27,K42,K50,K65,K29,K67:K67)</f>
        <v>191522292.74739027</v>
      </c>
      <c r="L2" s="18">
        <f>SUM(L50,L65,L42,L27,L29,L67)</f>
        <v>1</v>
      </c>
      <c r="M2" s="19">
        <f>K2/$C$6</f>
        <v>7.4130212693592634</v>
      </c>
      <c r="N2" s="20"/>
    </row>
    <row r="3" spans="1:17" ht="26.25" x14ac:dyDescent="0.25">
      <c r="A3" s="5"/>
      <c r="B3" s="5" t="s">
        <v>122</v>
      </c>
      <c r="C3" s="21">
        <v>25835929.210000001</v>
      </c>
      <c r="D3" s="22"/>
      <c r="E3" s="8" t="s">
        <v>123</v>
      </c>
      <c r="F3" s="16"/>
      <c r="H3" s="14"/>
      <c r="I3" s="14"/>
      <c r="J3" s="14"/>
      <c r="K3" s="8" t="s">
        <v>123</v>
      </c>
      <c r="L3" s="14"/>
      <c r="M3" s="12" t="s">
        <v>124</v>
      </c>
      <c r="N3" s="23"/>
    </row>
    <row r="4" spans="1:17" x14ac:dyDescent="0.25">
      <c r="A4" s="5"/>
      <c r="B4" s="5" t="s">
        <v>125</v>
      </c>
      <c r="C4" s="21">
        <v>0</v>
      </c>
      <c r="D4" s="22"/>
      <c r="E4" s="15">
        <f>SUM(E27,E65,E29)</f>
        <v>38250275.338705935</v>
      </c>
      <c r="F4" s="16"/>
      <c r="G4" s="17"/>
      <c r="H4" s="14"/>
      <c r="I4" s="14"/>
      <c r="J4" s="14"/>
      <c r="K4" s="15">
        <f>SUM(K27,K29,K65)</f>
        <v>38346952.073395938</v>
      </c>
      <c r="L4" s="14"/>
      <c r="M4" s="19">
        <f>K4/$C$6</f>
        <v>1.4842489992019892</v>
      </c>
      <c r="N4" s="23"/>
    </row>
    <row r="5" spans="1:17" x14ac:dyDescent="0.25">
      <c r="A5" s="5"/>
      <c r="B5" s="5" t="s">
        <v>126</v>
      </c>
      <c r="C5" s="21">
        <v>0</v>
      </c>
      <c r="D5" s="22"/>
      <c r="E5" s="16"/>
      <c r="F5" s="16"/>
      <c r="G5" s="24">
        <f>SUM(D27,D29,D42,D50,D65,D67:D67)</f>
        <v>1.0000009999999999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127</v>
      </c>
      <c r="C6" s="21">
        <f>C3+C4-C5</f>
        <v>25835929.210000001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128</v>
      </c>
      <c r="B8" s="30" t="s">
        <v>129</v>
      </c>
      <c r="C8" s="31" t="s">
        <v>1</v>
      </c>
      <c r="D8" s="31" t="s">
        <v>130</v>
      </c>
      <c r="E8" s="31" t="s">
        <v>131</v>
      </c>
      <c r="F8" s="31" t="s">
        <v>132</v>
      </c>
      <c r="G8" s="31" t="s">
        <v>133</v>
      </c>
      <c r="H8" s="31" t="s">
        <v>134</v>
      </c>
      <c r="I8" s="31" t="s">
        <v>135</v>
      </c>
      <c r="J8" s="31" t="s">
        <v>136</v>
      </c>
      <c r="K8" s="32" t="s">
        <v>137</v>
      </c>
      <c r="L8" s="32" t="s">
        <v>138</v>
      </c>
      <c r="M8" s="32" t="s">
        <v>139</v>
      </c>
      <c r="N8" s="33"/>
      <c r="Q8" s="35"/>
    </row>
    <row r="9" spans="1:17" s="46" customFormat="1" ht="12.75" customHeight="1" x14ac:dyDescent="0.25">
      <c r="A9" s="36" t="s">
        <v>140</v>
      </c>
      <c r="B9" s="36" t="s">
        <v>49</v>
      </c>
      <c r="C9" s="36" t="s">
        <v>50</v>
      </c>
      <c r="D9" s="37">
        <v>1.2857E-2</v>
      </c>
      <c r="E9" s="38">
        <f>'Nov 17'!$D9*$C$6*$C$2</f>
        <v>2341816.4200634388</v>
      </c>
      <c r="F9" s="38">
        <v>455.50009825113</v>
      </c>
      <c r="G9" s="39">
        <f>'Nov 17'!$E9/'Nov 17'!$F9</f>
        <v>5141.1984960150976</v>
      </c>
      <c r="H9" s="36">
        <v>5089</v>
      </c>
      <c r="I9" s="36">
        <f>ROUND(Table13895845679910111213144562678910111213141516171819202134567891011121314151617181920212223345678910111213[[#This Row],[Target Quantity]],0)</f>
        <v>5141</v>
      </c>
      <c r="J9" s="40">
        <f t="shared" ref="J9:J25" si="0">I9-H9</f>
        <v>52</v>
      </c>
      <c r="K9" s="41">
        <f>'Nov 17'!$F9*'Nov 17'!$I9</f>
        <v>2341726.0051090592</v>
      </c>
      <c r="L9" s="42">
        <f>'Nov 17'!$K9/$K$2</f>
        <v>1.2226910880801202E-2</v>
      </c>
      <c r="M9" s="43"/>
    </row>
    <row r="10" spans="1:17" s="46" customFormat="1" ht="12.75" customHeight="1" x14ac:dyDescent="0.25">
      <c r="A10" s="36" t="s">
        <v>140</v>
      </c>
      <c r="B10" s="36" t="s">
        <v>37</v>
      </c>
      <c r="C10" s="36" t="s">
        <v>38</v>
      </c>
      <c r="D10" s="37">
        <v>1.2857E-2</v>
      </c>
      <c r="E10" s="38">
        <f>'Nov 17'!$D10*$C$6*$C$2</f>
        <v>2341816.4200634388</v>
      </c>
      <c r="F10" s="38">
        <v>87.199990619576894</v>
      </c>
      <c r="G10" s="39">
        <f>'Nov 17'!$E10/'Nov 17'!$F10</f>
        <v>26855.695779601239</v>
      </c>
      <c r="H10" s="36">
        <v>21321</v>
      </c>
      <c r="I10" s="36">
        <f>ROUND(Table13895845679910111213144562678910111213141516171819202134567891011121314151617181920212223345678910111213[[#This Row],[Target Quantity]],0)</f>
        <v>26856</v>
      </c>
      <c r="J10" s="40">
        <f t="shared" si="0"/>
        <v>5535</v>
      </c>
      <c r="K10" s="41">
        <f>'Nov 17'!$F10*'Nov 17'!$I10</f>
        <v>2341842.9480793569</v>
      </c>
      <c r="L10" s="42">
        <f>'Nov 17'!$K10/$K$2</f>
        <v>1.2227521477973052E-2</v>
      </c>
      <c r="M10" s="43"/>
    </row>
    <row r="11" spans="1:17" s="47" customFormat="1" ht="12.75" customHeight="1" x14ac:dyDescent="0.25">
      <c r="A11" s="36" t="s">
        <v>140</v>
      </c>
      <c r="B11" s="36" t="s">
        <v>27</v>
      </c>
      <c r="C11" s="36" t="s">
        <v>28</v>
      </c>
      <c r="D11" s="37">
        <v>1.2857E-2</v>
      </c>
      <c r="E11" s="38">
        <f>'Nov 17'!$D11*$C$6*$C$2</f>
        <v>2341816.4200634388</v>
      </c>
      <c r="F11" s="38">
        <v>208.13004616442399</v>
      </c>
      <c r="G11" s="39">
        <f>'Nov 17'!$E11/'Nov 17'!$F11</f>
        <v>11251.697980278108</v>
      </c>
      <c r="H11" s="36">
        <v>10181</v>
      </c>
      <c r="I11" s="36">
        <f>ROUND(Table13895845679910111213144562678910111213141516171819202134567891011121314151617181920212223345678910111213[[#This Row],[Target Quantity]],0)</f>
        <v>11252</v>
      </c>
      <c r="J11" s="40">
        <f t="shared" si="0"/>
        <v>1071</v>
      </c>
      <c r="K11" s="41">
        <f>'Nov 17'!$F11*'Nov 17'!$I11</f>
        <v>2341879.2794420989</v>
      </c>
      <c r="L11" s="42">
        <f>'Nov 17'!$K11/$K$2</f>
        <v>1.2227711175799977E-2</v>
      </c>
      <c r="M11" s="36"/>
    </row>
    <row r="12" spans="1:17" s="47" customFormat="1" ht="12.75" customHeight="1" x14ac:dyDescent="0.25">
      <c r="A12" s="36" t="s">
        <v>140</v>
      </c>
      <c r="B12" s="36" t="s">
        <v>51</v>
      </c>
      <c r="C12" s="36" t="s">
        <v>52</v>
      </c>
      <c r="D12" s="37">
        <v>1.2857E-2</v>
      </c>
      <c r="E12" s="38">
        <f>'Nov 17'!$D12*$C$6*$C$2</f>
        <v>2341816.4200634388</v>
      </c>
      <c r="F12" s="38">
        <v>399.17993414681399</v>
      </c>
      <c r="G12" s="39">
        <f>'Nov 17'!$E12/'Nov 17'!$F12</f>
        <v>5866.5684813759817</v>
      </c>
      <c r="H12" s="36">
        <v>5163</v>
      </c>
      <c r="I12" s="36">
        <f>ROUND(Table13895845679910111213144562678910111213141516171819202134567891011121314151617181920212223345678910111213[[#This Row],[Target Quantity]],0)</f>
        <v>5867</v>
      </c>
      <c r="J12" s="40">
        <f t="shared" si="0"/>
        <v>704</v>
      </c>
      <c r="K12" s="41">
        <f>'Nov 17'!$F12*'Nov 17'!$I12</f>
        <v>2341988.6736393576</v>
      </c>
      <c r="L12" s="42">
        <f>'Nov 17'!$K12/$K$2</f>
        <v>1.2228282358379767E-2</v>
      </c>
      <c r="M12" s="36"/>
    </row>
    <row r="13" spans="1:17" s="47" customFormat="1" ht="12.75" customHeight="1" x14ac:dyDescent="0.25">
      <c r="A13" s="36" t="s">
        <v>140</v>
      </c>
      <c r="B13" s="36" t="s">
        <v>41</v>
      </c>
      <c r="C13" s="36" t="s">
        <v>42</v>
      </c>
      <c r="D13" s="37">
        <v>1.2857E-2</v>
      </c>
      <c r="E13" s="38">
        <f>'Nov 17'!$D13*$C$6*$C$2</f>
        <v>2341816.4200634388</v>
      </c>
      <c r="F13" s="38">
        <v>1286.31013051585</v>
      </c>
      <c r="G13" s="39">
        <f>'Nov 17'!$E13/'Nov 17'!$F13</f>
        <v>1820.56905602096</v>
      </c>
      <c r="H13" s="36">
        <v>1609</v>
      </c>
      <c r="I13" s="36">
        <f>ROUND(Table13895845679910111213144562678910111213141516171819202134567891011121314151617181920212223345678910111213[[#This Row],[Target Quantity]],0)</f>
        <v>1821</v>
      </c>
      <c r="J13" s="40">
        <f t="shared" si="0"/>
        <v>212</v>
      </c>
      <c r="K13" s="41">
        <f>'Nov 17'!$F13*'Nov 17'!$I13</f>
        <v>2342370.7476693629</v>
      </c>
      <c r="L13" s="42">
        <f>'Nov 17'!$K13/$K$2</f>
        <v>1.2230277290794811E-2</v>
      </c>
      <c r="M13" s="36"/>
    </row>
    <row r="14" spans="1:17" s="47" customFormat="1" ht="12.75" customHeight="1" x14ac:dyDescent="0.25">
      <c r="A14" s="36" t="s">
        <v>140</v>
      </c>
      <c r="B14" s="36" t="s">
        <v>31</v>
      </c>
      <c r="C14" s="36" t="s">
        <v>32</v>
      </c>
      <c r="D14" s="37">
        <v>1.2857E-2</v>
      </c>
      <c r="E14" s="38">
        <f>'Nov 17'!$D14*$C$6*$C$2</f>
        <v>2341816.4200634388</v>
      </c>
      <c r="F14" s="38">
        <v>279.51999480654399</v>
      </c>
      <c r="G14" s="39">
        <f>'Nov 17'!$E14/'Nov 17'!$F14</f>
        <v>8377.9924999076065</v>
      </c>
      <c r="H14" s="36">
        <v>7702</v>
      </c>
      <c r="I14" s="36">
        <f>ROUND(Table13895845679910111213144562678910111213141516171819202134567891011121314151617181920212223345678910111213[[#This Row],[Target Quantity]],0)</f>
        <v>8378</v>
      </c>
      <c r="J14" s="40">
        <f t="shared" si="0"/>
        <v>676</v>
      </c>
      <c r="K14" s="41">
        <f>'Nov 17'!$F14*'Nov 17'!$I14</f>
        <v>2341818.5164892254</v>
      </c>
      <c r="L14" s="42">
        <f>'Nov 17'!$K14/$K$2</f>
        <v>1.2227393912717953E-2</v>
      </c>
      <c r="M14" s="36"/>
    </row>
    <row r="15" spans="1:17" s="47" customFormat="1" ht="12.75" customHeight="1" x14ac:dyDescent="0.25">
      <c r="A15" s="36" t="s">
        <v>140</v>
      </c>
      <c r="B15" s="36" t="s">
        <v>29</v>
      </c>
      <c r="C15" s="36" t="s">
        <v>30</v>
      </c>
      <c r="D15" s="37">
        <v>6.4289999999999998E-3</v>
      </c>
      <c r="E15" s="38">
        <f>'Nov 17'!$D15*$C$6*$C$2</f>
        <v>1170999.2816821844</v>
      </c>
      <c r="F15" s="38">
        <v>21</v>
      </c>
      <c r="G15" s="39">
        <f>'Nov 17'!$E15/'Nov 17'!$F15</f>
        <v>55761.870556294496</v>
      </c>
      <c r="H15" s="36">
        <v>51077</v>
      </c>
      <c r="I15" s="36">
        <f>ROUND(Table13895845679910111213144562678910111213141516171819202134567891011121314151617181920212223345678910111213[[#This Row],[Target Quantity]],0)</f>
        <v>55762</v>
      </c>
      <c r="J15" s="40">
        <f t="shared" si="0"/>
        <v>4685</v>
      </c>
      <c r="K15" s="41">
        <f>'Nov 17'!$F15*'Nov 17'!$I15</f>
        <v>1171002</v>
      </c>
      <c r="L15" s="42">
        <f>'Nov 17'!$K15/$K$2</f>
        <v>6.1141811911394651E-3</v>
      </c>
      <c r="M15" s="36"/>
    </row>
    <row r="16" spans="1:17" s="47" customFormat="1" ht="12.75" customHeight="1" x14ac:dyDescent="0.25">
      <c r="A16" s="36" t="s">
        <v>140</v>
      </c>
      <c r="B16" s="36" t="s">
        <v>39</v>
      </c>
      <c r="C16" s="36" t="s">
        <v>40</v>
      </c>
      <c r="D16" s="37">
        <v>6.4289999999999998E-3</v>
      </c>
      <c r="E16" s="38">
        <f>'Nov 17'!$D16*$C$6*$C$2</f>
        <v>1170999.2816821844</v>
      </c>
      <c r="F16" s="38">
        <v>34.7599947525499</v>
      </c>
      <c r="G16" s="39">
        <f>'Nov 17'!$E16/'Nov 17'!$F16</f>
        <v>33688.131716311123</v>
      </c>
      <c r="H16" s="36">
        <v>30491</v>
      </c>
      <c r="I16" s="36">
        <f>ROUND(Table13895845679910111213144562678910111213141516171819202134567891011121314151617181920212223345678910111213[[#This Row],[Target Quantity]],0)</f>
        <v>33688</v>
      </c>
      <c r="J16" s="40">
        <f t="shared" si="0"/>
        <v>3197</v>
      </c>
      <c r="K16" s="41">
        <f>'Nov 17'!$F16*'Nov 17'!$I16</f>
        <v>1170994.7032239011</v>
      </c>
      <c r="L16" s="42">
        <f>'Nov 17'!$K16/$K$2</f>
        <v>6.1141430923051512E-3</v>
      </c>
      <c r="M16" s="36"/>
    </row>
    <row r="17" spans="1:15" s="47" customFormat="1" ht="12.75" customHeight="1" x14ac:dyDescent="0.25">
      <c r="A17" s="36" t="s">
        <v>140</v>
      </c>
      <c r="B17" s="36" t="s">
        <v>19</v>
      </c>
      <c r="C17" s="36" t="s">
        <v>20</v>
      </c>
      <c r="D17" s="37">
        <v>1.2857E-2</v>
      </c>
      <c r="E17" s="38">
        <f>'Nov 17'!$D17*$C$6*$C$2</f>
        <v>2341816.4200634388</v>
      </c>
      <c r="F17" s="38">
        <v>457.17008733624499</v>
      </c>
      <c r="G17" s="39">
        <f>'Nov 17'!$E17/'Nov 17'!$F17</f>
        <v>5122.4182966744529</v>
      </c>
      <c r="H17" s="36">
        <v>4580</v>
      </c>
      <c r="I17" s="36">
        <f>ROUND(Table13895845679910111213144562678910111213141516171819202134567891011121314151617181920212223345678910111213[[#This Row],[Target Quantity]],0)</f>
        <v>5122</v>
      </c>
      <c r="J17" s="40">
        <f t="shared" si="0"/>
        <v>542</v>
      </c>
      <c r="K17" s="41">
        <f>'Nov 17'!$F17*'Nov 17'!$I17</f>
        <v>2341625.1873362469</v>
      </c>
      <c r="L17" s="42">
        <f>'Nov 17'!$K17/$K$2</f>
        <v>1.2226384478514731E-2</v>
      </c>
      <c r="M17" s="36"/>
    </row>
    <row r="18" spans="1:15" s="47" customFormat="1" ht="12.75" customHeight="1" x14ac:dyDescent="0.25">
      <c r="A18" s="36" t="s">
        <v>140</v>
      </c>
      <c r="B18" s="36" t="s">
        <v>33</v>
      </c>
      <c r="C18" s="36" t="s">
        <v>34</v>
      </c>
      <c r="D18" s="37">
        <v>6.4289999999999998E-3</v>
      </c>
      <c r="E18" s="38">
        <f>'Nov 17'!$D18*$C$6*$C$2</f>
        <v>1170999.2816821844</v>
      </c>
      <c r="F18" s="38">
        <v>24.119990545157599</v>
      </c>
      <c r="G18" s="39">
        <f>'Nov 17'!$E18/'Nov 17'!$F18</f>
        <v>48548.911306156282</v>
      </c>
      <c r="H18" s="36">
        <v>46537</v>
      </c>
      <c r="I18" s="36">
        <f>ROUND(Table13895845679910111213144562678910111213141516171819202134567891011121314151617181920212223345678910111213[[#This Row],[Target Quantity]],0)</f>
        <v>48549</v>
      </c>
      <c r="J18" s="40">
        <f t="shared" si="0"/>
        <v>2012</v>
      </c>
      <c r="K18" s="41">
        <f>'Nov 17'!$F18*'Nov 17'!$I18</f>
        <v>1171001.4209768563</v>
      </c>
      <c r="L18" s="42">
        <f>'Nov 17'!$K18/$K$2</f>
        <v>6.1141781678718575E-3</v>
      </c>
      <c r="M18" s="36"/>
    </row>
    <row r="19" spans="1:15" s="47" customFormat="1" ht="12.75" customHeight="1" x14ac:dyDescent="0.25">
      <c r="A19" s="36" t="s">
        <v>140</v>
      </c>
      <c r="B19" s="36" t="s">
        <v>21</v>
      </c>
      <c r="C19" s="36" t="s">
        <v>22</v>
      </c>
      <c r="D19" s="37">
        <v>1.2857E-2</v>
      </c>
      <c r="E19" s="38">
        <f>'Nov 17'!$D19*$C$6*$C$2</f>
        <v>2341816.4200634388</v>
      </c>
      <c r="F19" s="38">
        <v>42</v>
      </c>
      <c r="G19" s="39">
        <f>'Nov 17'!$E19/'Nov 17'!$F19</f>
        <v>55757.533811034256</v>
      </c>
      <c r="H19" s="36">
        <v>54692</v>
      </c>
      <c r="I19" s="36">
        <f>ROUND(Table13895845679910111213144562678910111213141516171819202134567891011121314151617181920212223345678910111213[[#This Row],[Target Quantity]],0)</f>
        <v>55758</v>
      </c>
      <c r="J19" s="40">
        <f t="shared" si="0"/>
        <v>1066</v>
      </c>
      <c r="K19" s="41">
        <f>'Nov 17'!$F19*'Nov 17'!$I19</f>
        <v>2341836</v>
      </c>
      <c r="L19" s="42">
        <f>'Nov 17'!$K19/$K$2</f>
        <v>1.2227485199797508E-2</v>
      </c>
      <c r="M19" s="36"/>
    </row>
    <row r="20" spans="1:15" s="47" customFormat="1" ht="12.75" customHeight="1" x14ac:dyDescent="0.25">
      <c r="A20" s="36" t="s">
        <v>140</v>
      </c>
      <c r="B20" s="36" t="s">
        <v>45</v>
      </c>
      <c r="C20" s="36" t="s">
        <v>46</v>
      </c>
      <c r="D20" s="37">
        <v>6.4289999999999998E-3</v>
      </c>
      <c r="E20" s="38">
        <f>'Nov 17'!$D20*$C$6*$C$2</f>
        <v>1170999.2816821844</v>
      </c>
      <c r="F20" s="38">
        <v>69.349983525535393</v>
      </c>
      <c r="G20" s="39">
        <f>'Nov 17'!$E20/'Nov 17'!$F20</f>
        <v>16885.357748513525</v>
      </c>
      <c r="H20" s="36">
        <v>15175</v>
      </c>
      <c r="I20" s="36">
        <f>ROUND(Table13895845679910111213144562678910111213141516171819202134567891011121314151617181920212223345678910111213[[#This Row],[Target Quantity]],0)</f>
        <v>16885</v>
      </c>
      <c r="J20" s="40">
        <f t="shared" si="0"/>
        <v>1710</v>
      </c>
      <c r="K20" s="41">
        <f>'Nov 17'!$F20*'Nov 17'!$I20</f>
        <v>1170974.4718286651</v>
      </c>
      <c r="L20" s="42">
        <f>'Nov 17'!$K20/$K$2</f>
        <v>6.1140374576296999E-3</v>
      </c>
      <c r="M20" s="36"/>
    </row>
    <row r="21" spans="1:15" s="47" customFormat="1" ht="12.75" customHeight="1" x14ac:dyDescent="0.25">
      <c r="A21" s="36" t="s">
        <v>140</v>
      </c>
      <c r="B21" s="36" t="s">
        <v>23</v>
      </c>
      <c r="C21" s="36" t="s">
        <v>24</v>
      </c>
      <c r="D21" s="37">
        <v>1.2857E-2</v>
      </c>
      <c r="E21" s="38">
        <f>'Nov 17'!$D21*$C$6*$C$2</f>
        <v>2341816.4200634388</v>
      </c>
      <c r="F21" s="38">
        <v>259.10003607069899</v>
      </c>
      <c r="G21" s="39">
        <f>'Nov 17'!$E21/'Nov 17'!$F21</f>
        <v>9038.2713008362607</v>
      </c>
      <c r="H21" s="36">
        <v>8317</v>
      </c>
      <c r="I21" s="36">
        <f>ROUND(Table13895845679910111213144562678910111213141516171819202134567891011121314151617181920212223345678910111213[[#This Row],[Target Quantity]],0)</f>
        <v>9038</v>
      </c>
      <c r="J21" s="40">
        <f t="shared" si="0"/>
        <v>721</v>
      </c>
      <c r="K21" s="41">
        <f>'Nov 17'!$F21*'Nov 17'!$I21</f>
        <v>2341746.1260069776</v>
      </c>
      <c r="L21" s="42">
        <f>'Nov 17'!$K21/$K$2</f>
        <v>1.2227015938534324E-2</v>
      </c>
      <c r="M21" s="36"/>
    </row>
    <row r="22" spans="1:15" s="47" customFormat="1" ht="12.75" customHeight="1" x14ac:dyDescent="0.25">
      <c r="A22" s="36" t="s">
        <v>140</v>
      </c>
      <c r="B22" s="36" t="s">
        <v>47</v>
      </c>
      <c r="C22" s="36" t="s">
        <v>48</v>
      </c>
      <c r="D22" s="37">
        <v>6.4289999999999998E-3</v>
      </c>
      <c r="E22" s="38">
        <f>'Nov 17'!$D22*$C$6*$C$2</f>
        <v>1170999.2816821844</v>
      </c>
      <c r="F22" s="38">
        <v>354.62008589362398</v>
      </c>
      <c r="G22" s="39">
        <f>'Nov 17'!$E22/'Nov 17'!$F22</f>
        <v>3302.1233941989717</v>
      </c>
      <c r="H22" s="36">
        <v>3027</v>
      </c>
      <c r="I22" s="36">
        <f>ROUND(Table13895845679910111213144562678910111213141516171819202134567891011121314151617181920212223345678910111213[[#This Row],[Target Quantity]],0)</f>
        <v>3302</v>
      </c>
      <c r="J22" s="40">
        <f t="shared" si="0"/>
        <v>275</v>
      </c>
      <c r="K22" s="41">
        <f>'Nov 17'!$F22*'Nov 17'!$I22</f>
        <v>1170955.5236207463</v>
      </c>
      <c r="L22" s="42">
        <f>'Nov 17'!$K22/$K$2</f>
        <v>6.1139385228913623E-3</v>
      </c>
      <c r="M22" s="36"/>
    </row>
    <row r="23" spans="1:15" s="47" customFormat="1" ht="12.75" customHeight="1" x14ac:dyDescent="0.25">
      <c r="A23" s="36" t="s">
        <v>140</v>
      </c>
      <c r="B23" s="36" t="s">
        <v>15</v>
      </c>
      <c r="C23" s="36" t="s">
        <v>16</v>
      </c>
      <c r="D23" s="37">
        <v>6.4289999999999998E-3</v>
      </c>
      <c r="E23" s="38">
        <f>'Nov 17'!$D23*$C$6*$C$2</f>
        <v>1170999.2816821844</v>
      </c>
      <c r="F23" s="38">
        <v>128.91999064218001</v>
      </c>
      <c r="G23" s="39">
        <f>'Nov 17'!$E23/'Nov 17'!$F23</f>
        <v>9083.1474300391183</v>
      </c>
      <c r="H23" s="36">
        <v>8549</v>
      </c>
      <c r="I23" s="36">
        <f>ROUND(Table13895845679910111213144562678910111213141516171819202134567891011121314151617181920212223345678910111213[[#This Row],[Target Quantity]],0)</f>
        <v>9083</v>
      </c>
      <c r="J23" s="40">
        <f t="shared" si="0"/>
        <v>534</v>
      </c>
      <c r="K23" s="41">
        <f>'Nov 17'!$F23*'Nov 17'!$I23</f>
        <v>1170980.275002921</v>
      </c>
      <c r="L23" s="42">
        <f>'Nov 17'!$K23/$K$2</f>
        <v>6.1140677578844253E-3</v>
      </c>
      <c r="M23" s="36"/>
    </row>
    <row r="24" spans="1:15" s="47" customFormat="1" ht="12.75" customHeight="1" x14ac:dyDescent="0.25">
      <c r="A24" s="36" t="s">
        <v>140</v>
      </c>
      <c r="B24" s="36" t="s">
        <v>43</v>
      </c>
      <c r="C24" s="36" t="s">
        <v>44</v>
      </c>
      <c r="D24" s="37">
        <v>1.2857E-2</v>
      </c>
      <c r="E24" s="38">
        <f>'Nov 17'!$D24*$C$6*$C$2</f>
        <v>2341816.4200634388</v>
      </c>
      <c r="F24" s="38">
        <v>267.89005688844901</v>
      </c>
      <c r="G24" s="39">
        <f>'Nov 17'!$E24/'Nov 17'!$F24</f>
        <v>8741.7071289009618</v>
      </c>
      <c r="H24" s="36">
        <v>8086</v>
      </c>
      <c r="I24" s="36">
        <f>ROUND(Table13895845679910111213144562678910111213141516171819202134567891011121314151617181920212223345678910111213[[#This Row],[Target Quantity]],0)</f>
        <v>8742</v>
      </c>
      <c r="J24" s="40">
        <f t="shared" si="0"/>
        <v>656</v>
      </c>
      <c r="K24" s="41">
        <f>'Nov 17'!$F24*'Nov 17'!$I24</f>
        <v>2341894.8773188214</v>
      </c>
      <c r="L24" s="42">
        <f>'Nov 17'!$K24/$K$2</f>
        <v>1.2227792617372646E-2</v>
      </c>
      <c r="M24" s="36"/>
    </row>
    <row r="25" spans="1:15" s="47" customFormat="1" ht="12.75" customHeight="1" x14ac:dyDescent="0.25">
      <c r="A25" s="36" t="s">
        <v>140</v>
      </c>
      <c r="B25" s="47" t="s">
        <v>11</v>
      </c>
      <c r="C25" s="36" t="s">
        <v>12</v>
      </c>
      <c r="D25" s="37">
        <v>1.2857E-2</v>
      </c>
      <c r="E25" s="38">
        <f>'Nov 17'!$D25*$C$6*$C$2</f>
        <v>2341816.4200634388</v>
      </c>
      <c r="F25" s="38">
        <v>2.4145618675253</v>
      </c>
      <c r="G25" s="39">
        <f>'Nov 17'!$E25/'Nov 17'!$F25</f>
        <v>969872.19568061084</v>
      </c>
      <c r="H25" s="36">
        <v>869600</v>
      </c>
      <c r="I25" s="36">
        <f>ROUND(Table13895845679910111213144562678910111213141516171819202134567891011121314151617181920212223345678910111213[[#This Row],[Target Quantity]],-2)</f>
        <v>969900</v>
      </c>
      <c r="J25" s="40">
        <f t="shared" si="0"/>
        <v>100300</v>
      </c>
      <c r="K25" s="41">
        <f>'Nov 17'!$F25*'Nov 17'!$I25</f>
        <v>2341883.5553127886</v>
      </c>
      <c r="L25" s="42">
        <f>'Nov 17'!$K25/$K$2</f>
        <v>1.2227733501507488E-2</v>
      </c>
      <c r="M25" s="36"/>
    </row>
    <row r="26" spans="1:15" s="47" customFormat="1" ht="12.75" customHeight="1" x14ac:dyDescent="0.25">
      <c r="A26" s="36"/>
      <c r="B26" s="36"/>
      <c r="C26" s="36"/>
      <c r="D26" s="37"/>
      <c r="E26" s="38"/>
      <c r="F26" s="38"/>
      <c r="G26" s="39"/>
      <c r="H26" s="36"/>
      <c r="I26" s="36"/>
      <c r="J26" s="48"/>
      <c r="K26" s="38"/>
      <c r="L26" s="49"/>
      <c r="M26" s="36"/>
    </row>
    <row r="27" spans="1:15" s="56" customFormat="1" ht="12.75" customHeight="1" x14ac:dyDescent="0.25">
      <c r="A27" s="50" t="s">
        <v>149</v>
      </c>
      <c r="B27" s="50"/>
      <c r="C27" s="50"/>
      <c r="D27" s="51">
        <f>SUM(D9:D26)</f>
        <v>0.18000100000000002</v>
      </c>
      <c r="E27" s="52">
        <f>'Nov 17'!$D27*$C$6*$C$2</f>
        <v>32785976.310790937</v>
      </c>
      <c r="F27" s="53"/>
      <c r="G27" s="53"/>
      <c r="H27" s="50"/>
      <c r="I27" s="50"/>
      <c r="J27" s="54"/>
      <c r="K27" s="52">
        <f>SUM(K9:K26)</f>
        <v>32786520.311056383</v>
      </c>
      <c r="L27" s="55">
        <f>'Nov 17'!$K27/$K$2</f>
        <v>0.17118905502191539</v>
      </c>
      <c r="M27" s="50"/>
    </row>
    <row r="28" spans="1:15" s="47" customFormat="1" ht="12.75" customHeight="1" x14ac:dyDescent="0.25">
      <c r="A28" s="36"/>
      <c r="B28" s="36"/>
      <c r="C28" s="36"/>
      <c r="D28" s="37"/>
      <c r="E28" s="38"/>
      <c r="F28" s="38"/>
      <c r="G28" s="39"/>
      <c r="H28" s="36"/>
      <c r="I28" s="36"/>
      <c r="J28" s="48"/>
      <c r="K28" s="38"/>
      <c r="L28" s="42"/>
      <c r="M28" s="36"/>
    </row>
    <row r="29" spans="1:15" s="46" customFormat="1" ht="12.75" customHeight="1" x14ac:dyDescent="0.25">
      <c r="A29" s="57"/>
      <c r="B29" s="50" t="s">
        <v>35</v>
      </c>
      <c r="C29" s="57" t="s">
        <v>36</v>
      </c>
      <c r="D29" s="58">
        <v>0.02</v>
      </c>
      <c r="E29" s="59">
        <f>'Nov 17'!$D29*$C$6*$C$2</f>
        <v>3642866.0186100001</v>
      </c>
      <c r="F29" s="53">
        <v>18.030000862403501</v>
      </c>
      <c r="G29" s="60">
        <f>'Nov 17'!$E29/'Nov 17'!$F29</f>
        <v>202044.69464037428</v>
      </c>
      <c r="H29" s="57">
        <v>185528</v>
      </c>
      <c r="I29" s="57">
        <f>ROUND(Table13895845679910111213144562678910111213141516171819202134567891011121314151617181920212223345678910111213[[#This Row],[Target Quantity]],0)</f>
        <v>202045</v>
      </c>
      <c r="J29" s="61">
        <f>I29-H29</f>
        <v>16517</v>
      </c>
      <c r="K29" s="62">
        <f>'Nov 17'!$F29*'Nov 17'!$I29</f>
        <v>3642871.5242443155</v>
      </c>
      <c r="L29" s="55">
        <f>'Nov 17'!$K29/$K$2</f>
        <v>1.9020613590132338E-2</v>
      </c>
      <c r="M29" s="50"/>
      <c r="O29" s="44"/>
    </row>
    <row r="30" spans="1:15" s="46" customFormat="1" ht="12.75" customHeight="1" x14ac:dyDescent="0.25">
      <c r="A30" s="36"/>
      <c r="B30" s="36"/>
      <c r="C30" s="36"/>
      <c r="D30" s="37"/>
      <c r="E30" s="38"/>
      <c r="F30" s="38"/>
      <c r="G30" s="39"/>
      <c r="H30" s="36"/>
      <c r="I30" s="36"/>
      <c r="J30" s="48"/>
      <c r="K30" s="41"/>
      <c r="L30" s="42"/>
      <c r="M30" s="36"/>
      <c r="O30" s="44"/>
    </row>
    <row r="31" spans="1:15" s="4" customFormat="1" ht="25.5" x14ac:dyDescent="0.2">
      <c r="A31" s="36" t="s">
        <v>150</v>
      </c>
      <c r="B31" s="63" t="s">
        <v>98</v>
      </c>
      <c r="C31" s="64" t="s">
        <v>99</v>
      </c>
      <c r="D31" s="37">
        <v>2.9000000000000001E-2</v>
      </c>
      <c r="E31" s="38">
        <f>'Nov 17'!$D31*$C$6*$C$2</f>
        <v>5282155.7269845</v>
      </c>
      <c r="F31" s="38">
        <v>156989</v>
      </c>
      <c r="G31" s="39">
        <f>'Nov 17'!$E31/'Nov 17'!$F31</f>
        <v>33.646661402929503</v>
      </c>
      <c r="H31" s="36">
        <v>31</v>
      </c>
      <c r="I31" s="36">
        <v>34</v>
      </c>
      <c r="J31" s="40">
        <f t="shared" ref="J31:J40" si="1">I31-H31</f>
        <v>3</v>
      </c>
      <c r="K31" s="41">
        <f>'Nov 17'!$F31*'Nov 17'!$I31</f>
        <v>5337626</v>
      </c>
      <c r="L31" s="42">
        <f>'Nov 17'!$K31/$K$2</f>
        <v>2.7869476307074606E-2</v>
      </c>
      <c r="M31" s="65"/>
    </row>
    <row r="32" spans="1:15" s="4" customFormat="1" ht="25.5" x14ac:dyDescent="0.2">
      <c r="A32" s="36" t="s">
        <v>150</v>
      </c>
      <c r="B32" s="63" t="s">
        <v>102</v>
      </c>
      <c r="C32" s="64" t="s">
        <v>103</v>
      </c>
      <c r="D32" s="37">
        <v>2.9000000000000001E-2</v>
      </c>
      <c r="E32" s="38">
        <f>'Nov 17'!$D32*$C$6*$C$2</f>
        <v>5282155.7269845</v>
      </c>
      <c r="F32" s="38">
        <v>215067.91304347801</v>
      </c>
      <c r="G32" s="39">
        <f>'Nov 17'!$E32/'Nov 17'!$F32</f>
        <v>24.560408162405249</v>
      </c>
      <c r="H32" s="36">
        <v>23</v>
      </c>
      <c r="I32" s="36">
        <v>25</v>
      </c>
      <c r="J32" s="40">
        <f t="shared" si="1"/>
        <v>2</v>
      </c>
      <c r="K32" s="41">
        <f>'Nov 17'!$F32*'Nov 17'!$I32</f>
        <v>5376697.8260869505</v>
      </c>
      <c r="L32" s="42">
        <f>'Nov 17'!$K32/$K$2</f>
        <v>2.8073482981840581E-2</v>
      </c>
      <c r="M32" s="65"/>
    </row>
    <row r="33" spans="1:13" s="4" customFormat="1" ht="25.5" x14ac:dyDescent="0.2">
      <c r="A33" s="36" t="s">
        <v>150</v>
      </c>
      <c r="B33" s="63" t="s">
        <v>104</v>
      </c>
      <c r="C33" s="64" t="s">
        <v>105</v>
      </c>
      <c r="D33" s="37">
        <v>2.9000000000000001E-2</v>
      </c>
      <c r="E33" s="38">
        <f>'Nov 17'!$D33*$C$6*$C$2</f>
        <v>5282155.7269845</v>
      </c>
      <c r="F33" s="38">
        <v>172115</v>
      </c>
      <c r="G33" s="39">
        <f>'Nov 17'!$E33/'Nov 17'!$F33</f>
        <v>30.689688446588036</v>
      </c>
      <c r="H33" s="36">
        <v>29</v>
      </c>
      <c r="I33" s="36">
        <v>31</v>
      </c>
      <c r="J33" s="40">
        <f t="shared" si="1"/>
        <v>2</v>
      </c>
      <c r="K33" s="41">
        <f>'Nov 17'!$F33*'Nov 17'!$I33</f>
        <v>5335565</v>
      </c>
      <c r="L33" s="42">
        <f>'Nov 17'!$K33/$K$2</f>
        <v>2.785871515770429E-2</v>
      </c>
      <c r="M33" s="65"/>
    </row>
    <row r="34" spans="1:13" s="4" customFormat="1" ht="25.5" x14ac:dyDescent="0.2">
      <c r="A34" s="36" t="s">
        <v>150</v>
      </c>
      <c r="B34" s="63" t="s">
        <v>106</v>
      </c>
      <c r="C34" s="64" t="s">
        <v>107</v>
      </c>
      <c r="D34" s="37">
        <v>2.9000000000000001E-2</v>
      </c>
      <c r="E34" s="38">
        <f>'Nov 17'!$D34*$C$6*$C$2</f>
        <v>5282155.7269845</v>
      </c>
      <c r="F34" s="38">
        <v>125467.230769231</v>
      </c>
      <c r="G34" s="39">
        <f>'Nov 17'!$E34/'Nov 17'!$F34</f>
        <v>42.099882930387203</v>
      </c>
      <c r="H34" s="36">
        <v>39</v>
      </c>
      <c r="I34" s="36">
        <v>42</v>
      </c>
      <c r="J34" s="40">
        <f t="shared" si="1"/>
        <v>3</v>
      </c>
      <c r="K34" s="41">
        <f>'Nov 17'!$F34*'Nov 17'!$I34</f>
        <v>5269623.6923077023</v>
      </c>
      <c r="L34" s="42">
        <f>'Nov 17'!$K34/$K$2</f>
        <v>2.7514414205860156E-2</v>
      </c>
      <c r="M34" s="65"/>
    </row>
    <row r="35" spans="1:13" s="4" customFormat="1" ht="25.5" x14ac:dyDescent="0.2">
      <c r="A35" s="36" t="s">
        <v>150</v>
      </c>
      <c r="B35" s="63" t="s">
        <v>108</v>
      </c>
      <c r="C35" s="64" t="s">
        <v>109</v>
      </c>
      <c r="D35" s="37">
        <v>2.9000000000000001E-2</v>
      </c>
      <c r="E35" s="38">
        <f>'Nov 17'!$D35*$C$6*$C$2</f>
        <v>5282155.7269845</v>
      </c>
      <c r="F35" s="38">
        <v>138086.75</v>
      </c>
      <c r="G35" s="39">
        <f>'Nov 17'!$E35/'Nov 17'!$F35</f>
        <v>38.252444401685899</v>
      </c>
      <c r="H35" s="36">
        <v>36</v>
      </c>
      <c r="I35" s="36">
        <v>38</v>
      </c>
      <c r="J35" s="40">
        <f t="shared" si="1"/>
        <v>2</v>
      </c>
      <c r="K35" s="41">
        <f>'Nov 17'!$F35*'Nov 17'!$I35</f>
        <v>5247296.5</v>
      </c>
      <c r="L35" s="42">
        <f>'Nov 17'!$K35/$K$2</f>
        <v>2.7397836694243005E-2</v>
      </c>
      <c r="M35" s="65"/>
    </row>
    <row r="36" spans="1:13" s="4" customFormat="1" ht="25.5" x14ac:dyDescent="0.2">
      <c r="A36" s="36" t="s">
        <v>150</v>
      </c>
      <c r="B36" s="63" t="s">
        <v>114</v>
      </c>
      <c r="C36" s="64" t="s">
        <v>115</v>
      </c>
      <c r="D36" s="37">
        <v>2.9000000000000001E-2</v>
      </c>
      <c r="E36" s="38">
        <f>'Nov 17'!$D36*$C$6*$C$2</f>
        <v>5282155.7269845</v>
      </c>
      <c r="F36" s="38">
        <v>220710.954545455</v>
      </c>
      <c r="G36" s="39">
        <f>'Nov 17'!$E36/'Nov 17'!$F36</f>
        <v>23.932458349712995</v>
      </c>
      <c r="H36" s="36">
        <v>22</v>
      </c>
      <c r="I36" s="36">
        <v>24</v>
      </c>
      <c r="J36" s="40">
        <f t="shared" si="1"/>
        <v>2</v>
      </c>
      <c r="K36" s="41">
        <f>'Nov 17'!$F36*'Nov 17'!$I36</f>
        <v>5297062.9090909194</v>
      </c>
      <c r="L36" s="42">
        <f>'Nov 17'!$K36/$K$2</f>
        <v>2.7657683255063781E-2</v>
      </c>
      <c r="M36" s="65"/>
    </row>
    <row r="37" spans="1:13" s="46" customFormat="1" ht="25.5" customHeight="1" x14ac:dyDescent="0.25">
      <c r="A37" s="36" t="s">
        <v>151</v>
      </c>
      <c r="B37" s="36" t="s">
        <v>152</v>
      </c>
      <c r="C37" s="36" t="s">
        <v>63</v>
      </c>
      <c r="D37" s="37">
        <v>2.9000000000000001E-2</v>
      </c>
      <c r="E37" s="38">
        <f>'Nov 17'!$D37*$C$6*$C$2</f>
        <v>5282155.7269845</v>
      </c>
      <c r="F37" s="38">
        <v>114813.79069767401</v>
      </c>
      <c r="G37" s="39">
        <f>'Nov 17'!$E37/'Nov 17'!$F37</f>
        <v>46.006282824450899</v>
      </c>
      <c r="H37" s="36">
        <v>43</v>
      </c>
      <c r="I37" s="36">
        <v>46</v>
      </c>
      <c r="J37" s="40">
        <f t="shared" si="1"/>
        <v>3</v>
      </c>
      <c r="K37" s="41">
        <f>'Nov 17'!$F37*'Nov 17'!$I37</f>
        <v>5281434.3720930042</v>
      </c>
      <c r="L37" s="42">
        <f>'Nov 17'!$K37/$K$2</f>
        <v>2.7576081595153994E-2</v>
      </c>
      <c r="M37" s="43"/>
    </row>
    <row r="38" spans="1:13" s="46" customFormat="1" ht="25.5" x14ac:dyDescent="0.25">
      <c r="A38" s="36" t="s">
        <v>151</v>
      </c>
      <c r="B38" s="36" t="s">
        <v>60</v>
      </c>
      <c r="C38" s="36" t="s">
        <v>61</v>
      </c>
      <c r="D38" s="37">
        <v>2.9000000000000001E-2</v>
      </c>
      <c r="E38" s="38">
        <f>'Nov 17'!$D38*$C$6*$C$2</f>
        <v>5282155.7269845</v>
      </c>
      <c r="F38" s="38">
        <v>135282.75675675701</v>
      </c>
      <c r="G38" s="39">
        <f>'Nov 17'!$E38/'Nov 17'!$F38</f>
        <v>39.045299294735656</v>
      </c>
      <c r="H38" s="36">
        <v>37</v>
      </c>
      <c r="I38" s="36">
        <v>39</v>
      </c>
      <c r="J38" s="40">
        <f t="shared" si="1"/>
        <v>2</v>
      </c>
      <c r="K38" s="41">
        <f>'Nov 17'!$F38*'Nov 17'!$I38</f>
        <v>5276027.5135135232</v>
      </c>
      <c r="L38" s="42">
        <f>'Nov 17'!$K38/$K$2</f>
        <v>2.7547850633097726E-2</v>
      </c>
      <c r="M38" s="43"/>
    </row>
    <row r="39" spans="1:13" s="46" customFormat="1" ht="25.5" x14ac:dyDescent="0.25">
      <c r="A39" s="36" t="s">
        <v>151</v>
      </c>
      <c r="B39" s="36" t="s">
        <v>56</v>
      </c>
      <c r="C39" s="36" t="s">
        <v>57</v>
      </c>
      <c r="D39" s="37">
        <v>2.9000000000000001E-2</v>
      </c>
      <c r="E39" s="38">
        <f>'Nov 17'!$D39*$C$6*$C$2</f>
        <v>5282155.7269845</v>
      </c>
      <c r="F39" s="38">
        <v>179085.035714286</v>
      </c>
      <c r="G39" s="39">
        <f>'Nov 17'!$E39/'Nov 17'!$F39</f>
        <v>29.495237867957332</v>
      </c>
      <c r="H39" s="36">
        <v>28</v>
      </c>
      <c r="I39" s="36">
        <v>30</v>
      </c>
      <c r="J39" s="40">
        <f t="shared" si="1"/>
        <v>2</v>
      </c>
      <c r="K39" s="41">
        <f>'Nov 17'!$F39*'Nov 17'!$I39</f>
        <v>5372551.0714285802</v>
      </c>
      <c r="L39" s="42">
        <f>'Nov 17'!$K39/$K$2</f>
        <v>2.8051831431000807E-2</v>
      </c>
      <c r="M39" s="43"/>
    </row>
    <row r="40" spans="1:13" s="46" customFormat="1" ht="25.5" x14ac:dyDescent="0.25">
      <c r="A40" s="36" t="s">
        <v>151</v>
      </c>
      <c r="B40" s="36" t="s">
        <v>66</v>
      </c>
      <c r="C40" s="36" t="s">
        <v>67</v>
      </c>
      <c r="D40" s="37">
        <v>2.9000000000000001E-2</v>
      </c>
      <c r="E40" s="38">
        <f>'Nov 17'!$D40*$C$6*$C$2</f>
        <v>5282155.7269845</v>
      </c>
      <c r="F40" s="38">
        <v>267273.78947368398</v>
      </c>
      <c r="G40" s="39">
        <f>'Nov 17'!$E40/'Nov 17'!$F40</f>
        <v>19.763089143107262</v>
      </c>
      <c r="H40" s="36">
        <v>19</v>
      </c>
      <c r="I40" s="36">
        <v>20</v>
      </c>
      <c r="J40" s="40">
        <f t="shared" si="1"/>
        <v>1</v>
      </c>
      <c r="K40" s="41">
        <f>'Nov 17'!$F40*'Nov 17'!$I40</f>
        <v>5345475.7894736798</v>
      </c>
      <c r="L40" s="42">
        <f>'Nov 17'!$K40/$K$2</f>
        <v>2.791046260355777E-2</v>
      </c>
      <c r="M40" s="43"/>
    </row>
    <row r="41" spans="1:13" s="67" customFormat="1" ht="12.75" x14ac:dyDescent="0.2">
      <c r="A41" s="36"/>
      <c r="B41" s="64"/>
      <c r="C41" s="64"/>
      <c r="D41" s="37"/>
      <c r="E41" s="66"/>
      <c r="F41" s="38"/>
      <c r="G41" s="39"/>
      <c r="H41" s="36"/>
      <c r="I41" s="36"/>
      <c r="J41" s="48"/>
      <c r="K41" s="38"/>
      <c r="L41" s="49"/>
      <c r="M41" s="65"/>
    </row>
    <row r="42" spans="1:13" s="17" customFormat="1" ht="12.75" x14ac:dyDescent="0.2">
      <c r="A42" s="50" t="s">
        <v>153</v>
      </c>
      <c r="B42" s="68"/>
      <c r="C42" s="68"/>
      <c r="D42" s="58">
        <f>SUBTOTAL(9,D31:D41)</f>
        <v>0.29000000000000004</v>
      </c>
      <c r="E42" s="69">
        <f>'Nov 17'!$D42*$C$6*$C$2</f>
        <v>52821557.269845009</v>
      </c>
      <c r="F42" s="70"/>
      <c r="G42" s="71"/>
      <c r="H42" s="57"/>
      <c r="I42" s="57"/>
      <c r="J42" s="61"/>
      <c r="K42" s="69">
        <f>SUM(K31:K41)</f>
        <v>53139360.673994362</v>
      </c>
      <c r="L42" s="72">
        <f>'Nov 17'!$K42/$K$2</f>
        <v>0.27745783486459674</v>
      </c>
      <c r="M42" s="73"/>
    </row>
    <row r="43" spans="1:13" s="67" customFormat="1" ht="12.75" x14ac:dyDescent="0.2">
      <c r="A43" s="36"/>
      <c r="B43" s="64"/>
      <c r="C43" s="64"/>
      <c r="D43" s="37"/>
      <c r="E43" s="66"/>
      <c r="F43" s="38"/>
      <c r="G43" s="39"/>
      <c r="H43" s="36"/>
      <c r="I43" s="36"/>
      <c r="J43" s="48"/>
      <c r="K43" s="38"/>
      <c r="L43" s="42"/>
      <c r="M43" s="65"/>
    </row>
    <row r="44" spans="1:13" s="4" customFormat="1" ht="24.75" customHeight="1" x14ac:dyDescent="0.2">
      <c r="A44" s="36" t="s">
        <v>150</v>
      </c>
      <c r="B44" s="64" t="s">
        <v>110</v>
      </c>
      <c r="C44" s="64" t="s">
        <v>111</v>
      </c>
      <c r="D44" s="37">
        <v>0.1</v>
      </c>
      <c r="E44" s="38">
        <f>'Nov 17'!$D44*$C$6*$C$2</f>
        <v>18214330.093049999</v>
      </c>
      <c r="F44" s="38">
        <v>416332.8125</v>
      </c>
      <c r="G44" s="39">
        <f>'Nov 17'!$E44/'Nov 17'!$F44</f>
        <v>43.749446467301922</v>
      </c>
      <c r="H44" s="36">
        <v>48</v>
      </c>
      <c r="I44" s="36">
        <v>48</v>
      </c>
      <c r="J44" s="40">
        <f>I44-H44</f>
        <v>0</v>
      </c>
      <c r="K44" s="41">
        <f>'Nov 17'!$F44*'Nov 17'!$I44</f>
        <v>19983975</v>
      </c>
      <c r="L44" s="42">
        <f>'Nov 17'!$K44/$K$2</f>
        <v>0.10434281416188981</v>
      </c>
      <c r="M44" s="65"/>
    </row>
    <row r="45" spans="1:13" s="46" customFormat="1" ht="25.5" x14ac:dyDescent="0.25">
      <c r="A45" s="36" t="s">
        <v>151</v>
      </c>
      <c r="B45" s="36" t="s">
        <v>68</v>
      </c>
      <c r="C45" s="36" t="s">
        <v>69</v>
      </c>
      <c r="D45" s="37">
        <v>0.1</v>
      </c>
      <c r="E45" s="38">
        <f>'Nov 17'!$D45*$C$6*$C$2</f>
        <v>18214330.093049999</v>
      </c>
      <c r="F45" s="38">
        <v>249381.25</v>
      </c>
      <c r="G45" s="39">
        <f>'Nov 17'!$E45/'Nov 17'!$F45</f>
        <v>73.038089644069075</v>
      </c>
      <c r="H45" s="36">
        <v>80</v>
      </c>
      <c r="I45" s="36">
        <v>80</v>
      </c>
      <c r="J45" s="40">
        <f>I45-H45</f>
        <v>0</v>
      </c>
      <c r="K45" s="41">
        <f>'Nov 17'!$F45*'Nov 17'!$I45</f>
        <v>19950500</v>
      </c>
      <c r="L45" s="42">
        <f>'Nov 17'!$K45/$K$2</f>
        <v>0.10416803033114196</v>
      </c>
      <c r="M45" s="43"/>
    </row>
    <row r="46" spans="1:13" s="46" customFormat="1" ht="25.5" x14ac:dyDescent="0.25">
      <c r="A46" s="36" t="s">
        <v>151</v>
      </c>
      <c r="B46" s="36" t="s">
        <v>92</v>
      </c>
      <c r="C46" s="36" t="s">
        <v>93</v>
      </c>
      <c r="D46" s="37">
        <v>0.1</v>
      </c>
      <c r="E46" s="38">
        <f>'Nov 17'!$D46*$C$6*$C$2</f>
        <v>18214330.093049999</v>
      </c>
      <c r="F46" s="38">
        <v>416317.83333333302</v>
      </c>
      <c r="G46" s="39">
        <f>'Nov 17'!$E46/'Nov 17'!$F46</f>
        <v>43.751020577747724</v>
      </c>
      <c r="H46" s="36">
        <v>48</v>
      </c>
      <c r="I46" s="36">
        <v>48</v>
      </c>
      <c r="J46" s="40">
        <f>I46-H46</f>
        <v>0</v>
      </c>
      <c r="K46" s="41">
        <f>'Nov 17'!$F46*'Nov 17'!$I46</f>
        <v>19983255.999999985</v>
      </c>
      <c r="L46" s="42">
        <f>'Nov 17'!$K46/$K$2</f>
        <v>0.10433906002972222</v>
      </c>
      <c r="M46" s="43"/>
    </row>
    <row r="47" spans="1:13" s="46" customFormat="1" ht="25.5" x14ac:dyDescent="0.25">
      <c r="A47" s="36" t="s">
        <v>151</v>
      </c>
      <c r="B47" s="36" t="s">
        <v>95</v>
      </c>
      <c r="C47" s="36" t="s">
        <v>96</v>
      </c>
      <c r="D47" s="37">
        <v>0.1</v>
      </c>
      <c r="E47" s="38">
        <f>'Nov 17'!$D47*$C$6*$C$2</f>
        <v>18214330.093049999</v>
      </c>
      <c r="F47" s="38">
        <v>249778.86249999999</v>
      </c>
      <c r="G47" s="39">
        <f>'Nov 17'!$E47/'Nov 17'!$F47</f>
        <v>72.921823371062871</v>
      </c>
      <c r="H47" s="36">
        <v>80</v>
      </c>
      <c r="I47" s="36">
        <v>80</v>
      </c>
      <c r="J47" s="40">
        <f>I47-H47</f>
        <v>0</v>
      </c>
      <c r="K47" s="41">
        <f>'Nov 17'!$F47*'Nov 17'!$I47</f>
        <v>19982309</v>
      </c>
      <c r="L47" s="42">
        <f>'Nov 17'!$K47/$K$2</f>
        <v>0.1043341154356157</v>
      </c>
      <c r="M47" s="43"/>
    </row>
    <row r="48" spans="1:13" s="46" customFormat="1" ht="25.5" x14ac:dyDescent="0.25">
      <c r="A48" s="36" t="s">
        <v>151</v>
      </c>
      <c r="B48" s="36" t="s">
        <v>77</v>
      </c>
      <c r="C48" s="36" t="s">
        <v>78</v>
      </c>
      <c r="D48" s="37">
        <v>0.1</v>
      </c>
      <c r="E48" s="38">
        <f>'Nov 17'!$D48*$C$6*$C$2</f>
        <v>18214330.093049999</v>
      </c>
      <c r="F48" s="38">
        <v>165048.68852458999</v>
      </c>
      <c r="G48" s="39">
        <f>'Nov 17'!$E48/'Nov 17'!$F48</f>
        <v>110.35731489824177</v>
      </c>
      <c r="H48" s="36">
        <v>122</v>
      </c>
      <c r="I48" s="36">
        <v>122</v>
      </c>
      <c r="J48" s="40">
        <f>I48-H48</f>
        <v>0</v>
      </c>
      <c r="K48" s="41">
        <f>'Nov 17'!$F48*'Nov 17'!$I48</f>
        <v>20135939.999999978</v>
      </c>
      <c r="L48" s="42">
        <f>'Nov 17'!$K48/$K$2</f>
        <v>0.10513627270825555</v>
      </c>
      <c r="M48" s="43"/>
    </row>
    <row r="49" spans="1:16" s="47" customFormat="1" ht="12.75" x14ac:dyDescent="0.25">
      <c r="A49" s="36"/>
      <c r="B49" s="36"/>
      <c r="C49" s="36"/>
      <c r="D49" s="37"/>
      <c r="E49" s="38"/>
      <c r="F49" s="38"/>
      <c r="G49" s="39"/>
      <c r="H49" s="36"/>
      <c r="I49" s="36"/>
      <c r="J49" s="48"/>
      <c r="K49" s="38"/>
      <c r="L49" s="42"/>
      <c r="M49" s="36"/>
    </row>
    <row r="50" spans="1:16" s="56" customFormat="1" ht="25.5" x14ac:dyDescent="0.25">
      <c r="A50" s="50" t="s">
        <v>154</v>
      </c>
      <c r="B50" s="50"/>
      <c r="C50" s="50"/>
      <c r="D50" s="58">
        <f>SUBTOTAL(9,D44:D49)</f>
        <v>0.5</v>
      </c>
      <c r="E50" s="52">
        <f>'Nov 17'!$D50*$C$6*$C$2</f>
        <v>91071650.46525</v>
      </c>
      <c r="F50" s="71"/>
      <c r="G50" s="71"/>
      <c r="H50" s="57"/>
      <c r="I50" s="57"/>
      <c r="J50" s="61"/>
      <c r="K50" s="52">
        <f>SUM(K44:K49)</f>
        <v>100035979.99999997</v>
      </c>
      <c r="L50" s="74">
        <f>'Nov 17'!$K50/$K$2</f>
        <v>0.52232029266662527</v>
      </c>
      <c r="M50" s="50"/>
    </row>
    <row r="51" spans="1:16" s="47" customFormat="1" ht="12.75" x14ac:dyDescent="0.25">
      <c r="A51" s="36"/>
      <c r="B51" s="36"/>
      <c r="C51" s="36"/>
      <c r="D51" s="37"/>
      <c r="E51" s="38"/>
      <c r="F51" s="38"/>
      <c r="G51" s="39"/>
      <c r="H51" s="36"/>
      <c r="I51" s="36"/>
      <c r="J51" s="48"/>
      <c r="K51" s="38"/>
      <c r="L51" s="42"/>
      <c r="M51" s="36"/>
    </row>
    <row r="52" spans="1:16" s="46" customFormat="1" ht="12.75" x14ac:dyDescent="0.25">
      <c r="A52" s="36"/>
      <c r="B52" s="36"/>
      <c r="C52" s="36"/>
      <c r="D52" s="37"/>
      <c r="E52" s="38"/>
      <c r="F52" s="38"/>
      <c r="G52" s="75"/>
      <c r="H52" s="36"/>
      <c r="I52" s="36"/>
      <c r="J52" s="40"/>
      <c r="K52" s="41"/>
      <c r="L52" s="42"/>
      <c r="M52" s="43"/>
    </row>
    <row r="53" spans="1:16" s="46" customFormat="1" ht="25.5" x14ac:dyDescent="0.25">
      <c r="A53" s="36" t="s">
        <v>155</v>
      </c>
      <c r="B53" s="36" t="s">
        <v>53</v>
      </c>
      <c r="C53" s="36" t="s">
        <v>54</v>
      </c>
      <c r="D53" s="37">
        <v>1E-3</v>
      </c>
      <c r="E53" s="38">
        <f>'Nov 17'!$D53*$C$6*$C$2</f>
        <v>182143.3009305</v>
      </c>
      <c r="F53" s="38">
        <v>49011.333333333299</v>
      </c>
      <c r="G53" s="75">
        <f>'Nov 17'!$E53/'Nov 17'!$F53</f>
        <v>3.7163506589734374</v>
      </c>
      <c r="H53" s="36">
        <v>3</v>
      </c>
      <c r="I53" s="36">
        <v>4</v>
      </c>
      <c r="J53" s="40">
        <f t="shared" ref="J53:J62" si="2">I53-H53</f>
        <v>1</v>
      </c>
      <c r="K53" s="41">
        <f>'Nov 17'!$F53*'Nov 17'!$I53</f>
        <v>196045.3333333332</v>
      </c>
      <c r="L53" s="42">
        <f>'Nov 17'!$K53/$K$2</f>
        <v>1.0236162616949695E-3</v>
      </c>
      <c r="M53" s="43"/>
    </row>
    <row r="54" spans="1:16" s="46" customFormat="1" ht="25.5" x14ac:dyDescent="0.25">
      <c r="A54" s="36" t="s">
        <v>155</v>
      </c>
      <c r="B54" s="36" t="s">
        <v>71</v>
      </c>
      <c r="C54" s="36" t="s">
        <v>72</v>
      </c>
      <c r="D54" s="37">
        <v>1E-3</v>
      </c>
      <c r="E54" s="38">
        <f>'Nov 17'!$D54*$C$6*$C$2</f>
        <v>182143.3009305</v>
      </c>
      <c r="F54" s="38">
        <v>80612</v>
      </c>
      <c r="G54" s="75">
        <f>'Nov 17'!$E54/'Nov 17'!$F54</f>
        <v>2.2595060404220217</v>
      </c>
      <c r="H54" s="36">
        <v>2</v>
      </c>
      <c r="I54" s="36">
        <v>2</v>
      </c>
      <c r="J54" s="40">
        <f t="shared" si="2"/>
        <v>0</v>
      </c>
      <c r="K54" s="41">
        <f>'Nov 17'!$F54*'Nov 17'!$I54</f>
        <v>161224</v>
      </c>
      <c r="L54" s="42">
        <f>'Nov 17'!$K54/$K$2</f>
        <v>8.4180278800571569E-4</v>
      </c>
      <c r="M54" s="43"/>
      <c r="P54" s="46" t="s">
        <v>159</v>
      </c>
    </row>
    <row r="55" spans="1:16" s="46" customFormat="1" ht="25.5" x14ac:dyDescent="0.25">
      <c r="A55" s="36" t="s">
        <v>155</v>
      </c>
      <c r="B55" s="36" t="s">
        <v>83</v>
      </c>
      <c r="C55" s="36" t="s">
        <v>84</v>
      </c>
      <c r="D55" s="37">
        <v>1E-3</v>
      </c>
      <c r="E55" s="38">
        <f>'Nov 17'!$D55*$C$6*$C$2</f>
        <v>182143.3009305</v>
      </c>
      <c r="F55" s="38">
        <v>94712</v>
      </c>
      <c r="G55" s="75">
        <f>'Nov 17'!$E55/'Nov 17'!$F55</f>
        <v>1.9231280189469127</v>
      </c>
      <c r="H55" s="36">
        <v>2</v>
      </c>
      <c r="I55" s="36">
        <v>2</v>
      </c>
      <c r="J55" s="40">
        <f t="shared" si="2"/>
        <v>0</v>
      </c>
      <c r="K55" s="41">
        <f>'Nov 17'!$F55*'Nov 17'!$I55</f>
        <v>189424</v>
      </c>
      <c r="L55" s="42">
        <f>'Nov 17'!$K55/$K$2</f>
        <v>9.8904413310173852E-4</v>
      </c>
      <c r="M55" s="43"/>
    </row>
    <row r="56" spans="1:16" s="46" customFormat="1" ht="25.5" x14ac:dyDescent="0.25">
      <c r="A56" s="36" t="s">
        <v>155</v>
      </c>
      <c r="B56" s="36" t="s">
        <v>161</v>
      </c>
      <c r="C56" s="36" t="s">
        <v>86</v>
      </c>
      <c r="D56" s="37">
        <v>1E-3</v>
      </c>
      <c r="E56" s="38">
        <f>'Nov 17'!$D56*$C$6*$C$2</f>
        <v>182143.3009305</v>
      </c>
      <c r="F56" s="38">
        <v>234223</v>
      </c>
      <c r="G56" s="75">
        <f>'Nov 17'!$E56/'Nov 17'!$F56</f>
        <v>0.77764908198810534</v>
      </c>
      <c r="H56" s="36">
        <v>1</v>
      </c>
      <c r="I56" s="36">
        <v>1</v>
      </c>
      <c r="J56" s="40">
        <f t="shared" si="2"/>
        <v>0</v>
      </c>
      <c r="K56" s="41">
        <f>'Nov 17'!$F56*'Nov 17'!$I56</f>
        <v>234223</v>
      </c>
      <c r="L56" s="42">
        <f>'Nov 17'!$K56/$K$2</f>
        <v>1.2229542401569417E-3</v>
      </c>
      <c r="M56" s="43"/>
    </row>
    <row r="57" spans="1:16" s="46" customFormat="1" ht="25.5" x14ac:dyDescent="0.25">
      <c r="A57" s="36" t="s">
        <v>155</v>
      </c>
      <c r="B57" s="36" t="s">
        <v>87</v>
      </c>
      <c r="C57" s="36" t="s">
        <v>88</v>
      </c>
      <c r="D57" s="37">
        <v>1E-3</v>
      </c>
      <c r="E57" s="38">
        <f>'Nov 17'!$D57*$C$6*$C$2</f>
        <v>182143.3009305</v>
      </c>
      <c r="F57" s="38">
        <v>12212.142857142901</v>
      </c>
      <c r="G57" s="75">
        <f>'Nov 17'!$E57/'Nov 17'!$F57</f>
        <v>14.914933690278943</v>
      </c>
      <c r="H57" s="36">
        <v>14</v>
      </c>
      <c r="I57" s="36">
        <v>15</v>
      </c>
      <c r="J57" s="40">
        <f t="shared" si="2"/>
        <v>1</v>
      </c>
      <c r="K57" s="41">
        <f>'Nov 17'!$F57*'Nov 17'!$I57</f>
        <v>183182.14285714351</v>
      </c>
      <c r="L57" s="42">
        <f>'Nov 17'!$K57/$K$2</f>
        <v>9.5645337276090852E-4</v>
      </c>
      <c r="M57" s="43"/>
    </row>
    <row r="58" spans="1:16" s="46" customFormat="1" ht="25.5" x14ac:dyDescent="0.25">
      <c r="A58" s="36" t="s">
        <v>155</v>
      </c>
      <c r="B58" s="36" t="s">
        <v>90</v>
      </c>
      <c r="C58" s="36" t="s">
        <v>91</v>
      </c>
      <c r="D58" s="37">
        <v>1E-3</v>
      </c>
      <c r="E58" s="38">
        <f>'Nov 17'!$D58*$C$6*$C$2</f>
        <v>182143.3009305</v>
      </c>
      <c r="F58" s="38">
        <v>94203</v>
      </c>
      <c r="G58" s="75">
        <f>'Nov 17'!$E58/'Nov 17'!$F58</f>
        <v>1.9335191122416484</v>
      </c>
      <c r="H58" s="36">
        <v>2</v>
      </c>
      <c r="I58" s="36">
        <v>2</v>
      </c>
      <c r="J58" s="40">
        <f t="shared" si="2"/>
        <v>0</v>
      </c>
      <c r="K58" s="41">
        <f>'Nov 17'!$F58*'Nov 17'!$I58</f>
        <v>188406</v>
      </c>
      <c r="L58" s="42">
        <f>'Nov 17'!$K58/$K$2</f>
        <v>9.8372882497025802E-4</v>
      </c>
      <c r="M58" s="43"/>
    </row>
    <row r="59" spans="1:16" s="4" customFormat="1" ht="25.5" x14ac:dyDescent="0.2">
      <c r="A59" s="36" t="s">
        <v>155</v>
      </c>
      <c r="B59" s="64" t="s">
        <v>112</v>
      </c>
      <c r="C59" s="64" t="s">
        <v>113</v>
      </c>
      <c r="D59" s="37">
        <v>1E-3</v>
      </c>
      <c r="E59" s="38">
        <f>'Nov 17'!$D59*$C$6*$C$2</f>
        <v>182143.3009305</v>
      </c>
      <c r="F59" s="38">
        <v>66710.333333333299</v>
      </c>
      <c r="G59" s="75">
        <f>'Nov 17'!$E59/'Nov 17'!$F59</f>
        <v>2.7303611274190418</v>
      </c>
      <c r="H59" s="36">
        <v>3</v>
      </c>
      <c r="I59" s="36">
        <v>3</v>
      </c>
      <c r="J59" s="40">
        <f t="shared" si="2"/>
        <v>0</v>
      </c>
      <c r="K59" s="41">
        <f>'Nov 17'!$F59*'Nov 17'!$I59</f>
        <v>200130.99999999988</v>
      </c>
      <c r="L59" s="42">
        <f>'Nov 17'!$K59/$K$2</f>
        <v>1.044948852319579E-3</v>
      </c>
      <c r="M59" s="65"/>
    </row>
    <row r="60" spans="1:16" s="46" customFormat="1" ht="25.5" x14ac:dyDescent="0.25">
      <c r="A60" s="36" t="s">
        <v>155</v>
      </c>
      <c r="B60" s="36" t="s">
        <v>164</v>
      </c>
      <c r="C60" s="36" t="s">
        <v>82</v>
      </c>
      <c r="D60" s="37">
        <v>1E-3</v>
      </c>
      <c r="E60" s="38">
        <f>'Nov 17'!$D60*$C$6*$C$2</f>
        <v>182143.3009305</v>
      </c>
      <c r="F60" s="38">
        <v>27220</v>
      </c>
      <c r="G60" s="75">
        <f>'Nov 17'!$E60/'Nov 17'!$F60</f>
        <v>6.6915246484386479</v>
      </c>
      <c r="H60" s="36">
        <v>6</v>
      </c>
      <c r="I60" s="36">
        <v>7</v>
      </c>
      <c r="J60" s="40">
        <f t="shared" si="2"/>
        <v>1</v>
      </c>
      <c r="K60" s="41">
        <f>'Nov 17'!$F60*'Nov 17'!$I60</f>
        <v>190540</v>
      </c>
      <c r="L60" s="42">
        <f>'Nov 17'!$K60/$K$2</f>
        <v>9.9487113101404926E-4</v>
      </c>
      <c r="M60" s="43"/>
    </row>
    <row r="61" spans="1:16" s="46" customFormat="1" ht="25.5" x14ac:dyDescent="0.25">
      <c r="A61" s="36" t="s">
        <v>155</v>
      </c>
      <c r="B61" s="36" t="s">
        <v>100</v>
      </c>
      <c r="C61" s="36" t="s">
        <v>101</v>
      </c>
      <c r="D61" s="37">
        <v>1E-3</v>
      </c>
      <c r="E61" s="38">
        <f>'Nov 17'!$D61*$C$6*$C$2</f>
        <v>182143.3009305</v>
      </c>
      <c r="F61" s="38">
        <v>7790.0476190476202</v>
      </c>
      <c r="G61" s="75">
        <f>'Nov 17'!$E61/'Nov 17'!$F61</f>
        <v>23.381538834902283</v>
      </c>
      <c r="H61" s="36">
        <v>21</v>
      </c>
      <c r="I61" s="36">
        <v>23</v>
      </c>
      <c r="J61" s="40">
        <f t="shared" si="2"/>
        <v>2</v>
      </c>
      <c r="K61" s="41">
        <f>'Nov 17'!$F61*'Nov 17'!$I61</f>
        <v>179171.09523809527</v>
      </c>
      <c r="L61" s="42">
        <f>'Nov 17'!$K61/$K$2</f>
        <v>9.3551039238243814E-4</v>
      </c>
      <c r="M61" s="43"/>
    </row>
    <row r="62" spans="1:16" s="46" customFormat="1" ht="25.5" x14ac:dyDescent="0.25">
      <c r="A62" s="36" t="s">
        <v>155</v>
      </c>
      <c r="B62" s="36" t="s">
        <v>174</v>
      </c>
      <c r="C62" s="36" t="s">
        <v>75</v>
      </c>
      <c r="D62" s="37">
        <v>1E-3</v>
      </c>
      <c r="E62" s="38">
        <f>'Nov 17'!$D62*$C$6*$C$2</f>
        <v>182143.3009305</v>
      </c>
      <c r="F62" s="38">
        <v>27887.666666666701</v>
      </c>
      <c r="G62" s="75">
        <f>'Nov 17'!$E62/'Nov 17'!$F62</f>
        <v>6.5313209279071911</v>
      </c>
      <c r="H62" s="36">
        <v>6</v>
      </c>
      <c r="I62" s="36">
        <v>7</v>
      </c>
      <c r="J62" s="40">
        <f t="shared" si="2"/>
        <v>1</v>
      </c>
      <c r="K62" s="41">
        <f>'Nov 17'!$F62*'Nov 17'!$I62</f>
        <v>195213.66666666692</v>
      </c>
      <c r="L62" s="42">
        <f>'Nov 17'!$K62/$K$2</f>
        <v>1.0192738603236409E-3</v>
      </c>
      <c r="M62" s="43"/>
    </row>
    <row r="63" spans="1:16" s="46" customFormat="1" ht="12.75" x14ac:dyDescent="0.25">
      <c r="A63" s="36"/>
      <c r="B63" s="36"/>
      <c r="C63" s="36"/>
      <c r="D63" s="37"/>
      <c r="E63" s="38"/>
      <c r="F63" s="38"/>
      <c r="G63" s="39"/>
      <c r="H63" s="36"/>
      <c r="I63" s="36"/>
      <c r="J63" s="43"/>
      <c r="K63" s="41"/>
      <c r="L63" s="42"/>
      <c r="M63" s="43"/>
    </row>
    <row r="64" spans="1:16" s="46" customFormat="1" ht="12.75" x14ac:dyDescent="0.25">
      <c r="A64" s="36"/>
      <c r="B64" s="36"/>
      <c r="C64" s="36"/>
      <c r="D64" s="37"/>
      <c r="E64" s="38"/>
      <c r="F64" s="38"/>
      <c r="G64" s="39"/>
      <c r="H64" s="36"/>
      <c r="I64" s="36"/>
      <c r="J64" s="43"/>
      <c r="K64" s="41"/>
      <c r="L64" s="42"/>
      <c r="M64" s="43"/>
    </row>
    <row r="65" spans="1:13" s="17" customFormat="1" ht="12.75" x14ac:dyDescent="0.2">
      <c r="A65" s="50" t="s">
        <v>167</v>
      </c>
      <c r="B65" s="68"/>
      <c r="C65" s="68"/>
      <c r="D65" s="76">
        <f>SUM(D53:D64)</f>
        <v>1.0000000000000002E-2</v>
      </c>
      <c r="E65" s="52">
        <f>SUM(E52:E64)</f>
        <v>1821433.0093050001</v>
      </c>
      <c r="F65" s="71"/>
      <c r="G65" s="71"/>
      <c r="H65" s="68"/>
      <c r="I65" s="68"/>
      <c r="J65" s="50"/>
      <c r="K65" s="52">
        <f>SUM(K52:K64)</f>
        <v>1917560.2380952388</v>
      </c>
      <c r="L65" s="55">
        <f>'Nov 17'!$K65/$K$2</f>
        <v>1.001220385673024E-2</v>
      </c>
      <c r="M65" s="62"/>
    </row>
    <row r="66" spans="1:13" s="4" customFormat="1" ht="12.75" x14ac:dyDescent="0.2">
      <c r="A66" s="36"/>
      <c r="B66" s="64"/>
      <c r="C66" s="64"/>
      <c r="D66" s="77"/>
      <c r="E66" s="38"/>
      <c r="F66" s="38"/>
      <c r="G66" s="39"/>
      <c r="H66" s="64"/>
      <c r="I66" s="64"/>
      <c r="J66" s="36"/>
      <c r="K66" s="36"/>
      <c r="L66" s="42"/>
      <c r="M66" s="65"/>
    </row>
    <row r="67" spans="1:13" s="46" customFormat="1" ht="25.5" x14ac:dyDescent="0.25">
      <c r="A67" s="50" t="s">
        <v>168</v>
      </c>
      <c r="B67" s="57" t="s">
        <v>169</v>
      </c>
      <c r="C67" s="57" t="s">
        <v>170</v>
      </c>
      <c r="D67" s="58">
        <v>0</v>
      </c>
      <c r="E67" s="59">
        <f>'Nov 17'!$D67*$C$6*$C$2</f>
        <v>0</v>
      </c>
      <c r="F67" s="59">
        <v>0</v>
      </c>
      <c r="G67" s="60" t="s">
        <v>175</v>
      </c>
      <c r="H67" s="57">
        <v>0</v>
      </c>
      <c r="I67" s="57">
        <v>0</v>
      </c>
      <c r="J67" s="78">
        <f>I67-H67</f>
        <v>0</v>
      </c>
      <c r="K67" s="59">
        <f>'Nov 17'!$F67*'Nov 17'!$I67</f>
        <v>0</v>
      </c>
      <c r="L67" s="79">
        <f>'Nov 17'!$K67/$K$2</f>
        <v>0</v>
      </c>
      <c r="M67" s="57"/>
    </row>
    <row r="68" spans="1:13" s="4" customFormat="1" ht="12.75" x14ac:dyDescent="0.2">
      <c r="A68" s="36"/>
      <c r="B68" s="64"/>
      <c r="C68" s="64"/>
      <c r="D68" s="77"/>
      <c r="E68" s="38"/>
      <c r="F68" s="38"/>
      <c r="G68" s="39"/>
      <c r="H68" s="64"/>
      <c r="I68" s="64"/>
      <c r="J68" s="36"/>
      <c r="K68" s="36"/>
      <c r="L68" s="42"/>
      <c r="M68" s="65"/>
    </row>
    <row r="69" spans="1:13" s="4" customFormat="1" ht="12.75" x14ac:dyDescent="0.2">
      <c r="A69" s="36"/>
      <c r="B69" s="64"/>
      <c r="C69" s="64"/>
      <c r="D69" s="80"/>
      <c r="E69" s="66"/>
      <c r="F69" s="38"/>
      <c r="G69" s="39"/>
      <c r="H69" s="64"/>
      <c r="I69" s="64"/>
      <c r="J69" s="36"/>
      <c r="K69" s="36"/>
      <c r="L69" s="42"/>
      <c r="M69" s="65"/>
    </row>
    <row r="70" spans="1:13" s="17" customFormat="1" ht="12.75" x14ac:dyDescent="0.2">
      <c r="A70" s="50" t="s">
        <v>171</v>
      </c>
      <c r="B70" s="68"/>
      <c r="C70" s="68"/>
      <c r="D70" s="68"/>
      <c r="E70" s="81"/>
      <c r="F70" s="81"/>
      <c r="G70" s="50"/>
      <c r="H70" s="68"/>
      <c r="I70" s="68"/>
      <c r="J70" s="68"/>
      <c r="K70" s="81">
        <f>SUM(K27,K29,K42,K50,K65,K67:K67)</f>
        <v>191522292.74739027</v>
      </c>
      <c r="L70" s="55">
        <f>'Nov 17'!$K70/$K$2</f>
        <v>1</v>
      </c>
      <c r="M70" s="68"/>
    </row>
    <row r="71" spans="1:13" s="4" customFormat="1" ht="12.75" x14ac:dyDescent="0.2">
      <c r="A71" s="65"/>
      <c r="B71" s="65"/>
      <c r="C71" s="65"/>
      <c r="D71" s="82"/>
      <c r="E71" s="83"/>
      <c r="F71" s="38"/>
      <c r="G71" s="84"/>
      <c r="H71" s="65"/>
      <c r="I71" s="65"/>
      <c r="J71" s="65"/>
      <c r="K71" s="65"/>
      <c r="L71" s="42"/>
      <c r="M71" s="65"/>
    </row>
    <row r="72" spans="1:13" s="4" customFormat="1" ht="12.75" x14ac:dyDescent="0.2">
      <c r="A72" s="65"/>
      <c r="B72" s="65"/>
      <c r="C72" s="65"/>
      <c r="D72" s="82"/>
      <c r="E72" s="83"/>
      <c r="F72" s="38"/>
      <c r="G72" s="84"/>
      <c r="H72" s="65"/>
      <c r="I72" s="65"/>
      <c r="J72" s="65"/>
      <c r="K72" s="65"/>
      <c r="L72" s="42"/>
      <c r="M72" s="65"/>
    </row>
    <row r="73" spans="1:13" s="4" customFormat="1" ht="12.75" x14ac:dyDescent="0.2">
      <c r="A73" s="65"/>
      <c r="B73" s="65"/>
      <c r="C73" s="65"/>
      <c r="D73" s="82"/>
      <c r="E73" s="83"/>
      <c r="F73" s="38"/>
      <c r="G73" s="84"/>
      <c r="H73" s="65"/>
      <c r="I73" s="65"/>
      <c r="J73" s="65"/>
      <c r="K73" s="65"/>
      <c r="L73" s="42"/>
      <c r="M73" s="65"/>
    </row>
    <row r="74" spans="1:13" s="4" customFormat="1" ht="12.75" x14ac:dyDescent="0.2">
      <c r="A74" s="65"/>
      <c r="B74" s="65"/>
      <c r="C74" s="65"/>
      <c r="D74" s="82"/>
      <c r="E74" s="83"/>
      <c r="F74" s="38"/>
      <c r="G74" s="84"/>
      <c r="H74" s="65"/>
      <c r="I74" s="65"/>
      <c r="J74" s="65"/>
      <c r="K74" s="65"/>
      <c r="L74" s="42"/>
      <c r="M74" s="65"/>
    </row>
    <row r="75" spans="1:13" s="4" customFormat="1" ht="12.75" x14ac:dyDescent="0.2">
      <c r="A75" s="65"/>
      <c r="B75" s="65"/>
      <c r="C75" s="65"/>
      <c r="D75" s="82"/>
      <c r="E75" s="83"/>
      <c r="F75" s="38"/>
      <c r="G75" s="84"/>
      <c r="H75" s="65"/>
      <c r="I75" s="65"/>
      <c r="J75" s="65"/>
      <c r="K75" s="65"/>
      <c r="L75" s="42"/>
      <c r="M75" s="65"/>
    </row>
    <row r="76" spans="1:13" s="4" customFormat="1" ht="12.75" x14ac:dyDescent="0.2">
      <c r="A76" s="65"/>
      <c r="B76" s="65"/>
      <c r="C76" s="65"/>
      <c r="D76" s="82"/>
      <c r="E76" s="83"/>
      <c r="F76" s="38"/>
      <c r="G76" s="84"/>
      <c r="H76" s="65"/>
      <c r="I76" s="65"/>
      <c r="J76" s="65"/>
      <c r="K76" s="65"/>
      <c r="L76" s="42"/>
      <c r="M76" s="65"/>
    </row>
    <row r="77" spans="1:13" s="4" customFormat="1" ht="12.75" x14ac:dyDescent="0.2">
      <c r="A77" s="65"/>
      <c r="B77" s="65"/>
      <c r="C77" s="65"/>
      <c r="D77" s="82"/>
      <c r="E77" s="83"/>
      <c r="F77" s="38"/>
      <c r="G77" s="84"/>
      <c r="H77" s="65"/>
      <c r="I77" s="65"/>
      <c r="J77" s="65"/>
      <c r="K77" s="65"/>
      <c r="L77" s="42"/>
      <c r="M77" s="65"/>
    </row>
    <row r="78" spans="1:13" s="4" customFormat="1" ht="12.75" x14ac:dyDescent="0.2">
      <c r="A78" s="65"/>
      <c r="B78" s="65"/>
      <c r="C78" s="65"/>
      <c r="D78" s="82"/>
      <c r="E78" s="83"/>
      <c r="F78" s="38"/>
      <c r="G78" s="84"/>
      <c r="H78" s="65"/>
      <c r="I78" s="65"/>
      <c r="J78" s="65"/>
      <c r="K78" s="65"/>
      <c r="L78" s="42"/>
      <c r="M78" s="65"/>
    </row>
    <row r="79" spans="1:13" s="4" customFormat="1" ht="12.75" x14ac:dyDescent="0.2">
      <c r="A79" s="65"/>
      <c r="B79" s="65"/>
      <c r="C79" s="65"/>
      <c r="D79" s="82"/>
      <c r="E79" s="83"/>
      <c r="F79" s="38"/>
      <c r="G79" s="84"/>
      <c r="H79" s="65"/>
      <c r="I79" s="65"/>
      <c r="J79" s="65"/>
      <c r="K79" s="65"/>
      <c r="L79" s="42"/>
      <c r="M79" s="65"/>
    </row>
    <row r="80" spans="1:13" s="4" customFormat="1" ht="12.75" x14ac:dyDescent="0.2"/>
    <row r="81" spans="1:13" s="4" customFormat="1" ht="12.75" x14ac:dyDescent="0.2"/>
    <row r="83" spans="1:13" s="4" customFormat="1" ht="12.75" x14ac:dyDescent="0.2">
      <c r="A83" s="85"/>
      <c r="B83" s="85"/>
      <c r="E83" s="85"/>
      <c r="F83" s="85"/>
      <c r="G83" s="85"/>
      <c r="H83" s="86"/>
      <c r="M83" s="85"/>
    </row>
    <row r="84" spans="1:13" s="4" customFormat="1" ht="12.75" x14ac:dyDescent="0.2">
      <c r="A84" s="85"/>
      <c r="B84" s="85"/>
      <c r="E84" s="85"/>
      <c r="F84" s="85"/>
      <c r="G84" s="85"/>
      <c r="H84" s="86"/>
      <c r="M84" s="85"/>
    </row>
    <row r="85" spans="1:13" s="4" customFormat="1" ht="12.75" x14ac:dyDescent="0.2">
      <c r="A85" s="87"/>
      <c r="B85" s="87"/>
    </row>
    <row r="86" spans="1:13" s="4" customFormat="1" ht="12.75" x14ac:dyDescent="0.2">
      <c r="A86" s="88"/>
      <c r="B86" s="88"/>
      <c r="E86" s="88"/>
      <c r="F86" s="87"/>
      <c r="G86" s="87"/>
      <c r="M86" s="89"/>
    </row>
    <row r="87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H88"/>
  <sheetViews>
    <sheetView zoomScale="140" zoomScaleNormal="140" workbookViewId="0">
      <pane xSplit="2" topLeftCell="C1" activePane="topRight" state="frozen"/>
      <selection pane="topRight" activeCell="P28" sqref="P28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116</v>
      </c>
      <c r="C1" s="6">
        <v>44153</v>
      </c>
      <c r="D1" s="7"/>
      <c r="E1" s="8" t="s">
        <v>117</v>
      </c>
      <c r="F1" s="9"/>
      <c r="G1" s="10"/>
      <c r="K1" s="11" t="s">
        <v>118</v>
      </c>
      <c r="L1" s="11" t="s">
        <v>119</v>
      </c>
      <c r="M1" s="12" t="s">
        <v>120</v>
      </c>
    </row>
    <row r="2" spans="1:17" x14ac:dyDescent="0.25">
      <c r="A2" s="5"/>
      <c r="B2" s="5" t="s">
        <v>121</v>
      </c>
      <c r="C2" s="13">
        <v>7.65</v>
      </c>
      <c r="D2" s="14"/>
      <c r="E2" s="15">
        <f>SUM(E28,E43,E51,E66,E30,E68)</f>
        <v>198747242.04600003</v>
      </c>
      <c r="F2" s="16"/>
      <c r="G2" s="17"/>
      <c r="H2" s="14"/>
      <c r="I2" s="14"/>
      <c r="J2" s="14"/>
      <c r="K2" s="15">
        <f>SUM(K28,K43,K51,K66,K30,K68:K68)</f>
        <v>199567388.33879262</v>
      </c>
      <c r="L2" s="18">
        <f>SUM(L51,L66,L43,L28,L30,L68)</f>
        <v>1</v>
      </c>
      <c r="M2" s="19">
        <f>K2/$C$6</f>
        <v>7.6815683331012536</v>
      </c>
      <c r="N2" s="20"/>
    </row>
    <row r="3" spans="1:17" ht="26.25" x14ac:dyDescent="0.25">
      <c r="A3" s="5"/>
      <c r="B3" s="5" t="s">
        <v>122</v>
      </c>
      <c r="C3" s="21">
        <v>25980031.640000001</v>
      </c>
      <c r="D3" s="22"/>
      <c r="E3" s="8" t="s">
        <v>123</v>
      </c>
      <c r="F3" s="16"/>
      <c r="H3" s="14"/>
      <c r="I3" s="14"/>
      <c r="J3" s="14"/>
      <c r="K3" s="8" t="s">
        <v>123</v>
      </c>
      <c r="L3" s="14"/>
      <c r="M3" s="12" t="s">
        <v>124</v>
      </c>
      <c r="N3" s="23"/>
    </row>
    <row r="4" spans="1:17" x14ac:dyDescent="0.25">
      <c r="A4" s="5"/>
      <c r="B4" s="5" t="s">
        <v>125</v>
      </c>
      <c r="C4" s="21">
        <v>0</v>
      </c>
      <c r="D4" s="22"/>
      <c r="E4" s="15">
        <f>SUM(E28,E66,E30)</f>
        <v>41736920.829660021</v>
      </c>
      <c r="F4" s="16"/>
      <c r="G4" s="17"/>
      <c r="H4" s="14"/>
      <c r="I4" s="14"/>
      <c r="J4" s="14"/>
      <c r="K4" s="15">
        <f>SUM(K28,K30,K66)</f>
        <v>41713976.376423568</v>
      </c>
      <c r="L4" s="14"/>
      <c r="M4" s="19">
        <f>K4/$C$6</f>
        <v>1.6056168427523734</v>
      </c>
      <c r="N4" s="23"/>
    </row>
    <row r="5" spans="1:17" x14ac:dyDescent="0.25">
      <c r="A5" s="5"/>
      <c r="B5" s="5" t="s">
        <v>126</v>
      </c>
      <c r="C5" s="21">
        <v>0</v>
      </c>
      <c r="D5" s="22"/>
      <c r="E5" s="16"/>
      <c r="F5" s="16"/>
      <c r="G5" s="24">
        <f>SUM(D28,D30,D43,D51,D66,D68:D68)</f>
        <v>1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127</v>
      </c>
      <c r="C6" s="21">
        <f>C3+C4-C5</f>
        <v>25980031.640000001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128</v>
      </c>
      <c r="B8" s="30" t="s">
        <v>129</v>
      </c>
      <c r="C8" s="31" t="s">
        <v>1</v>
      </c>
      <c r="D8" s="31" t="s">
        <v>176</v>
      </c>
      <c r="E8" s="31" t="s">
        <v>131</v>
      </c>
      <c r="F8" s="31" t="s">
        <v>132</v>
      </c>
      <c r="G8" s="31" t="s">
        <v>133</v>
      </c>
      <c r="H8" s="31" t="s">
        <v>134</v>
      </c>
      <c r="I8" s="31" t="s">
        <v>135</v>
      </c>
      <c r="J8" s="31" t="s">
        <v>136</v>
      </c>
      <c r="K8" s="32" t="s">
        <v>137</v>
      </c>
      <c r="L8" s="32" t="s">
        <v>138</v>
      </c>
      <c r="M8" s="32" t="s">
        <v>139</v>
      </c>
      <c r="N8" s="33"/>
      <c r="Q8" s="35"/>
    </row>
    <row r="9" spans="1:17" s="46" customFormat="1" ht="12.75" customHeight="1" x14ac:dyDescent="0.25">
      <c r="A9" s="36" t="s">
        <v>140</v>
      </c>
      <c r="B9" s="36" t="s">
        <v>49</v>
      </c>
      <c r="C9" s="36" t="s">
        <v>50</v>
      </c>
      <c r="D9" s="37">
        <v>1.2E-2</v>
      </c>
      <c r="E9" s="38">
        <f>'Nov 18'!$D9*$C$6*$C$2</f>
        <v>2384966.9045520001</v>
      </c>
      <c r="F9" s="38">
        <v>455</v>
      </c>
      <c r="G9" s="39">
        <f>'Nov 18'!$E9/'Nov 18'!$F9</f>
        <v>5241.6855045098901</v>
      </c>
      <c r="H9" s="36">
        <v>5141</v>
      </c>
      <c r="I9" s="36">
        <f>ROUND(Table1389584567991011121314456267891011121314151617181920213456789101112131415161718192021222334567891011121314[[#This Row],[Target Quantity]],0)</f>
        <v>5242</v>
      </c>
      <c r="J9" s="40">
        <f t="shared" ref="J9:J26" si="0">I9-H9</f>
        <v>101</v>
      </c>
      <c r="K9" s="41">
        <f>'Nov 18'!$F9*'Nov 18'!$I9</f>
        <v>2385110</v>
      </c>
      <c r="L9" s="42">
        <f>'Nov 18'!$K9/$K$2</f>
        <v>1.1951401578453055E-2</v>
      </c>
      <c r="M9" s="43"/>
    </row>
    <row r="10" spans="1:17" s="46" customFormat="1" ht="12.75" customHeight="1" x14ac:dyDescent="0.25">
      <c r="A10" s="36" t="s">
        <v>140</v>
      </c>
      <c r="B10" s="36" t="s">
        <v>37</v>
      </c>
      <c r="C10" s="36" t="s">
        <v>38</v>
      </c>
      <c r="D10" s="37">
        <v>1.2E-2</v>
      </c>
      <c r="E10" s="38">
        <f>'Nov 18'!$D10*$C$6*$C$2</f>
        <v>2384966.9045520001</v>
      </c>
      <c r="F10" s="38">
        <v>87.100014894250805</v>
      </c>
      <c r="G10" s="39">
        <f>'Nov 18'!$E10/'Nov 18'!$F10</f>
        <v>27381.934520305393</v>
      </c>
      <c r="H10" s="36">
        <v>26856</v>
      </c>
      <c r="I10" s="36">
        <f>ROUND(Table1389584567991011121314456267891011121314151617181920213456789101112131415161718192021222334567891011121314[[#This Row],[Target Quantity]],0)</f>
        <v>27382</v>
      </c>
      <c r="J10" s="40">
        <f t="shared" si="0"/>
        <v>526</v>
      </c>
      <c r="K10" s="41">
        <f>'Nov 18'!$F10*'Nov 18'!$I10</f>
        <v>2384972.6078343755</v>
      </c>
      <c r="L10" s="42">
        <f>'Nov 18'!$K10/$K$2</f>
        <v>1.1950713128467473E-2</v>
      </c>
      <c r="M10" s="43"/>
    </row>
    <row r="11" spans="1:17" s="47" customFormat="1" ht="12.75" customHeight="1" x14ac:dyDescent="0.25">
      <c r="A11" s="36" t="s">
        <v>140</v>
      </c>
      <c r="B11" s="36" t="s">
        <v>27</v>
      </c>
      <c r="C11" s="36" t="s">
        <v>28</v>
      </c>
      <c r="D11" s="37">
        <v>1.2E-2</v>
      </c>
      <c r="E11" s="38">
        <f>'Nov 18'!$D11*$C$6*$C$2</f>
        <v>2384966.9045520001</v>
      </c>
      <c r="F11" s="38">
        <v>211.90997156061101</v>
      </c>
      <c r="G11" s="39">
        <f>'Nov 18'!$E11/'Nov 18'!$F11</f>
        <v>11254.623305302299</v>
      </c>
      <c r="H11" s="36">
        <v>11252</v>
      </c>
      <c r="I11" s="36">
        <f>ROUND(Table1389584567991011121314456267891011121314151617181920213456789101112131415161718192021222334567891011121314[[#This Row],[Target Quantity]],0)</f>
        <v>11255</v>
      </c>
      <c r="J11" s="40">
        <f t="shared" si="0"/>
        <v>3</v>
      </c>
      <c r="K11" s="41">
        <f>'Nov 18'!$F11*'Nov 18'!$I11</f>
        <v>2385046.7299146769</v>
      </c>
      <c r="L11" s="42">
        <f>'Nov 18'!$K11/$K$2</f>
        <v>1.1951084542258666E-2</v>
      </c>
      <c r="M11" s="36"/>
    </row>
    <row r="12" spans="1:17" s="47" customFormat="1" ht="12.75" customHeight="1" x14ac:dyDescent="0.25">
      <c r="A12" s="36" t="s">
        <v>140</v>
      </c>
      <c r="B12" s="36" t="s">
        <v>51</v>
      </c>
      <c r="C12" s="36" t="s">
        <v>52</v>
      </c>
      <c r="D12" s="37">
        <v>1.2E-2</v>
      </c>
      <c r="E12" s="38">
        <f>'Nov 18'!$D12*$C$6*$C$2</f>
        <v>2384966.9045520001</v>
      </c>
      <c r="F12" s="38">
        <v>403.89994886654199</v>
      </c>
      <c r="G12" s="39">
        <f>'Nov 18'!$E12/'Nov 18'!$F12</f>
        <v>5904.8457699608398</v>
      </c>
      <c r="H12" s="36">
        <v>5867</v>
      </c>
      <c r="I12" s="36">
        <f>ROUND(Table1389584567991011121314456267891011121314151617181920213456789101112131415161718192021222334567891011121314[[#This Row],[Target Quantity]],0)</f>
        <v>5905</v>
      </c>
      <c r="J12" s="40">
        <f t="shared" si="0"/>
        <v>38</v>
      </c>
      <c r="K12" s="41">
        <f>'Nov 18'!$F12*'Nov 18'!$I12</f>
        <v>2385029.1980569307</v>
      </c>
      <c r="L12" s="42">
        <f>'Nov 18'!$K12/$K$2</f>
        <v>1.1950996692946751E-2</v>
      </c>
      <c r="M12" s="36"/>
    </row>
    <row r="13" spans="1:17" s="47" customFormat="1" ht="12.75" customHeight="1" x14ac:dyDescent="0.25">
      <c r="A13" s="36" t="s">
        <v>140</v>
      </c>
      <c r="B13" s="36" t="s">
        <v>41</v>
      </c>
      <c r="C13" s="36" t="s">
        <v>42</v>
      </c>
      <c r="D13" s="37">
        <v>1.2E-2</v>
      </c>
      <c r="E13" s="38">
        <f>'Nov 18'!$D13*$C$6*$C$2</f>
        <v>2384966.9045520001</v>
      </c>
      <c r="F13" s="38">
        <v>1300.80999450851</v>
      </c>
      <c r="G13" s="39">
        <f>'Nov 18'!$E13/'Nov 18'!$F13</f>
        <v>1833.447555461873</v>
      </c>
      <c r="H13" s="36">
        <v>1821</v>
      </c>
      <c r="I13" s="36">
        <f>ROUND(Table1389584567991011121314456267891011121314151617181920213456789101112131415161718192021222334567891011121314[[#This Row],[Target Quantity]],0)</f>
        <v>1833</v>
      </c>
      <c r="J13" s="40">
        <f t="shared" si="0"/>
        <v>12</v>
      </c>
      <c r="K13" s="41">
        <f>'Nov 18'!$F13*'Nov 18'!$I13</f>
        <v>2384384.7199340989</v>
      </c>
      <c r="L13" s="42">
        <f>'Nov 18'!$K13/$K$2</f>
        <v>1.1947767317004136E-2</v>
      </c>
      <c r="M13" s="36"/>
    </row>
    <row r="14" spans="1:17" s="47" customFormat="1" ht="12.75" customHeight="1" x14ac:dyDescent="0.25">
      <c r="A14" s="36" t="s">
        <v>140</v>
      </c>
      <c r="B14" s="36" t="s">
        <v>31</v>
      </c>
      <c r="C14" s="36" t="s">
        <v>32</v>
      </c>
      <c r="D14" s="37">
        <v>1.2E-2</v>
      </c>
      <c r="E14" s="38">
        <f>'Nov 18'!$D14*$C$6*$C$2</f>
        <v>2384966.9045520001</v>
      </c>
      <c r="F14" s="38">
        <v>287</v>
      </c>
      <c r="G14" s="39">
        <f>'Nov 18'!$E14/'Nov 18'!$F14</f>
        <v>8309.9892144668993</v>
      </c>
      <c r="H14" s="36">
        <v>8378</v>
      </c>
      <c r="I14" s="36">
        <f>ROUND(Table1389584567991011121314456267891011121314151617181920213456789101112131415161718192021222334567891011121314[[#This Row],[Target Quantity]],0)</f>
        <v>8310</v>
      </c>
      <c r="J14" s="40">
        <f t="shared" si="0"/>
        <v>-68</v>
      </c>
      <c r="K14" s="41">
        <f>'Nov 18'!$F14*'Nov 18'!$I14</f>
        <v>2384970</v>
      </c>
      <c r="L14" s="42">
        <f>'Nov 18'!$K14/$K$2</f>
        <v>1.1950700061029966E-2</v>
      </c>
      <c r="M14" s="36"/>
    </row>
    <row r="15" spans="1:17" s="47" customFormat="1" ht="12.75" customHeight="1" x14ac:dyDescent="0.25">
      <c r="A15" s="36" t="s">
        <v>140</v>
      </c>
      <c r="B15" s="36" t="s">
        <v>29</v>
      </c>
      <c r="C15" s="36" t="s">
        <v>30</v>
      </c>
      <c r="D15" s="37">
        <v>1.2E-2</v>
      </c>
      <c r="E15" s="38">
        <f>'Nov 18'!$D15*$C$6*$C$2</f>
        <v>2384966.9045520001</v>
      </c>
      <c r="F15" s="38">
        <v>21.0300025106703</v>
      </c>
      <c r="G15" s="39">
        <f>'Nov 18'!$E15/'Nov 18'!$F15</f>
        <v>113407.82785650666</v>
      </c>
      <c r="H15" s="36">
        <v>55762</v>
      </c>
      <c r="I15" s="36">
        <f>ROUND(Table1389584567991011121314456267891011121314151617181920213456789101112131415161718192021222334567891011121314[[#This Row],[Target Quantity]],0)</f>
        <v>113408</v>
      </c>
      <c r="J15" s="40">
        <f t="shared" si="0"/>
        <v>57646</v>
      </c>
      <c r="K15" s="41">
        <f>'Nov 18'!$F15*'Nov 18'!$I15</f>
        <v>2384970.5247300975</v>
      </c>
      <c r="L15" s="42">
        <f>'Nov 18'!$K15/$K$2</f>
        <v>1.1950702690367866E-2</v>
      </c>
      <c r="M15" s="36"/>
    </row>
    <row r="16" spans="1:17" s="47" customFormat="1" ht="12.75" customHeight="1" x14ac:dyDescent="0.25">
      <c r="A16" s="36" t="s">
        <v>140</v>
      </c>
      <c r="B16" s="36" t="s">
        <v>39</v>
      </c>
      <c r="C16" s="36" t="s">
        <v>40</v>
      </c>
      <c r="D16" s="37">
        <v>6.0000000000000001E-3</v>
      </c>
      <c r="E16" s="38">
        <f>'Nov 18'!$D16*$C$6*$C$2</f>
        <v>1192483.4522760001</v>
      </c>
      <c r="F16" s="38">
        <v>35.4699893137022</v>
      </c>
      <c r="G16" s="39">
        <f>'Nov 18'!$E16/'Nov 18'!$F16</f>
        <v>33619.504131492336</v>
      </c>
      <c r="H16" s="36">
        <v>33688</v>
      </c>
      <c r="I16" s="36">
        <f>ROUND(Table1389584567991011121314456267891011121314151617181920213456789101112131415161718192021222334567891011121314[[#This Row],[Target Quantity]],0)</f>
        <v>33620</v>
      </c>
      <c r="J16" s="40">
        <f t="shared" si="0"/>
        <v>-68</v>
      </c>
      <c r="K16" s="41">
        <f>'Nov 18'!$F16*'Nov 18'!$I16</f>
        <v>1192501.040726668</v>
      </c>
      <c r="L16" s="42">
        <f>'Nov 18'!$K16/$K$2</f>
        <v>5.9754304080095301E-3</v>
      </c>
      <c r="M16" s="36"/>
    </row>
    <row r="17" spans="1:15" s="47" customFormat="1" ht="12.75" customHeight="1" x14ac:dyDescent="0.25">
      <c r="A17" s="36" t="s">
        <v>140</v>
      </c>
      <c r="B17" s="36" t="s">
        <v>19</v>
      </c>
      <c r="C17" s="36" t="s">
        <v>20</v>
      </c>
      <c r="D17" s="37">
        <v>1.2E-2</v>
      </c>
      <c r="E17" s="38">
        <f>'Nov 18'!$D17*$C$6*$C$2</f>
        <v>2384966.9045520001</v>
      </c>
      <c r="F17" s="38">
        <v>451.37992971495498</v>
      </c>
      <c r="G17" s="39">
        <f>'Nov 18'!$E17/'Nov 18'!$F17</f>
        <v>5283.7238599822085</v>
      </c>
      <c r="H17" s="36">
        <v>5122</v>
      </c>
      <c r="I17" s="36">
        <f>ROUND(Table1389584567991011121314456267891011121314151617181920213456789101112131415161718192021222334567891011121314[[#This Row],[Target Quantity]],0)</f>
        <v>5284</v>
      </c>
      <c r="J17" s="40">
        <f t="shared" si="0"/>
        <v>162</v>
      </c>
      <c r="K17" s="41">
        <f>'Nov 18'!$F17*'Nov 18'!$I17</f>
        <v>2385091.5486138221</v>
      </c>
      <c r="L17" s="42">
        <f>'Nov 18'!$K17/$K$2</f>
        <v>1.1951309121532456E-2</v>
      </c>
      <c r="M17" s="36"/>
    </row>
    <row r="18" spans="1:15" s="47" customFormat="1" ht="12.75" customHeight="1" x14ac:dyDescent="0.25">
      <c r="A18" s="36" t="s">
        <v>140</v>
      </c>
      <c r="B18" s="36" t="s">
        <v>33</v>
      </c>
      <c r="C18" s="36" t="s">
        <v>34</v>
      </c>
      <c r="D18" s="37">
        <v>6.0000000000000001E-3</v>
      </c>
      <c r="E18" s="38">
        <f>'Nov 18'!$D18*$C$6*$C$2</f>
        <v>1192483.4522760001</v>
      </c>
      <c r="F18" s="38">
        <v>24.5599909369915</v>
      </c>
      <c r="G18" s="39">
        <f>'Nov 18'!$E18/'Nov 18'!$F18</f>
        <v>48553.904410441712</v>
      </c>
      <c r="H18" s="36">
        <v>48549</v>
      </c>
      <c r="I18" s="36">
        <f>ROUND(Table1389584567991011121314456267891011121314151617181920213456789101112131415161718192021222334567891011121314[[#This Row],[Target Quantity]],0)</f>
        <v>48554</v>
      </c>
      <c r="J18" s="40">
        <f t="shared" si="0"/>
        <v>5</v>
      </c>
      <c r="K18" s="41">
        <f>'Nov 18'!$F18*'Nov 18'!$I18</f>
        <v>1192485.7999546854</v>
      </c>
      <c r="L18" s="42">
        <f>'Nov 18'!$K18/$K$2</f>
        <v>5.9753540389589077E-3</v>
      </c>
      <c r="M18" s="36"/>
    </row>
    <row r="19" spans="1:15" s="47" customFormat="1" ht="12.75" customHeight="1" x14ac:dyDescent="0.25">
      <c r="A19" s="36" t="s">
        <v>140</v>
      </c>
      <c r="B19" s="36" t="s">
        <v>21</v>
      </c>
      <c r="C19" s="36" t="s">
        <v>22</v>
      </c>
      <c r="D19" s="37">
        <v>1.2E-2</v>
      </c>
      <c r="E19" s="38">
        <f>'Nov 18'!$D19*$C$6*$C$2</f>
        <v>2384966.9045520001</v>
      </c>
      <c r="F19" s="38">
        <v>40.360002152157499</v>
      </c>
      <c r="G19" s="39">
        <f>'Nov 18'!$E19/'Nov 18'!$F19</f>
        <v>59092.338388899429</v>
      </c>
      <c r="H19" s="36">
        <v>55758</v>
      </c>
      <c r="I19" s="36">
        <f>ROUND(Table1389584567991011121314456267891011121314151617181920213456789101112131415161718192021222334567891011121314[[#This Row],[Target Quantity]],0)</f>
        <v>59092</v>
      </c>
      <c r="J19" s="40">
        <f t="shared" si="0"/>
        <v>3334</v>
      </c>
      <c r="K19" s="41">
        <f>'Nov 18'!$F19*'Nov 18'!$I19</f>
        <v>2384953.2471752907</v>
      </c>
      <c r="L19" s="42">
        <f>'Nov 18'!$K19/$K$2</f>
        <v>1.1950616115326969E-2</v>
      </c>
      <c r="M19" s="36"/>
    </row>
    <row r="20" spans="1:15" s="47" customFormat="1" ht="12.75" customHeight="1" x14ac:dyDescent="0.25">
      <c r="A20" s="36" t="s">
        <v>140</v>
      </c>
      <c r="B20" s="36" t="s">
        <v>45</v>
      </c>
      <c r="C20" s="36" t="s">
        <v>46</v>
      </c>
      <c r="D20" s="37">
        <v>6.0000000000000001E-3</v>
      </c>
      <c r="E20" s="38">
        <f>'Nov 18'!$D20*$C$6*$C$2</f>
        <v>1192483.4522760001</v>
      </c>
      <c r="F20" s="38">
        <v>67.389991116375498</v>
      </c>
      <c r="G20" s="39">
        <f>'Nov 18'!$E20/'Nov 18'!$F20</f>
        <v>17695.260564980716</v>
      </c>
      <c r="H20" s="36">
        <v>16885</v>
      </c>
      <c r="I20" s="36">
        <f>ROUND(Table1389584567991011121314456267891011121314151617181920213456789101112131415161718192021222334567891011121314[[#This Row],[Target Quantity]],0)</f>
        <v>17695</v>
      </c>
      <c r="J20" s="40">
        <f t="shared" si="0"/>
        <v>810</v>
      </c>
      <c r="K20" s="41">
        <f>'Nov 18'!$F20*'Nov 18'!$I20</f>
        <v>1192465.8928042643</v>
      </c>
      <c r="L20" s="42">
        <f>'Nov 18'!$K20/$K$2</f>
        <v>5.9752542874384482E-3</v>
      </c>
      <c r="M20" s="36"/>
    </row>
    <row r="21" spans="1:15" s="47" customFormat="1" ht="12.75" customHeight="1" x14ac:dyDescent="0.25">
      <c r="A21" s="36" t="s">
        <v>140</v>
      </c>
      <c r="B21" s="36" t="s">
        <v>23</v>
      </c>
      <c r="C21" s="36" t="s">
        <v>24</v>
      </c>
      <c r="D21" s="37">
        <v>1.2E-2</v>
      </c>
      <c r="E21" s="38">
        <f>'Nov 18'!$D21*$C$6*$C$2</f>
        <v>2384966.9045520001</v>
      </c>
      <c r="F21" s="38">
        <v>258.21000221287898</v>
      </c>
      <c r="G21" s="39">
        <f>'Nov 18'!$E21/'Nov 18'!$F21</f>
        <v>9236.5395767501486</v>
      </c>
      <c r="H21" s="36">
        <v>9038</v>
      </c>
      <c r="I21" s="36">
        <f>ROUND(Table1389584567991011121314456267891011121314151617181920213456789101112131415161718192021222334567891011121314[[#This Row],[Target Quantity]],0)</f>
        <v>9237</v>
      </c>
      <c r="J21" s="40">
        <f t="shared" si="0"/>
        <v>199</v>
      </c>
      <c r="K21" s="41">
        <f>'Nov 18'!$F21*'Nov 18'!$I21</f>
        <v>2385085.7904403629</v>
      </c>
      <c r="L21" s="42">
        <f>'Nov 18'!$K21/$K$2</f>
        <v>1.1951280268253836E-2</v>
      </c>
      <c r="M21" s="36"/>
    </row>
    <row r="22" spans="1:15" s="47" customFormat="1" ht="12.75" customHeight="1" x14ac:dyDescent="0.25">
      <c r="A22" s="36" t="s">
        <v>140</v>
      </c>
      <c r="B22" s="36" t="s">
        <v>47</v>
      </c>
      <c r="C22" s="36" t="s">
        <v>48</v>
      </c>
      <c r="D22" s="37">
        <v>6.0000000000000001E-3</v>
      </c>
      <c r="E22" s="38">
        <f>'Nov 18'!$D22*$C$6*$C$2</f>
        <v>1192483.4522760001</v>
      </c>
      <c r="F22" s="38">
        <v>348.34009691096298</v>
      </c>
      <c r="G22" s="39">
        <f>'Nov 18'!$E22/'Nov 18'!$F22</f>
        <v>3423.3309999359712</v>
      </c>
      <c r="H22" s="36">
        <v>3302</v>
      </c>
      <c r="I22" s="36">
        <f>ROUND(Table1389584567991011121314456267891011121314151617181920213456789101112131415161718192021222334567891011121314[[#This Row],[Target Quantity]],0)</f>
        <v>3423</v>
      </c>
      <c r="J22" s="40">
        <f t="shared" si="0"/>
        <v>121</v>
      </c>
      <c r="K22" s="41">
        <f>'Nov 18'!$F22*'Nov 18'!$I22</f>
        <v>1192368.1517262263</v>
      </c>
      <c r="L22" s="42">
        <f>'Nov 18'!$K22/$K$2</f>
        <v>5.9747645226584829E-3</v>
      </c>
      <c r="M22" s="36"/>
    </row>
    <row r="23" spans="1:15" s="47" customFormat="1" ht="12.75" customHeight="1" x14ac:dyDescent="0.25">
      <c r="A23" s="36" t="s">
        <v>140</v>
      </c>
      <c r="B23" s="36" t="s">
        <v>15</v>
      </c>
      <c r="C23" s="36" t="s">
        <v>16</v>
      </c>
      <c r="D23" s="37">
        <v>6.0000000000000001E-3</v>
      </c>
      <c r="E23" s="38">
        <f>'Nov 18'!$D23*$C$6*$C$2</f>
        <v>1192483.4522760001</v>
      </c>
      <c r="F23" s="38">
        <v>127.950016514368</v>
      </c>
      <c r="G23" s="39">
        <f>'Nov 18'!$E23/'Nov 18'!$F23</f>
        <v>9319.9163607930568</v>
      </c>
      <c r="H23" s="36">
        <v>9083</v>
      </c>
      <c r="I23" s="36">
        <f>ROUND(Table1389584567991011121314456267891011121314151617181920213456789101112131415161718192021222334567891011121314[[#This Row],[Target Quantity]],0)</f>
        <v>9320</v>
      </c>
      <c r="J23" s="40">
        <f t="shared" si="0"/>
        <v>237</v>
      </c>
      <c r="K23" s="41">
        <f>'Nov 18'!$F23*'Nov 18'!$I23</f>
        <v>1192494.1539139098</v>
      </c>
      <c r="L23" s="42">
        <f>'Nov 18'!$K23/$K$2</f>
        <v>5.9753958993013917E-3</v>
      </c>
      <c r="M23" s="36"/>
    </row>
    <row r="24" spans="1:15" s="47" customFormat="1" ht="12.75" customHeight="1" x14ac:dyDescent="0.25">
      <c r="A24" s="36" t="s">
        <v>140</v>
      </c>
      <c r="B24" s="36" t="s">
        <v>43</v>
      </c>
      <c r="C24" s="36" t="s">
        <v>44</v>
      </c>
      <c r="D24" s="37">
        <v>1.2E-2</v>
      </c>
      <c r="E24" s="38">
        <f>'Nov 18'!$D24*$C$6*$C$2</f>
        <v>2384966.9045520001</v>
      </c>
      <c r="F24" s="38">
        <v>263.11999542438798</v>
      </c>
      <c r="G24" s="39">
        <f>'Nov 18'!$E24/'Nov 18'!$F24</f>
        <v>9064.1796367671377</v>
      </c>
      <c r="H24" s="36">
        <v>8742</v>
      </c>
      <c r="I24" s="36">
        <f>ROUND(Table1389584567991011121314456267891011121314151617181920213456789101112131415161718192021222334567891011121314[[#This Row],[Target Quantity]],0)</f>
        <v>9064</v>
      </c>
      <c r="J24" s="40">
        <f t="shared" si="0"/>
        <v>322</v>
      </c>
      <c r="K24" s="41">
        <f>'Nov 18'!$F24*'Nov 18'!$I24</f>
        <v>2384919.6385266525</v>
      </c>
      <c r="L24" s="42">
        <f>'Nov 18'!$K24/$K$2</f>
        <v>1.1950447707808497E-2</v>
      </c>
      <c r="M24" s="36"/>
    </row>
    <row r="25" spans="1:15" s="47" customFormat="1" ht="12.75" customHeight="1" x14ac:dyDescent="0.25">
      <c r="A25" s="36" t="s">
        <v>140</v>
      </c>
      <c r="B25" s="36" t="s">
        <v>25</v>
      </c>
      <c r="C25" s="36" t="s">
        <v>26</v>
      </c>
      <c r="D25" s="37">
        <v>6.0000000000000001E-3</v>
      </c>
      <c r="E25" s="38">
        <f>'Nov 18'!$D25*$C$6*$C$2</f>
        <v>1192483.4522760001</v>
      </c>
      <c r="F25" s="38">
        <v>76.66</v>
      </c>
      <c r="G25" s="39">
        <f>'Nov 18'!$E25/'Nov 18'!$F25</f>
        <v>15555.4846370467</v>
      </c>
      <c r="H25" s="36">
        <v>0</v>
      </c>
      <c r="I25" s="36">
        <f>ROUND(Table1389584567991011121314456267891011121314151617181920213456789101112131415161718192021222334567891011121314[[#This Row],[Target Quantity]],0)</f>
        <v>15555</v>
      </c>
      <c r="J25" s="40">
        <f t="shared" si="0"/>
        <v>15555</v>
      </c>
      <c r="K25" s="41">
        <f>'Nov 18'!$F25*'Nov 18'!$I25</f>
        <v>1192446.3</v>
      </c>
      <c r="L25" s="42">
        <f>'Nov 18'!$K25/$K$2</f>
        <v>5.9751561110558864E-3</v>
      </c>
      <c r="M25" s="36"/>
    </row>
    <row r="26" spans="1:15" s="47" customFormat="1" ht="12.75" customHeight="1" x14ac:dyDescent="0.25">
      <c r="A26" s="36" t="s">
        <v>140</v>
      </c>
      <c r="B26" s="47" t="s">
        <v>11</v>
      </c>
      <c r="C26" s="36" t="s">
        <v>12</v>
      </c>
      <c r="D26" s="37">
        <v>1.2E-2</v>
      </c>
      <c r="E26" s="38">
        <f>'Nov 18'!$D26*$C$6*$C$2</f>
        <v>2384966.9045520001</v>
      </c>
      <c r="F26" s="38">
        <v>2.4277451283637501</v>
      </c>
      <c r="G26" s="39">
        <f>'Nov 18'!$E26/'Nov 18'!$F26</f>
        <v>982379.44201309897</v>
      </c>
      <c r="H26" s="36">
        <v>969900</v>
      </c>
      <c r="I26" s="36">
        <f>ROUND(Table1389584567991011121314456267891011121314151617181920213456789101112131415161718192021222334567891011121314[[#This Row],[Target Quantity]],-2)</f>
        <v>982400</v>
      </c>
      <c r="J26" s="40">
        <f t="shared" si="0"/>
        <v>12500</v>
      </c>
      <c r="K26" s="41">
        <f>'Nov 18'!$F26*'Nov 18'!$I26</f>
        <v>2385016.8141045482</v>
      </c>
      <c r="L26" s="42">
        <f>'Nov 18'!$K26/$K$2</f>
        <v>1.1950934638958443E-2</v>
      </c>
      <c r="M26" s="36"/>
    </row>
    <row r="27" spans="1:15" s="47" customFormat="1" ht="12.75" customHeight="1" x14ac:dyDescent="0.25">
      <c r="A27" s="36"/>
      <c r="B27" s="36"/>
      <c r="C27" s="36"/>
      <c r="D27" s="37"/>
      <c r="E27" s="38"/>
      <c r="F27" s="38"/>
      <c r="G27" s="39"/>
      <c r="H27" s="36"/>
      <c r="I27" s="36"/>
      <c r="J27" s="48"/>
      <c r="K27" s="38"/>
      <c r="L27" s="49"/>
      <c r="M27" s="36"/>
    </row>
    <row r="28" spans="1:15" s="56" customFormat="1" ht="12.75" customHeight="1" x14ac:dyDescent="0.25">
      <c r="A28" s="50" t="s">
        <v>149</v>
      </c>
      <c r="B28" s="50"/>
      <c r="C28" s="50"/>
      <c r="D28" s="51">
        <f>SUM(D9:D27)</f>
        <v>0.18000000000000005</v>
      </c>
      <c r="E28" s="52">
        <f>'Nov 18'!$D28*$C$6*$C$2</f>
        <v>35774503.568280019</v>
      </c>
      <c r="F28" s="53"/>
      <c r="G28" s="53"/>
      <c r="H28" s="50"/>
      <c r="I28" s="50"/>
      <c r="J28" s="54"/>
      <c r="K28" s="52">
        <f>SUM(K9:K27)</f>
        <v>35774312.158456616</v>
      </c>
      <c r="L28" s="55">
        <f>'Nov 18'!$K28/$K$2</f>
        <v>0.17925930912983079</v>
      </c>
      <c r="M28" s="50"/>
    </row>
    <row r="29" spans="1:15" s="47" customFormat="1" ht="12.75" customHeight="1" x14ac:dyDescent="0.25">
      <c r="A29" s="36"/>
      <c r="B29" s="36"/>
      <c r="C29" s="36"/>
      <c r="D29" s="37"/>
      <c r="E29" s="38"/>
      <c r="F29" s="38"/>
      <c r="G29" s="39"/>
      <c r="H29" s="36"/>
      <c r="I29" s="36"/>
      <c r="J29" s="48"/>
      <c r="K29" s="38"/>
      <c r="L29" s="42"/>
      <c r="M29" s="36"/>
    </row>
    <row r="30" spans="1:15" s="46" customFormat="1" ht="12.75" customHeight="1" x14ac:dyDescent="0.25">
      <c r="A30" s="57"/>
      <c r="B30" s="50" t="s">
        <v>35</v>
      </c>
      <c r="C30" s="57" t="s">
        <v>36</v>
      </c>
      <c r="D30" s="58">
        <v>0.02</v>
      </c>
      <c r="E30" s="59">
        <f>'Nov 18'!$D30*$C$6*$C$2</f>
        <v>3974944.8409200003</v>
      </c>
      <c r="F30" s="53">
        <v>17.9399985151823</v>
      </c>
      <c r="G30" s="60">
        <f>'Nov 18'!$E30/'Nov 18'!$F30</f>
        <v>221568.85005068846</v>
      </c>
      <c r="H30" s="57">
        <v>202045</v>
      </c>
      <c r="I30" s="57">
        <f>ROUND(Table1389584567991011121314456267891011121314151617181920213456789101112131415161718192021222334567891011121314[[#This Row],[Target Quantity]],0)</f>
        <v>221569</v>
      </c>
      <c r="J30" s="61">
        <f>I30-H30</f>
        <v>19524</v>
      </c>
      <c r="K30" s="62">
        <f>'Nov 18'!$F30*'Nov 18'!$I30</f>
        <v>3974947.531010427</v>
      </c>
      <c r="L30" s="55">
        <f>'Nov 18'!$K30/$K$2</f>
        <v>1.9917821063341352E-2</v>
      </c>
      <c r="M30" s="50"/>
      <c r="O30" s="44"/>
    </row>
    <row r="31" spans="1:15" s="46" customFormat="1" ht="12.75" customHeight="1" x14ac:dyDescent="0.25">
      <c r="A31" s="36"/>
      <c r="B31" s="36"/>
      <c r="C31" s="36"/>
      <c r="D31" s="37"/>
      <c r="E31" s="38"/>
      <c r="F31" s="38"/>
      <c r="G31" s="39"/>
      <c r="H31" s="36"/>
      <c r="I31" s="36"/>
      <c r="J31" s="48"/>
      <c r="K31" s="41"/>
      <c r="L31" s="42"/>
      <c r="M31" s="36"/>
      <c r="O31" s="44"/>
    </row>
    <row r="32" spans="1:15" s="4" customFormat="1" ht="25.5" x14ac:dyDescent="0.2">
      <c r="A32" s="36" t="s">
        <v>150</v>
      </c>
      <c r="B32" s="63" t="s">
        <v>98</v>
      </c>
      <c r="C32" s="64" t="s">
        <v>99</v>
      </c>
      <c r="D32" s="37">
        <v>2.9000000000000001E-2</v>
      </c>
      <c r="E32" s="38">
        <f>'Nov 18'!$D32*$C$6*$C$2</f>
        <v>5763670.0193340005</v>
      </c>
      <c r="F32" s="38">
        <v>157527.55882352899</v>
      </c>
      <c r="G32" s="39">
        <f>'Nov 18'!$E32/'Nov 18'!$F32</f>
        <v>36.58832817812393</v>
      </c>
      <c r="H32" s="36">
        <v>34</v>
      </c>
      <c r="I32" s="36">
        <v>37</v>
      </c>
      <c r="J32" s="40">
        <f t="shared" ref="J32:J41" si="1">I32-H32</f>
        <v>3</v>
      </c>
      <c r="K32" s="41">
        <f>'Nov 18'!$F32*'Nov 18'!$I32</f>
        <v>5828519.6764705731</v>
      </c>
      <c r="L32" s="42">
        <f>'Nov 18'!$K32/$K$2</f>
        <v>2.9205772170430334E-2</v>
      </c>
      <c r="M32" s="65"/>
    </row>
    <row r="33" spans="1:13" s="4" customFormat="1" ht="25.5" x14ac:dyDescent="0.2">
      <c r="A33" s="36" t="s">
        <v>150</v>
      </c>
      <c r="B33" s="63" t="s">
        <v>102</v>
      </c>
      <c r="C33" s="64" t="s">
        <v>103</v>
      </c>
      <c r="D33" s="37">
        <v>2.9000000000000001E-2</v>
      </c>
      <c r="E33" s="38">
        <f>'Nov 18'!$D33*$C$6*$C$2</f>
        <v>5763670.0193340005</v>
      </c>
      <c r="F33" s="38">
        <v>217088.44</v>
      </c>
      <c r="G33" s="39">
        <f>'Nov 18'!$E33/'Nov 18'!$F33</f>
        <v>26.54987073164283</v>
      </c>
      <c r="H33" s="36">
        <v>25</v>
      </c>
      <c r="I33" s="36">
        <v>27</v>
      </c>
      <c r="J33" s="40">
        <f t="shared" si="1"/>
        <v>2</v>
      </c>
      <c r="K33" s="41">
        <f>'Nov 18'!$F33*'Nov 18'!$I33</f>
        <v>5861387.8799999999</v>
      </c>
      <c r="L33" s="42">
        <f>'Nov 18'!$K33/$K$2</f>
        <v>2.9370469437869785E-2</v>
      </c>
      <c r="M33" s="65"/>
    </row>
    <row r="34" spans="1:13" s="4" customFormat="1" ht="25.5" x14ac:dyDescent="0.2">
      <c r="A34" s="36" t="s">
        <v>150</v>
      </c>
      <c r="B34" s="63" t="s">
        <v>104</v>
      </c>
      <c r="C34" s="64" t="s">
        <v>105</v>
      </c>
      <c r="D34" s="37">
        <v>2.9000000000000001E-2</v>
      </c>
      <c r="E34" s="38">
        <f>'Nov 18'!$D34*$C$6*$C$2</f>
        <v>5763670.0193340005</v>
      </c>
      <c r="F34" s="38">
        <v>173000</v>
      </c>
      <c r="G34" s="39">
        <f>'Nov 18'!$E34/'Nov 18'!$F34</f>
        <v>33.31601167245087</v>
      </c>
      <c r="H34" s="36">
        <v>31</v>
      </c>
      <c r="I34" s="36">
        <v>33</v>
      </c>
      <c r="J34" s="40">
        <f t="shared" si="1"/>
        <v>2</v>
      </c>
      <c r="K34" s="41">
        <f>'Nov 18'!$F34*'Nov 18'!$I34</f>
        <v>5709000</v>
      </c>
      <c r="L34" s="42">
        <f>'Nov 18'!$K34/$K$2</f>
        <v>2.8606878345815705E-2</v>
      </c>
      <c r="M34" s="65"/>
    </row>
    <row r="35" spans="1:13" s="4" customFormat="1" ht="25.5" x14ac:dyDescent="0.2">
      <c r="A35" s="36" t="s">
        <v>150</v>
      </c>
      <c r="B35" s="63" t="s">
        <v>106</v>
      </c>
      <c r="C35" s="64" t="s">
        <v>107</v>
      </c>
      <c r="D35" s="37">
        <v>2.9000000000000001E-2</v>
      </c>
      <c r="E35" s="38">
        <f>'Nov 18'!$D35*$C$6*$C$2</f>
        <v>5763670.0193340005</v>
      </c>
      <c r="F35" s="38">
        <v>125539.071428571</v>
      </c>
      <c r="G35" s="39">
        <f>'Nov 18'!$E35/'Nov 18'!$F35</f>
        <v>45.911364117532152</v>
      </c>
      <c r="H35" s="36">
        <v>42</v>
      </c>
      <c r="I35" s="36">
        <v>46</v>
      </c>
      <c r="J35" s="40">
        <f t="shared" si="1"/>
        <v>4</v>
      </c>
      <c r="K35" s="41">
        <f>'Nov 18'!$F35*'Nov 18'!$I35</f>
        <v>5774797.2857142659</v>
      </c>
      <c r="L35" s="42">
        <f>'Nov 18'!$K35/$K$2</f>
        <v>2.893657793381936E-2</v>
      </c>
      <c r="M35" s="65"/>
    </row>
    <row r="36" spans="1:13" s="4" customFormat="1" ht="25.5" x14ac:dyDescent="0.2">
      <c r="A36" s="36" t="s">
        <v>150</v>
      </c>
      <c r="B36" s="63" t="s">
        <v>108</v>
      </c>
      <c r="C36" s="64" t="s">
        <v>109</v>
      </c>
      <c r="D36" s="37">
        <v>2.9000000000000001E-2</v>
      </c>
      <c r="E36" s="38">
        <f>'Nov 18'!$D36*$C$6*$C$2</f>
        <v>5763670.0193340005</v>
      </c>
      <c r="F36" s="38">
        <v>138340.63157894701</v>
      </c>
      <c r="G36" s="39">
        <f>'Nov 18'!$E36/'Nov 18'!$F36</f>
        <v>41.662886409802461</v>
      </c>
      <c r="H36" s="36">
        <v>38</v>
      </c>
      <c r="I36" s="36">
        <v>42</v>
      </c>
      <c r="J36" s="40">
        <f t="shared" si="1"/>
        <v>4</v>
      </c>
      <c r="K36" s="41">
        <f>'Nov 18'!$F36*'Nov 18'!$I36</f>
        <v>5810306.5263157748</v>
      </c>
      <c r="L36" s="42">
        <f>'Nov 18'!$K36/$K$2</f>
        <v>2.9114509012123733E-2</v>
      </c>
      <c r="M36" s="65"/>
    </row>
    <row r="37" spans="1:13" s="4" customFormat="1" ht="25.5" x14ac:dyDescent="0.2">
      <c r="A37" s="36" t="s">
        <v>150</v>
      </c>
      <c r="B37" s="63" t="s">
        <v>114</v>
      </c>
      <c r="C37" s="64" t="s">
        <v>115</v>
      </c>
      <c r="D37" s="37">
        <v>2.9000000000000001E-2</v>
      </c>
      <c r="E37" s="38">
        <f>'Nov 18'!$D37*$C$6*$C$2</f>
        <v>5763670.0193340005</v>
      </c>
      <c r="F37" s="38">
        <v>220732.875</v>
      </c>
      <c r="G37" s="39">
        <f>'Nov 18'!$E37/'Nov 18'!$F37</f>
        <v>26.111516099874116</v>
      </c>
      <c r="H37" s="36">
        <v>24</v>
      </c>
      <c r="I37" s="36">
        <v>26</v>
      </c>
      <c r="J37" s="40">
        <f t="shared" si="1"/>
        <v>2</v>
      </c>
      <c r="K37" s="41">
        <f>'Nov 18'!$F37*'Nov 18'!$I37</f>
        <v>5739054.75</v>
      </c>
      <c r="L37" s="42">
        <f>'Nov 18'!$K37/$K$2</f>
        <v>2.8757477851326985E-2</v>
      </c>
      <c r="M37" s="65"/>
    </row>
    <row r="38" spans="1:13" s="46" customFormat="1" ht="25.5" customHeight="1" x14ac:dyDescent="0.25">
      <c r="A38" s="36" t="s">
        <v>151</v>
      </c>
      <c r="B38" s="36" t="s">
        <v>152</v>
      </c>
      <c r="C38" s="36" t="s">
        <v>63</v>
      </c>
      <c r="D38" s="37">
        <v>2.9000000000000001E-2</v>
      </c>
      <c r="E38" s="38">
        <f>'Nov 18'!$D38*$C$6*$C$2</f>
        <v>5763670.0193340005</v>
      </c>
      <c r="F38" s="38">
        <v>115148.847826087</v>
      </c>
      <c r="G38" s="39">
        <f>'Nov 18'!$E38/'Nov 18'!$F38</f>
        <v>50.054083285653505</v>
      </c>
      <c r="H38" s="36">
        <v>46</v>
      </c>
      <c r="I38" s="36">
        <v>50</v>
      </c>
      <c r="J38" s="40">
        <f t="shared" si="1"/>
        <v>4</v>
      </c>
      <c r="K38" s="41">
        <f>'Nov 18'!$F38*'Nov 18'!$I38</f>
        <v>5757442.3913043505</v>
      </c>
      <c r="L38" s="42">
        <f>'Nov 18'!$K38/$K$2</f>
        <v>2.8849615356644914E-2</v>
      </c>
      <c r="M38" s="43"/>
    </row>
    <row r="39" spans="1:13" s="46" customFormat="1" ht="25.5" x14ac:dyDescent="0.25">
      <c r="A39" s="36" t="s">
        <v>151</v>
      </c>
      <c r="B39" s="36" t="s">
        <v>60</v>
      </c>
      <c r="C39" s="36" t="s">
        <v>61</v>
      </c>
      <c r="D39" s="37">
        <v>2.9000000000000001E-2</v>
      </c>
      <c r="E39" s="38">
        <f>'Nov 18'!$D39*$C$6*$C$2</f>
        <v>5763670.0193340005</v>
      </c>
      <c r="F39" s="38">
        <v>135409.358974359</v>
      </c>
      <c r="G39" s="39">
        <f>'Nov 18'!$E39/'Nov 18'!$F39</f>
        <v>42.564783283741889</v>
      </c>
      <c r="H39" s="36">
        <v>39</v>
      </c>
      <c r="I39" s="36">
        <v>43</v>
      </c>
      <c r="J39" s="40">
        <f t="shared" si="1"/>
        <v>4</v>
      </c>
      <c r="K39" s="41">
        <f>'Nov 18'!$F39*'Nov 18'!$I39</f>
        <v>5822602.4358974369</v>
      </c>
      <c r="L39" s="42">
        <f>'Nov 18'!$K39/$K$2</f>
        <v>2.9176121832154171E-2</v>
      </c>
      <c r="M39" s="43"/>
    </row>
    <row r="40" spans="1:13" s="46" customFormat="1" ht="25.5" x14ac:dyDescent="0.25">
      <c r="A40" s="36" t="s">
        <v>151</v>
      </c>
      <c r="B40" s="36" t="s">
        <v>56</v>
      </c>
      <c r="C40" s="36" t="s">
        <v>57</v>
      </c>
      <c r="D40" s="37">
        <v>2.9000000000000001E-2</v>
      </c>
      <c r="E40" s="38">
        <f>'Nov 18'!$D40*$C$6*$C$2</f>
        <v>5763670.0193340005</v>
      </c>
      <c r="F40" s="38">
        <v>179534.53333333301</v>
      </c>
      <c r="G40" s="39">
        <f>'Nov 18'!$E40/'Nov 18'!$F40</f>
        <v>32.103406026253879</v>
      </c>
      <c r="H40" s="36">
        <v>30</v>
      </c>
      <c r="I40" s="36">
        <v>32</v>
      </c>
      <c r="J40" s="40">
        <f t="shared" si="1"/>
        <v>2</v>
      </c>
      <c r="K40" s="41">
        <f>'Nov 18'!$F40*'Nov 18'!$I40</f>
        <v>5745105.0666666562</v>
      </c>
      <c r="L40" s="42">
        <f>'Nov 18'!$K40/$K$2</f>
        <v>2.8787795012447444E-2</v>
      </c>
      <c r="M40" s="43"/>
    </row>
    <row r="41" spans="1:13" s="46" customFormat="1" ht="25.5" x14ac:dyDescent="0.25">
      <c r="A41" s="36" t="s">
        <v>151</v>
      </c>
      <c r="B41" s="36" t="s">
        <v>66</v>
      </c>
      <c r="C41" s="36" t="s">
        <v>67</v>
      </c>
      <c r="D41" s="37">
        <v>2.9000000000000001E-2</v>
      </c>
      <c r="E41" s="38">
        <f>'Nov 18'!$D41*$C$6*$C$2</f>
        <v>5763670.0193340005</v>
      </c>
      <c r="F41" s="38">
        <v>268852.95</v>
      </c>
      <c r="G41" s="39">
        <f>'Nov 18'!$E41/'Nov 18'!$F41</f>
        <v>21.438001775074444</v>
      </c>
      <c r="H41" s="36">
        <v>20</v>
      </c>
      <c r="I41" s="36">
        <v>21</v>
      </c>
      <c r="J41" s="40">
        <f t="shared" si="1"/>
        <v>1</v>
      </c>
      <c r="K41" s="41">
        <f>'Nov 18'!$F41*'Nov 18'!$I41</f>
        <v>5645911.9500000002</v>
      </c>
      <c r="L41" s="42">
        <f>'Nov 18'!$K41/$K$2</f>
        <v>2.8290754301074989E-2</v>
      </c>
      <c r="M41" s="43"/>
    </row>
    <row r="42" spans="1:13" s="67" customFormat="1" ht="12.75" x14ac:dyDescent="0.2">
      <c r="A42" s="36"/>
      <c r="B42" s="64"/>
      <c r="C42" s="64"/>
      <c r="D42" s="37"/>
      <c r="E42" s="66"/>
      <c r="F42" s="38"/>
      <c r="G42" s="39"/>
      <c r="H42" s="36"/>
      <c r="I42" s="36"/>
      <c r="J42" s="48"/>
      <c r="K42" s="38"/>
      <c r="L42" s="49"/>
      <c r="M42" s="65"/>
    </row>
    <row r="43" spans="1:13" s="17" customFormat="1" ht="12.75" x14ac:dyDescent="0.2">
      <c r="A43" s="50" t="s">
        <v>153</v>
      </c>
      <c r="B43" s="68"/>
      <c r="C43" s="68"/>
      <c r="D43" s="58">
        <f>SUBTOTAL(9,D32:D42)</f>
        <v>0.29000000000000004</v>
      </c>
      <c r="E43" s="69">
        <f>'Nov 18'!$D43*$C$6*$C$2</f>
        <v>57636700.193340011</v>
      </c>
      <c r="F43" s="70"/>
      <c r="G43" s="71"/>
      <c r="H43" s="57"/>
      <c r="I43" s="57"/>
      <c r="J43" s="61"/>
      <c r="K43" s="69">
        <f>SUM(K32:K42)</f>
        <v>57694127.962369062</v>
      </c>
      <c r="L43" s="72">
        <f>'Nov 18'!$K43/$K$2</f>
        <v>0.28909597125370745</v>
      </c>
      <c r="M43" s="73"/>
    </row>
    <row r="44" spans="1:13" s="67" customFormat="1" ht="12.75" x14ac:dyDescent="0.2">
      <c r="A44" s="36"/>
      <c r="B44" s="64"/>
      <c r="C44" s="64"/>
      <c r="D44" s="37"/>
      <c r="E44" s="66"/>
      <c r="F44" s="38"/>
      <c r="G44" s="39"/>
      <c r="H44" s="36"/>
      <c r="I44" s="36"/>
      <c r="J44" s="48"/>
      <c r="K44" s="38"/>
      <c r="L44" s="42"/>
      <c r="M44" s="65"/>
    </row>
    <row r="45" spans="1:13" s="4" customFormat="1" ht="24.75" customHeight="1" x14ac:dyDescent="0.2">
      <c r="A45" s="36" t="s">
        <v>150</v>
      </c>
      <c r="B45" s="64" t="s">
        <v>110</v>
      </c>
      <c r="C45" s="64" t="s">
        <v>111</v>
      </c>
      <c r="D45" s="37">
        <v>0.1</v>
      </c>
      <c r="E45" s="38">
        <f>'Nov 18'!$D45*$C$6*$C$2</f>
        <v>19874724.204600003</v>
      </c>
      <c r="F45" s="38">
        <v>416334.14583333302</v>
      </c>
      <c r="G45" s="39">
        <f>'Nov 18'!$E45/'Nov 18'!$F45</f>
        <v>47.73743495100269</v>
      </c>
      <c r="H45" s="36">
        <v>48</v>
      </c>
      <c r="I45" s="36">
        <v>48</v>
      </c>
      <c r="J45" s="40">
        <f>I45-H45</f>
        <v>0</v>
      </c>
      <c r="K45" s="41">
        <f>'Nov 18'!$F45*'Nov 18'!$I45</f>
        <v>19984038.999999985</v>
      </c>
      <c r="L45" s="42">
        <f>'Nov 18'!$K45/$K$2</f>
        <v>0.10013679672990648</v>
      </c>
      <c r="M45" s="65"/>
    </row>
    <row r="46" spans="1:13" s="46" customFormat="1" ht="25.5" x14ac:dyDescent="0.25">
      <c r="A46" s="36" t="s">
        <v>151</v>
      </c>
      <c r="B46" s="36" t="s">
        <v>68</v>
      </c>
      <c r="C46" s="36" t="s">
        <v>69</v>
      </c>
      <c r="D46" s="37">
        <v>0.1</v>
      </c>
      <c r="E46" s="38">
        <f>'Nov 18'!$D46*$C$6*$C$2</f>
        <v>19874724.204600003</v>
      </c>
      <c r="F46" s="38">
        <v>249375</v>
      </c>
      <c r="G46" s="39">
        <f>'Nov 18'!$E46/'Nov 18'!$F46</f>
        <v>79.698142173834597</v>
      </c>
      <c r="H46" s="36">
        <v>80</v>
      </c>
      <c r="I46" s="36">
        <v>80</v>
      </c>
      <c r="J46" s="40">
        <f>I46-H46</f>
        <v>0</v>
      </c>
      <c r="K46" s="41">
        <f>'Nov 18'!$F46*'Nov 18'!$I46</f>
        <v>19950000</v>
      </c>
      <c r="L46" s="42">
        <f>'Nov 18'!$K46/$K$2</f>
        <v>9.9966232790159967E-2</v>
      </c>
      <c r="M46" s="43"/>
    </row>
    <row r="47" spans="1:13" s="46" customFormat="1" ht="25.5" x14ac:dyDescent="0.25">
      <c r="A47" s="36" t="s">
        <v>151</v>
      </c>
      <c r="B47" s="36" t="s">
        <v>92</v>
      </c>
      <c r="C47" s="36" t="s">
        <v>93</v>
      </c>
      <c r="D47" s="37">
        <v>0.1</v>
      </c>
      <c r="E47" s="38">
        <f>'Nov 18'!$D47*$C$6*$C$2</f>
        <v>19874724.204600003</v>
      </c>
      <c r="F47" s="38">
        <v>416322.85416666698</v>
      </c>
      <c r="G47" s="39">
        <f>'Nov 18'!$E47/'Nov 18'!$F47</f>
        <v>47.738729703855107</v>
      </c>
      <c r="H47" s="36">
        <v>48</v>
      </c>
      <c r="I47" s="36">
        <v>48</v>
      </c>
      <c r="J47" s="40">
        <f>I47-H47</f>
        <v>0</v>
      </c>
      <c r="K47" s="41">
        <f>'Nov 18'!$F47*'Nov 18'!$I47</f>
        <v>19983497.000000015</v>
      </c>
      <c r="L47" s="42">
        <f>'Nov 18'!$K47/$K$2</f>
        <v>0.10013408085531153</v>
      </c>
      <c r="M47" s="43"/>
    </row>
    <row r="48" spans="1:13" s="46" customFormat="1" ht="25.5" x14ac:dyDescent="0.25">
      <c r="A48" s="36" t="s">
        <v>151</v>
      </c>
      <c r="B48" s="36" t="s">
        <v>95</v>
      </c>
      <c r="C48" s="36" t="s">
        <v>96</v>
      </c>
      <c r="D48" s="37">
        <v>0.1</v>
      </c>
      <c r="E48" s="38">
        <f>'Nov 18'!$D48*$C$6*$C$2</f>
        <v>19874724.204600003</v>
      </c>
      <c r="F48" s="38">
        <v>249783.8</v>
      </c>
      <c r="G48" s="39">
        <f>'Nov 18'!$E48/'Nov 18'!$F48</f>
        <v>79.567706971388873</v>
      </c>
      <c r="H48" s="36">
        <v>80</v>
      </c>
      <c r="I48" s="36">
        <v>80</v>
      </c>
      <c r="J48" s="40">
        <f>I48-H48</f>
        <v>0</v>
      </c>
      <c r="K48" s="41">
        <f>'Nov 18'!$F48*'Nov 18'!$I48</f>
        <v>19982704</v>
      </c>
      <c r="L48" s="42">
        <f>'Nov 18'!$K48/$K$2</f>
        <v>0.10013010726019353</v>
      </c>
      <c r="M48" s="43"/>
    </row>
    <row r="49" spans="1:16" s="46" customFormat="1" ht="25.5" x14ac:dyDescent="0.25">
      <c r="A49" s="36" t="s">
        <v>151</v>
      </c>
      <c r="B49" s="36" t="s">
        <v>77</v>
      </c>
      <c r="C49" s="36" t="s">
        <v>78</v>
      </c>
      <c r="D49" s="37">
        <v>0.1</v>
      </c>
      <c r="E49" s="38">
        <f>'Nov 18'!$D49*$C$6*$C$2</f>
        <v>19874724.204600003</v>
      </c>
      <c r="F49" s="38">
        <v>166057.73770491799</v>
      </c>
      <c r="G49" s="39">
        <f>'Nov 18'!$E49/'Nov 18'!$F49</f>
        <v>119.68562548959373</v>
      </c>
      <c r="H49" s="36">
        <v>122</v>
      </c>
      <c r="I49" s="36">
        <v>122</v>
      </c>
      <c r="J49" s="40">
        <f>I49-H49</f>
        <v>0</v>
      </c>
      <c r="K49" s="41">
        <f>'Nov 18'!$F49*'Nov 18'!$I49</f>
        <v>20259043.999999996</v>
      </c>
      <c r="L49" s="42">
        <f>'Nov 18'!$K49/$K$2</f>
        <v>0.10151480243659615</v>
      </c>
      <c r="M49" s="43"/>
    </row>
    <row r="50" spans="1:16" s="47" customFormat="1" ht="12.75" x14ac:dyDescent="0.25">
      <c r="A50" s="36"/>
      <c r="B50" s="36"/>
      <c r="C50" s="36"/>
      <c r="D50" s="37"/>
      <c r="E50" s="38"/>
      <c r="F50" s="38"/>
      <c r="G50" s="39"/>
      <c r="H50" s="36"/>
      <c r="I50" s="36"/>
      <c r="J50" s="48"/>
      <c r="K50" s="38"/>
      <c r="L50" s="42"/>
      <c r="M50" s="36"/>
    </row>
    <row r="51" spans="1:16" s="56" customFormat="1" ht="25.5" x14ac:dyDescent="0.25">
      <c r="A51" s="50" t="s">
        <v>154</v>
      </c>
      <c r="B51" s="50"/>
      <c r="C51" s="50"/>
      <c r="D51" s="58">
        <f>SUBTOTAL(9,D45:D50)</f>
        <v>0.5</v>
      </c>
      <c r="E51" s="52">
        <f>'Nov 18'!$D51*$C$6*$C$2</f>
        <v>99373621.023000002</v>
      </c>
      <c r="F51" s="71"/>
      <c r="G51" s="71"/>
      <c r="H51" s="57"/>
      <c r="I51" s="57"/>
      <c r="J51" s="61"/>
      <c r="K51" s="52">
        <f>SUM(K45:K50)</f>
        <v>100159284</v>
      </c>
      <c r="L51" s="74">
        <f>'Nov 18'!$K51/$K$2</f>
        <v>0.50188202007216764</v>
      </c>
      <c r="M51" s="50"/>
    </row>
    <row r="52" spans="1:16" s="47" customFormat="1" ht="12.75" x14ac:dyDescent="0.25">
      <c r="A52" s="36"/>
      <c r="B52" s="36"/>
      <c r="C52" s="36"/>
      <c r="D52" s="37"/>
      <c r="E52" s="38"/>
      <c r="F52" s="38"/>
      <c r="G52" s="39"/>
      <c r="H52" s="36"/>
      <c r="I52" s="36"/>
      <c r="J52" s="48"/>
      <c r="K52" s="38"/>
      <c r="L52" s="42"/>
      <c r="M52" s="36"/>
    </row>
    <row r="53" spans="1:16" s="46" customFormat="1" ht="12.75" x14ac:dyDescent="0.25">
      <c r="A53" s="36"/>
      <c r="B53" s="36"/>
      <c r="C53" s="36"/>
      <c r="D53" s="37"/>
      <c r="E53" s="38"/>
      <c r="F53" s="38"/>
      <c r="G53" s="75"/>
      <c r="H53" s="36"/>
      <c r="I53" s="36"/>
      <c r="J53" s="40"/>
      <c r="K53" s="41"/>
      <c r="L53" s="42"/>
      <c r="M53" s="43"/>
    </row>
    <row r="54" spans="1:16" s="46" customFormat="1" ht="25.5" x14ac:dyDescent="0.25">
      <c r="A54" s="36" t="s">
        <v>155</v>
      </c>
      <c r="B54" s="36" t="s">
        <v>53</v>
      </c>
      <c r="C54" s="36" t="s">
        <v>54</v>
      </c>
      <c r="D54" s="37">
        <v>1E-3</v>
      </c>
      <c r="E54" s="38">
        <f>'Nov 18'!$D54*$C$6*$C$2</f>
        <v>198747.24204600003</v>
      </c>
      <c r="F54" s="38">
        <v>49624.25</v>
      </c>
      <c r="G54" s="75">
        <f>'Nov 18'!$E54/'Nov 18'!$F54</f>
        <v>4.0050427370892265</v>
      </c>
      <c r="H54" s="36">
        <v>4</v>
      </c>
      <c r="I54" s="36">
        <v>4</v>
      </c>
      <c r="J54" s="40">
        <f t="shared" ref="J54:J63" si="2">I54-H54</f>
        <v>0</v>
      </c>
      <c r="K54" s="41">
        <f>'Nov 18'!$F54*'Nov 18'!$I54</f>
        <v>198497</v>
      </c>
      <c r="L54" s="42">
        <f>'Nov 18'!$K54/$K$2</f>
        <v>9.9463645664904184E-4</v>
      </c>
      <c r="M54" s="43"/>
    </row>
    <row r="55" spans="1:16" s="46" customFormat="1" ht="25.5" x14ac:dyDescent="0.25">
      <c r="A55" s="36" t="s">
        <v>155</v>
      </c>
      <c r="B55" s="36" t="s">
        <v>71</v>
      </c>
      <c r="C55" s="36" t="s">
        <v>72</v>
      </c>
      <c r="D55" s="37">
        <v>1E-3</v>
      </c>
      <c r="E55" s="38">
        <f>'Nov 18'!$D55*$C$6*$C$2</f>
        <v>198747.24204600003</v>
      </c>
      <c r="F55" s="38">
        <v>80812.5</v>
      </c>
      <c r="G55" s="75">
        <f>'Nov 18'!$E55/'Nov 18'!$F55</f>
        <v>2.4593626239257542</v>
      </c>
      <c r="H55" s="36">
        <v>2</v>
      </c>
      <c r="I55" s="36">
        <v>2</v>
      </c>
      <c r="J55" s="40">
        <f t="shared" si="2"/>
        <v>0</v>
      </c>
      <c r="K55" s="41">
        <f>'Nov 18'!$F55*'Nov 18'!$I55</f>
        <v>161625</v>
      </c>
      <c r="L55" s="42">
        <f>'Nov 18'!$K55/$K$2</f>
        <v>8.0987681076238622E-4</v>
      </c>
      <c r="M55" s="43"/>
      <c r="P55" s="46" t="s">
        <v>159</v>
      </c>
    </row>
    <row r="56" spans="1:16" s="46" customFormat="1" ht="25.5" x14ac:dyDescent="0.25">
      <c r="A56" s="36" t="s">
        <v>155</v>
      </c>
      <c r="B56" s="36" t="s">
        <v>83</v>
      </c>
      <c r="C56" s="36" t="s">
        <v>84</v>
      </c>
      <c r="D56" s="37">
        <v>1E-3</v>
      </c>
      <c r="E56" s="38">
        <f>'Nov 18'!$D56*$C$6*$C$2</f>
        <v>198747.24204600003</v>
      </c>
      <c r="F56" s="38">
        <v>94876.5</v>
      </c>
      <c r="G56" s="75">
        <f>'Nov 18'!$E56/'Nov 18'!$F56</f>
        <v>2.0947994713759468</v>
      </c>
      <c r="H56" s="36">
        <v>2</v>
      </c>
      <c r="I56" s="36">
        <v>2</v>
      </c>
      <c r="J56" s="40">
        <f t="shared" si="2"/>
        <v>0</v>
      </c>
      <c r="K56" s="41">
        <f>'Nov 18'!$F56*'Nov 18'!$I56</f>
        <v>189753</v>
      </c>
      <c r="L56" s="42">
        <f>'Nov 18'!$K56/$K$2</f>
        <v>9.5082168273840728E-4</v>
      </c>
      <c r="M56" s="43"/>
    </row>
    <row r="57" spans="1:16" s="46" customFormat="1" ht="25.5" x14ac:dyDescent="0.25">
      <c r="A57" s="36" t="s">
        <v>155</v>
      </c>
      <c r="B57" s="36" t="s">
        <v>161</v>
      </c>
      <c r="C57" s="36" t="s">
        <v>86</v>
      </c>
      <c r="D57" s="37">
        <v>1E-3</v>
      </c>
      <c r="E57" s="38">
        <f>'Nov 18'!$D57*$C$6*$C$2</f>
        <v>198747.24204600003</v>
      </c>
      <c r="F57" s="38">
        <v>234636</v>
      </c>
      <c r="G57" s="75">
        <f>'Nov 18'!$E57/'Nov 18'!$F57</f>
        <v>0.84704496345829294</v>
      </c>
      <c r="H57" s="36">
        <v>1</v>
      </c>
      <c r="I57" s="36">
        <v>1</v>
      </c>
      <c r="J57" s="40">
        <f t="shared" si="2"/>
        <v>0</v>
      </c>
      <c r="K57" s="41">
        <f>'Nov 18'!$F57*'Nov 18'!$I57</f>
        <v>234636</v>
      </c>
      <c r="L57" s="42">
        <f>'Nov 18'!$K57/$K$2</f>
        <v>1.1757231577419537E-3</v>
      </c>
      <c r="M57" s="43"/>
    </row>
    <row r="58" spans="1:16" s="46" customFormat="1" ht="25.5" x14ac:dyDescent="0.25">
      <c r="A58" s="36" t="s">
        <v>155</v>
      </c>
      <c r="B58" s="36" t="s">
        <v>87</v>
      </c>
      <c r="C58" s="36" t="s">
        <v>88</v>
      </c>
      <c r="D58" s="37">
        <v>1E-3</v>
      </c>
      <c r="E58" s="38">
        <f>'Nov 18'!$D58*$C$6*$C$2</f>
        <v>198747.24204600003</v>
      </c>
      <c r="F58" s="38">
        <v>12287.6</v>
      </c>
      <c r="G58" s="75">
        <f>'Nov 18'!$E58/'Nov 18'!$F58</f>
        <v>16.174618480907583</v>
      </c>
      <c r="H58" s="36">
        <v>15</v>
      </c>
      <c r="I58" s="36">
        <v>16</v>
      </c>
      <c r="J58" s="40">
        <f t="shared" si="2"/>
        <v>1</v>
      </c>
      <c r="K58" s="41">
        <f>'Nov 18'!$F58*'Nov 18'!$I58</f>
        <v>196601.60000000001</v>
      </c>
      <c r="L58" s="42">
        <f>'Nov 18'!$K58/$K$2</f>
        <v>9.8513891290816615E-4</v>
      </c>
      <c r="M58" s="43"/>
    </row>
    <row r="59" spans="1:16" s="46" customFormat="1" ht="25.5" x14ac:dyDescent="0.25">
      <c r="A59" s="36" t="s">
        <v>155</v>
      </c>
      <c r="B59" s="36" t="s">
        <v>90</v>
      </c>
      <c r="C59" s="36" t="s">
        <v>91</v>
      </c>
      <c r="D59" s="37">
        <v>1E-3</v>
      </c>
      <c r="E59" s="38">
        <f>'Nov 18'!$D59*$C$6*$C$2</f>
        <v>198747.24204600003</v>
      </c>
      <c r="F59" s="38">
        <v>95260</v>
      </c>
      <c r="G59" s="75">
        <f>'Nov 18'!$E59/'Nov 18'!$F59</f>
        <v>2.0863661772622302</v>
      </c>
      <c r="H59" s="36">
        <v>2</v>
      </c>
      <c r="I59" s="36">
        <v>2</v>
      </c>
      <c r="J59" s="40">
        <f t="shared" si="2"/>
        <v>0</v>
      </c>
      <c r="K59" s="41">
        <f>'Nov 18'!$F59*'Nov 18'!$I59</f>
        <v>190520</v>
      </c>
      <c r="L59" s="42">
        <f>'Nov 18'!$K59/$K$2</f>
        <v>9.5466499604918685E-4</v>
      </c>
      <c r="M59" s="43"/>
    </row>
    <row r="60" spans="1:16" s="4" customFormat="1" ht="25.5" x14ac:dyDescent="0.2">
      <c r="A60" s="36" t="s">
        <v>155</v>
      </c>
      <c r="B60" s="64" t="s">
        <v>112</v>
      </c>
      <c r="C60" s="64" t="s">
        <v>113</v>
      </c>
      <c r="D60" s="37">
        <v>1E-3</v>
      </c>
      <c r="E60" s="38">
        <f>'Nov 18'!$D60*$C$6*$C$2</f>
        <v>198747.24204600003</v>
      </c>
      <c r="F60" s="38">
        <v>68518.333333333299</v>
      </c>
      <c r="G60" s="75">
        <f>'Nov 18'!$E60/'Nov 18'!$F60</f>
        <v>2.9006432640315261</v>
      </c>
      <c r="H60" s="36">
        <v>3</v>
      </c>
      <c r="I60" s="36">
        <v>3</v>
      </c>
      <c r="J60" s="40">
        <f t="shared" si="2"/>
        <v>0</v>
      </c>
      <c r="K60" s="41">
        <f>'Nov 18'!$F60*'Nov 18'!$I60</f>
        <v>205554.99999999988</v>
      </c>
      <c r="L60" s="42">
        <f>'Nov 18'!$K60/$K$2</f>
        <v>1.0300029564501915E-3</v>
      </c>
      <c r="M60" s="65"/>
    </row>
    <row r="61" spans="1:16" s="46" customFormat="1" ht="25.5" x14ac:dyDescent="0.25">
      <c r="A61" s="36" t="s">
        <v>155</v>
      </c>
      <c r="B61" s="36" t="s">
        <v>164</v>
      </c>
      <c r="C61" s="36" t="s">
        <v>82</v>
      </c>
      <c r="D61" s="37">
        <v>1E-3</v>
      </c>
      <c r="E61" s="38">
        <f>'Nov 18'!$D61*$C$6*$C$2</f>
        <v>198747.24204600003</v>
      </c>
      <c r="F61" s="38">
        <v>27700</v>
      </c>
      <c r="G61" s="75">
        <f>'Nov 18'!$E61/'Nov 18'!$F61</f>
        <v>7.1749906875812286</v>
      </c>
      <c r="H61" s="36">
        <v>7</v>
      </c>
      <c r="I61" s="36">
        <v>7</v>
      </c>
      <c r="J61" s="40">
        <f t="shared" si="2"/>
        <v>0</v>
      </c>
      <c r="K61" s="41">
        <f>'Nov 18'!$F61*'Nov 18'!$I61</f>
        <v>193900</v>
      </c>
      <c r="L61" s="42">
        <f>'Nov 18'!$K61/$K$2</f>
        <v>9.7160163097804607E-4</v>
      </c>
      <c r="M61" s="43"/>
    </row>
    <row r="62" spans="1:16" s="46" customFormat="1" ht="25.5" x14ac:dyDescent="0.25">
      <c r="A62" s="36" t="s">
        <v>155</v>
      </c>
      <c r="B62" s="36" t="s">
        <v>100</v>
      </c>
      <c r="C62" s="36" t="s">
        <v>101</v>
      </c>
      <c r="D62" s="37">
        <v>1E-3</v>
      </c>
      <c r="E62" s="38">
        <f>'Nov 18'!$D62*$C$6*$C$2</f>
        <v>198747.24204600003</v>
      </c>
      <c r="F62" s="38">
        <v>7709.6956521739103</v>
      </c>
      <c r="G62" s="75">
        <f>'Nov 18'!$E62/'Nov 18'!$F62</f>
        <v>25.778870011549557</v>
      </c>
      <c r="H62" s="36">
        <v>23</v>
      </c>
      <c r="I62" s="36">
        <v>26</v>
      </c>
      <c r="J62" s="40">
        <f t="shared" si="2"/>
        <v>3</v>
      </c>
      <c r="K62" s="41">
        <f>'Nov 18'!$F62*'Nov 18'!$I62</f>
        <v>200452.08695652167</v>
      </c>
      <c r="L62" s="42">
        <f>'Nov 18'!$K62/$K$2</f>
        <v>1.0044330821037111E-3</v>
      </c>
      <c r="M62" s="43"/>
    </row>
    <row r="63" spans="1:16" s="46" customFormat="1" ht="25.5" x14ac:dyDescent="0.25">
      <c r="A63" s="36" t="s">
        <v>155</v>
      </c>
      <c r="B63" s="36" t="s">
        <v>174</v>
      </c>
      <c r="C63" s="36" t="s">
        <v>75</v>
      </c>
      <c r="D63" s="37">
        <v>1E-3</v>
      </c>
      <c r="E63" s="38">
        <f>'Nov 18'!$D63*$C$6*$C$2</f>
        <v>198747.24204600003</v>
      </c>
      <c r="F63" s="38">
        <v>27596.714285714301</v>
      </c>
      <c r="G63" s="75">
        <f>'Nov 18'!$E63/'Nov 18'!$F63</f>
        <v>7.2018443930799183</v>
      </c>
      <c r="H63" s="36">
        <v>7</v>
      </c>
      <c r="I63" s="36">
        <v>7</v>
      </c>
      <c r="J63" s="40">
        <f t="shared" si="2"/>
        <v>0</v>
      </c>
      <c r="K63" s="41">
        <f>'Nov 18'!$F63*'Nov 18'!$I63</f>
        <v>193177.00000000012</v>
      </c>
      <c r="L63" s="42">
        <f>'Nov 18'!$K63/$K$2</f>
        <v>9.6797879457166636E-4</v>
      </c>
      <c r="M63" s="43"/>
    </row>
    <row r="64" spans="1:16" s="46" customFormat="1" ht="12.75" x14ac:dyDescent="0.25">
      <c r="A64" s="36"/>
      <c r="B64" s="36"/>
      <c r="C64" s="36"/>
      <c r="D64" s="37"/>
      <c r="E64" s="38"/>
      <c r="F64" s="38"/>
      <c r="G64" s="39"/>
      <c r="H64" s="36"/>
      <c r="I64" s="36"/>
      <c r="J64" s="43"/>
      <c r="K64" s="41"/>
      <c r="L64" s="42"/>
      <c r="M64" s="43"/>
    </row>
    <row r="65" spans="1:13" s="46" customFormat="1" ht="12.75" x14ac:dyDescent="0.25">
      <c r="A65" s="36"/>
      <c r="B65" s="36"/>
      <c r="C65" s="36"/>
      <c r="D65" s="37"/>
      <c r="E65" s="38"/>
      <c r="F65" s="38"/>
      <c r="G65" s="39"/>
      <c r="H65" s="36"/>
      <c r="I65" s="36"/>
      <c r="J65" s="43"/>
      <c r="K65" s="41"/>
      <c r="L65" s="42"/>
      <c r="M65" s="43"/>
    </row>
    <row r="66" spans="1:13" s="17" customFormat="1" ht="12.75" x14ac:dyDescent="0.2">
      <c r="A66" s="50" t="s">
        <v>167</v>
      </c>
      <c r="B66" s="68"/>
      <c r="C66" s="68"/>
      <c r="D66" s="76">
        <f>SUM(D54:D65)</f>
        <v>1.0000000000000002E-2</v>
      </c>
      <c r="E66" s="52">
        <f>SUM(E53:E65)</f>
        <v>1987472.4204599999</v>
      </c>
      <c r="F66" s="71"/>
      <c r="G66" s="71"/>
      <c r="H66" s="68"/>
      <c r="I66" s="68"/>
      <c r="J66" s="50"/>
      <c r="K66" s="52">
        <f>SUM(K53:K65)</f>
        <v>1964716.6869565221</v>
      </c>
      <c r="L66" s="55">
        <f>'Nov 18'!$K66/$K$2</f>
        <v>9.8448784809527581E-3</v>
      </c>
      <c r="M66" s="62"/>
    </row>
    <row r="67" spans="1:13" s="4" customFormat="1" ht="12.75" x14ac:dyDescent="0.2">
      <c r="A67" s="36"/>
      <c r="B67" s="64"/>
      <c r="C67" s="64"/>
      <c r="D67" s="77"/>
      <c r="E67" s="38"/>
      <c r="F67" s="38"/>
      <c r="G67" s="39"/>
      <c r="H67" s="64"/>
      <c r="I67" s="64"/>
      <c r="J67" s="36"/>
      <c r="K67" s="36"/>
      <c r="L67" s="42"/>
      <c r="M67" s="65"/>
    </row>
    <row r="68" spans="1:13" s="46" customFormat="1" ht="25.5" x14ac:dyDescent="0.25">
      <c r="A68" s="50" t="s">
        <v>168</v>
      </c>
      <c r="B68" s="57" t="s">
        <v>169</v>
      </c>
      <c r="C68" s="57" t="s">
        <v>170</v>
      </c>
      <c r="D68" s="58">
        <v>0</v>
      </c>
      <c r="E68" s="59">
        <f>'Nov 18'!$D68*$C$6*$C$2</f>
        <v>0</v>
      </c>
      <c r="F68" s="59">
        <v>0</v>
      </c>
      <c r="G68" s="60" t="s">
        <v>175</v>
      </c>
      <c r="H68" s="57">
        <v>0</v>
      </c>
      <c r="I68" s="57">
        <v>0</v>
      </c>
      <c r="J68" s="78">
        <f>I68-H68</f>
        <v>0</v>
      </c>
      <c r="K68" s="59">
        <f>'Nov 18'!$F68*'Nov 18'!$I68</f>
        <v>0</v>
      </c>
      <c r="L68" s="79">
        <f>'Nov 18'!$K68/$K$2</f>
        <v>0</v>
      </c>
      <c r="M68" s="57"/>
    </row>
    <row r="69" spans="1:13" s="4" customFormat="1" ht="12.75" x14ac:dyDescent="0.2">
      <c r="A69" s="36"/>
      <c r="B69" s="64"/>
      <c r="C69" s="64"/>
      <c r="D69" s="77"/>
      <c r="E69" s="38"/>
      <c r="F69" s="38"/>
      <c r="G69" s="39"/>
      <c r="H69" s="64"/>
      <c r="I69" s="64"/>
      <c r="J69" s="36"/>
      <c r="K69" s="36"/>
      <c r="L69" s="42"/>
      <c r="M69" s="65"/>
    </row>
    <row r="70" spans="1:13" s="4" customFormat="1" ht="12.75" x14ac:dyDescent="0.2">
      <c r="A70" s="36"/>
      <c r="B70" s="64"/>
      <c r="C70" s="64"/>
      <c r="D70" s="80"/>
      <c r="E70" s="66"/>
      <c r="F70" s="38"/>
      <c r="G70" s="39"/>
      <c r="H70" s="64"/>
      <c r="I70" s="64"/>
      <c r="J70" s="36"/>
      <c r="K70" s="36"/>
      <c r="L70" s="42"/>
      <c r="M70" s="65"/>
    </row>
    <row r="71" spans="1:13" s="17" customFormat="1" ht="12.75" x14ac:dyDescent="0.2">
      <c r="A71" s="50" t="s">
        <v>171</v>
      </c>
      <c r="B71" s="68"/>
      <c r="C71" s="68"/>
      <c r="D71" s="68"/>
      <c r="E71" s="81"/>
      <c r="F71" s="81"/>
      <c r="G71" s="50"/>
      <c r="H71" s="68"/>
      <c r="I71" s="68"/>
      <c r="J71" s="68"/>
      <c r="K71" s="81">
        <f>SUM(K28,K30,K43,K51,K66,K68:K68)</f>
        <v>199567388.33879262</v>
      </c>
      <c r="L71" s="55">
        <f>'Nov 18'!$K71/$K$2</f>
        <v>1</v>
      </c>
      <c r="M71" s="68"/>
    </row>
    <row r="72" spans="1:13" s="4" customFormat="1" ht="12.75" x14ac:dyDescent="0.2">
      <c r="A72" s="65"/>
      <c r="B72" s="65"/>
      <c r="C72" s="65"/>
      <c r="D72" s="82"/>
      <c r="E72" s="83"/>
      <c r="F72" s="38"/>
      <c r="G72" s="84"/>
      <c r="H72" s="65"/>
      <c r="I72" s="65"/>
      <c r="J72" s="65"/>
      <c r="K72" s="65"/>
      <c r="L72" s="42"/>
      <c r="M72" s="65"/>
    </row>
    <row r="73" spans="1:13" s="4" customFormat="1" ht="12.75" x14ac:dyDescent="0.2">
      <c r="A73" s="65"/>
      <c r="B73" s="65"/>
      <c r="C73" s="65"/>
      <c r="D73" s="82"/>
      <c r="E73" s="83"/>
      <c r="F73" s="38"/>
      <c r="G73" s="84"/>
      <c r="H73" s="65"/>
      <c r="I73" s="65"/>
      <c r="J73" s="65"/>
      <c r="K73" s="65"/>
      <c r="L73" s="42"/>
      <c r="M73" s="65"/>
    </row>
    <row r="74" spans="1:13" s="4" customFormat="1" ht="12.75" x14ac:dyDescent="0.2">
      <c r="A74" s="65"/>
      <c r="B74" s="65"/>
      <c r="C74" s="65"/>
      <c r="D74" s="82"/>
      <c r="E74" s="83"/>
      <c r="F74" s="38"/>
      <c r="G74" s="84"/>
      <c r="H74" s="65"/>
      <c r="I74" s="65"/>
      <c r="J74" s="65"/>
      <c r="K74" s="65"/>
      <c r="L74" s="42"/>
      <c r="M74" s="65"/>
    </row>
    <row r="75" spans="1:13" s="4" customFormat="1" ht="12.75" x14ac:dyDescent="0.2">
      <c r="A75" s="65"/>
      <c r="B75" s="65"/>
      <c r="C75" s="65"/>
      <c r="D75" s="82"/>
      <c r="E75" s="83"/>
      <c r="F75" s="38"/>
      <c r="G75" s="84"/>
      <c r="H75" s="65"/>
      <c r="I75" s="65"/>
      <c r="J75" s="65"/>
      <c r="K75" s="65"/>
      <c r="L75" s="42"/>
      <c r="M75" s="65"/>
    </row>
    <row r="76" spans="1:13" s="4" customFormat="1" ht="12.75" x14ac:dyDescent="0.2">
      <c r="A76" s="65"/>
      <c r="B76" s="65"/>
      <c r="C76" s="65"/>
      <c r="D76" s="82"/>
      <c r="E76" s="83"/>
      <c r="F76" s="38"/>
      <c r="G76" s="84"/>
      <c r="H76" s="65"/>
      <c r="I76" s="65"/>
      <c r="J76" s="65"/>
      <c r="K76" s="65"/>
      <c r="L76" s="42"/>
      <c r="M76" s="65"/>
    </row>
    <row r="77" spans="1:13" s="4" customFormat="1" ht="12.75" x14ac:dyDescent="0.2">
      <c r="A77" s="65"/>
      <c r="B77" s="65"/>
      <c r="C77" s="65"/>
      <c r="D77" s="82"/>
      <c r="E77" s="83"/>
      <c r="F77" s="38"/>
      <c r="G77" s="84"/>
      <c r="H77" s="65"/>
      <c r="I77" s="65"/>
      <c r="J77" s="65"/>
      <c r="K77" s="65"/>
      <c r="L77" s="42"/>
      <c r="M77" s="65"/>
    </row>
    <row r="78" spans="1:13" s="4" customFormat="1" ht="12.75" x14ac:dyDescent="0.2">
      <c r="A78" s="65"/>
      <c r="B78" s="65"/>
      <c r="C78" s="65"/>
      <c r="D78" s="82"/>
      <c r="E78" s="83"/>
      <c r="F78" s="38"/>
      <c r="G78" s="84"/>
      <c r="H78" s="65"/>
      <c r="I78" s="65"/>
      <c r="J78" s="65"/>
      <c r="K78" s="65"/>
      <c r="L78" s="42"/>
      <c r="M78" s="65"/>
    </row>
    <row r="79" spans="1:13" s="4" customFormat="1" ht="12.75" x14ac:dyDescent="0.2">
      <c r="A79" s="65"/>
      <c r="B79" s="65"/>
      <c r="C79" s="65"/>
      <c r="D79" s="82"/>
      <c r="E79" s="83"/>
      <c r="F79" s="38"/>
      <c r="G79" s="84"/>
      <c r="H79" s="65"/>
      <c r="I79" s="65"/>
      <c r="J79" s="65"/>
      <c r="K79" s="65"/>
      <c r="L79" s="42"/>
      <c r="M79" s="65"/>
    </row>
    <row r="80" spans="1:13" s="4" customFormat="1" ht="12.75" x14ac:dyDescent="0.2">
      <c r="A80" s="65"/>
      <c r="B80" s="65"/>
      <c r="C80" s="65"/>
      <c r="D80" s="82"/>
      <c r="E80" s="83"/>
      <c r="F80" s="38"/>
      <c r="G80" s="84"/>
      <c r="H80" s="65"/>
      <c r="I80" s="65"/>
      <c r="J80" s="65"/>
      <c r="K80" s="65"/>
      <c r="L80" s="42"/>
      <c r="M80" s="65"/>
    </row>
    <row r="81" spans="1:13" s="4" customFormat="1" ht="12.75" x14ac:dyDescent="0.2"/>
    <row r="82" spans="1:13" s="4" customFormat="1" ht="12.75" x14ac:dyDescent="0.2"/>
    <row r="84" spans="1:13" s="4" customFormat="1" ht="12.75" x14ac:dyDescent="0.2">
      <c r="A84" s="85"/>
      <c r="B84" s="85"/>
      <c r="E84" s="85"/>
      <c r="F84" s="85"/>
      <c r="G84" s="85"/>
      <c r="H84" s="86"/>
      <c r="M84" s="85"/>
    </row>
    <row r="85" spans="1:13" s="4" customFormat="1" ht="12.75" x14ac:dyDescent="0.2">
      <c r="A85" s="85"/>
      <c r="B85" s="85"/>
      <c r="E85" s="85"/>
      <c r="F85" s="85"/>
      <c r="G85" s="85"/>
      <c r="H85" s="86"/>
      <c r="M85" s="85"/>
    </row>
    <row r="86" spans="1:13" s="4" customFormat="1" ht="12.75" x14ac:dyDescent="0.2">
      <c r="A86" s="87"/>
      <c r="B86" s="87"/>
    </row>
    <row r="87" spans="1:13" s="4" customFormat="1" ht="12.75" x14ac:dyDescent="0.2">
      <c r="A87" s="88"/>
      <c r="B87" s="88"/>
      <c r="E87" s="88"/>
      <c r="F87" s="87"/>
      <c r="G87" s="87"/>
      <c r="M87" s="89"/>
    </row>
    <row r="88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H88"/>
  <sheetViews>
    <sheetView zoomScale="140" zoomScaleNormal="140" workbookViewId="0">
      <pane xSplit="2" topLeftCell="C1" activePane="topRight" state="frozen"/>
      <selection pane="topRight" activeCell="O24" sqref="O24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116</v>
      </c>
      <c r="C1" s="6">
        <v>44154</v>
      </c>
      <c r="D1" s="7"/>
      <c r="E1" s="8" t="s">
        <v>117</v>
      </c>
      <c r="F1" s="9"/>
      <c r="G1" s="10"/>
      <c r="K1" s="11" t="s">
        <v>118</v>
      </c>
      <c r="L1" s="11" t="s">
        <v>119</v>
      </c>
      <c r="M1" s="12" t="s">
        <v>120</v>
      </c>
    </row>
    <row r="2" spans="1:17" x14ac:dyDescent="0.25">
      <c r="A2" s="5"/>
      <c r="B2" s="5" t="s">
        <v>121</v>
      </c>
      <c r="C2" s="13">
        <v>7.9</v>
      </c>
      <c r="D2" s="14"/>
      <c r="E2" s="15">
        <f>SUM(E28,E43,E51,E66,E30,E68)</f>
        <v>205657376.94400001</v>
      </c>
      <c r="F2" s="16"/>
      <c r="G2" s="17"/>
      <c r="H2" s="14"/>
      <c r="I2" s="14"/>
      <c r="J2" s="14"/>
      <c r="K2" s="15">
        <f>SUM(K28,K43,K51,K66,K30,K68:K68)</f>
        <v>202864154.11097869</v>
      </c>
      <c r="L2" s="18">
        <f>SUM(L51,L66,L43,L28,L30,L68)</f>
        <v>0.99999999999999989</v>
      </c>
      <c r="M2" s="19">
        <f>K2/$C$6</f>
        <v>7.7927028015781952</v>
      </c>
      <c r="N2" s="20"/>
    </row>
    <row r="3" spans="1:17" ht="26.25" x14ac:dyDescent="0.25">
      <c r="A3" s="5"/>
      <c r="B3" s="5" t="s">
        <v>122</v>
      </c>
      <c r="C3" s="21">
        <v>26032579.359999999</v>
      </c>
      <c r="D3" s="22"/>
      <c r="E3" s="8" t="s">
        <v>123</v>
      </c>
      <c r="F3" s="16"/>
      <c r="H3" s="14"/>
      <c r="I3" s="14"/>
      <c r="J3" s="14"/>
      <c r="K3" s="8" t="s">
        <v>123</v>
      </c>
      <c r="L3" s="14"/>
      <c r="M3" s="12" t="s">
        <v>124</v>
      </c>
      <c r="N3" s="23"/>
    </row>
    <row r="4" spans="1:17" x14ac:dyDescent="0.25">
      <c r="A4" s="5"/>
      <c r="B4" s="5" t="s">
        <v>125</v>
      </c>
      <c r="C4" s="21">
        <v>0</v>
      </c>
      <c r="D4" s="22"/>
      <c r="E4" s="15">
        <f>SUM(E28,E66,E30)</f>
        <v>43188049.158240013</v>
      </c>
      <c r="F4" s="16"/>
      <c r="G4" s="17"/>
      <c r="H4" s="14"/>
      <c r="I4" s="14"/>
      <c r="J4" s="14"/>
      <c r="K4" s="15">
        <f>SUM(K28,K30,K66)</f>
        <v>43184088.245087326</v>
      </c>
      <c r="L4" s="14"/>
      <c r="M4" s="19">
        <f>K4/$C$6</f>
        <v>1.6588478478410495</v>
      </c>
      <c r="N4" s="23"/>
    </row>
    <row r="5" spans="1:17" x14ac:dyDescent="0.25">
      <c r="A5" s="5"/>
      <c r="B5" s="5" t="s">
        <v>126</v>
      </c>
      <c r="C5" s="21">
        <v>0</v>
      </c>
      <c r="D5" s="22"/>
      <c r="E5" s="16"/>
      <c r="F5" s="16"/>
      <c r="G5" s="24">
        <f>SUM(D28,D30,D43,D51,D66,D68:D68)</f>
        <v>1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127</v>
      </c>
      <c r="C6" s="21">
        <f>C3+C4-C5</f>
        <v>26032579.359999999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128</v>
      </c>
      <c r="B8" s="30" t="s">
        <v>129</v>
      </c>
      <c r="C8" s="31" t="s">
        <v>1</v>
      </c>
      <c r="D8" s="31" t="s">
        <v>176</v>
      </c>
      <c r="E8" s="31" t="s">
        <v>131</v>
      </c>
      <c r="F8" s="31" t="s">
        <v>132</v>
      </c>
      <c r="G8" s="31" t="s">
        <v>133</v>
      </c>
      <c r="H8" s="31" t="s">
        <v>134</v>
      </c>
      <c r="I8" s="31" t="s">
        <v>135</v>
      </c>
      <c r="J8" s="31" t="s">
        <v>136</v>
      </c>
      <c r="K8" s="32" t="s">
        <v>137</v>
      </c>
      <c r="L8" s="32" t="s">
        <v>138</v>
      </c>
      <c r="M8" s="32" t="s">
        <v>139</v>
      </c>
      <c r="N8" s="33"/>
      <c r="Q8" s="35"/>
    </row>
    <row r="9" spans="1:17" s="46" customFormat="1" ht="12.75" customHeight="1" x14ac:dyDescent="0.25">
      <c r="A9" s="36" t="s">
        <v>140</v>
      </c>
      <c r="B9" s="36" t="s">
        <v>49</v>
      </c>
      <c r="C9" s="36" t="s">
        <v>50</v>
      </c>
      <c r="D9" s="37">
        <v>1.2E-2</v>
      </c>
      <c r="E9" s="38">
        <f>'Nov 19'!$D9*$C$6*$C$2</f>
        <v>2467888.5233279997</v>
      </c>
      <c r="F9" s="38">
        <v>483</v>
      </c>
      <c r="G9" s="39">
        <f>'Nov 19'!$E9/'Nov 19'!$F9</f>
        <v>5109.5000482981359</v>
      </c>
      <c r="H9" s="36">
        <v>5242</v>
      </c>
      <c r="I9" s="36">
        <f>ROUND(Table138958456799101112131445626789101112131415161718192021345678910111213141516171819202122233456789101112131415[[#This Row],[Target Quantity]],0)</f>
        <v>5110</v>
      </c>
      <c r="J9" s="40">
        <f t="shared" ref="J9:J26" si="0">I9-H9</f>
        <v>-132</v>
      </c>
      <c r="K9" s="41">
        <f>'Nov 19'!$F9*'Nov 19'!$I9</f>
        <v>2468130</v>
      </c>
      <c r="L9" s="42">
        <f>'Nov 19'!$K9/$K$2</f>
        <v>1.2166417526133212E-2</v>
      </c>
      <c r="M9" s="43"/>
    </row>
    <row r="10" spans="1:17" s="46" customFormat="1" ht="12.75" customHeight="1" x14ac:dyDescent="0.25">
      <c r="A10" s="36" t="s">
        <v>140</v>
      </c>
      <c r="B10" s="36" t="s">
        <v>37</v>
      </c>
      <c r="C10" s="36" t="s">
        <v>38</v>
      </c>
      <c r="D10" s="37">
        <v>1.2E-2</v>
      </c>
      <c r="E10" s="38">
        <f>'Nov 19'!$D10*$C$6*$C$2</f>
        <v>2467888.5233279997</v>
      </c>
      <c r="F10" s="38">
        <v>84.620005843254702</v>
      </c>
      <c r="G10" s="39">
        <f>'Nov 19'!$E10/'Nov 19'!$F10</f>
        <v>29164.362478293566</v>
      </c>
      <c r="H10" s="36">
        <v>27382</v>
      </c>
      <c r="I10" s="36">
        <f>ROUND(Table138958456799101112131445626789101112131415161718192021345678910111213141516171819202122233456789101112131415[[#This Row],[Target Quantity]],0)</f>
        <v>29164</v>
      </c>
      <c r="J10" s="40">
        <f t="shared" si="0"/>
        <v>1782</v>
      </c>
      <c r="K10" s="41">
        <f>'Nov 19'!$F10*'Nov 19'!$I10</f>
        <v>2467857.8504126803</v>
      </c>
      <c r="L10" s="42">
        <f>'Nov 19'!$K10/$K$2</f>
        <v>1.2165075990027375E-2</v>
      </c>
      <c r="M10" s="43"/>
    </row>
    <row r="11" spans="1:17" s="47" customFormat="1" ht="12.75" customHeight="1" x14ac:dyDescent="0.25">
      <c r="A11" s="36" t="s">
        <v>140</v>
      </c>
      <c r="B11" s="36" t="s">
        <v>27</v>
      </c>
      <c r="C11" s="36" t="s">
        <v>28</v>
      </c>
      <c r="D11" s="37">
        <v>1.2E-2</v>
      </c>
      <c r="E11" s="38">
        <f>'Nov 19'!$D11*$C$6*$C$2</f>
        <v>2467888.5233279997</v>
      </c>
      <c r="F11" s="38">
        <v>214.32003553976</v>
      </c>
      <c r="G11" s="39">
        <f>'Nov 19'!$E11/'Nov 19'!$F11</f>
        <v>11514.968804072285</v>
      </c>
      <c r="H11" s="36">
        <v>11255</v>
      </c>
      <c r="I11" s="36">
        <f>ROUND(Table138958456799101112131445626789101112131415161718192021345678910111213141516171819202122233456789101112131415[[#This Row],[Target Quantity]],0)</f>
        <v>11515</v>
      </c>
      <c r="J11" s="40">
        <f t="shared" si="0"/>
        <v>260</v>
      </c>
      <c r="K11" s="41">
        <f>'Nov 19'!$F11*'Nov 19'!$I11</f>
        <v>2467895.2092403364</v>
      </c>
      <c r="L11" s="42">
        <f>'Nov 19'!$K11/$K$2</f>
        <v>1.2165260146897375E-2</v>
      </c>
      <c r="M11" s="36"/>
    </row>
    <row r="12" spans="1:17" s="47" customFormat="1" ht="12.75" customHeight="1" x14ac:dyDescent="0.25">
      <c r="A12" s="36" t="s">
        <v>140</v>
      </c>
      <c r="B12" s="36" t="s">
        <v>51</v>
      </c>
      <c r="C12" s="36" t="s">
        <v>52</v>
      </c>
      <c r="D12" s="37">
        <v>1.2E-2</v>
      </c>
      <c r="E12" s="38">
        <f>'Nov 19'!$D12*$C$6*$C$2</f>
        <v>2467888.5233279997</v>
      </c>
      <c r="F12" s="38">
        <v>413.970025402202</v>
      </c>
      <c r="G12" s="39">
        <f>'Nov 19'!$E12/'Nov 19'!$F12</f>
        <v>5961.5150177365294</v>
      </c>
      <c r="H12" s="36">
        <v>5905</v>
      </c>
      <c r="I12" s="36">
        <f>ROUND(Table138958456799101112131445626789101112131415161718192021345678910111213141516171819202122233456789101112131415[[#This Row],[Target Quantity]],0)</f>
        <v>5962</v>
      </c>
      <c r="J12" s="40">
        <f t="shared" si="0"/>
        <v>57</v>
      </c>
      <c r="K12" s="41">
        <f>'Nov 19'!$F12*'Nov 19'!$I12</f>
        <v>2468089.2914479282</v>
      </c>
      <c r="L12" s="42">
        <f>'Nov 19'!$K12/$K$2</f>
        <v>1.2166216857107922E-2</v>
      </c>
      <c r="M12" s="36"/>
    </row>
    <row r="13" spans="1:17" s="47" customFormat="1" ht="12.75" customHeight="1" x14ac:dyDescent="0.25">
      <c r="A13" s="36" t="s">
        <v>140</v>
      </c>
      <c r="B13" s="36" t="s">
        <v>41</v>
      </c>
      <c r="C13" s="36" t="s">
        <v>42</v>
      </c>
      <c r="D13" s="37">
        <v>1.2E-2</v>
      </c>
      <c r="E13" s="38">
        <f>'Nov 19'!$D13*$C$6*$C$2</f>
        <v>2467888.5233279997</v>
      </c>
      <c r="F13" s="38">
        <v>1318.0900163666099</v>
      </c>
      <c r="G13" s="39">
        <f>'Nov 19'!$E13/'Nov 19'!$F13</f>
        <v>1872.3216872022708</v>
      </c>
      <c r="H13" s="36">
        <v>1833</v>
      </c>
      <c r="I13" s="36">
        <f>ROUND(Table138958456799101112131445626789101112131415161718192021345678910111213141516171819202122233456789101112131415[[#This Row],[Target Quantity]],0)</f>
        <v>1872</v>
      </c>
      <c r="J13" s="40">
        <f t="shared" si="0"/>
        <v>39</v>
      </c>
      <c r="K13" s="41">
        <f>'Nov 19'!$F13*'Nov 19'!$I13</f>
        <v>2467464.5106382938</v>
      </c>
      <c r="L13" s="42">
        <f>'Nov 19'!$K13/$K$2</f>
        <v>1.2163137058153925E-2</v>
      </c>
      <c r="M13" s="36"/>
    </row>
    <row r="14" spans="1:17" s="47" customFormat="1" ht="12.75" customHeight="1" x14ac:dyDescent="0.25">
      <c r="A14" s="36" t="s">
        <v>140</v>
      </c>
      <c r="B14" s="36" t="s">
        <v>31</v>
      </c>
      <c r="C14" s="36" t="s">
        <v>32</v>
      </c>
      <c r="D14" s="37">
        <v>1.2E-2</v>
      </c>
      <c r="E14" s="38">
        <f>'Nov 19'!$D14*$C$6*$C$2</f>
        <v>2467888.5233279997</v>
      </c>
      <c r="F14" s="38">
        <v>282.5</v>
      </c>
      <c r="G14" s="39">
        <f>'Nov 19'!$E14/'Nov 19'!$F14</f>
        <v>8735.8885781522113</v>
      </c>
      <c r="H14" s="36">
        <v>8310</v>
      </c>
      <c r="I14" s="36">
        <f>ROUND(Table138958456799101112131445626789101112131415161718192021345678910111213141516171819202122233456789101112131415[[#This Row],[Target Quantity]],0)</f>
        <v>8736</v>
      </c>
      <c r="J14" s="40">
        <f t="shared" si="0"/>
        <v>426</v>
      </c>
      <c r="K14" s="41">
        <f>'Nov 19'!$F14*'Nov 19'!$I14</f>
        <v>2467920</v>
      </c>
      <c r="L14" s="42">
        <f>'Nov 19'!$K14/$K$2</f>
        <v>1.2165382350643879E-2</v>
      </c>
      <c r="M14" s="36"/>
    </row>
    <row r="15" spans="1:17" s="47" customFormat="1" ht="12.75" customHeight="1" x14ac:dyDescent="0.25">
      <c r="A15" s="36" t="s">
        <v>140</v>
      </c>
      <c r="B15" s="36" t="s">
        <v>29</v>
      </c>
      <c r="C15" s="36" t="s">
        <v>30</v>
      </c>
      <c r="D15" s="37">
        <v>1.2E-2</v>
      </c>
      <c r="E15" s="38">
        <f>'Nov 19'!$D15*$C$6*$C$2</f>
        <v>2467888.5233279997</v>
      </c>
      <c r="F15" s="38">
        <v>20.4800014108352</v>
      </c>
      <c r="G15" s="39">
        <f>'Nov 19'!$E15/'Nov 19'!$F15</f>
        <v>120502.36100190562</v>
      </c>
      <c r="H15" s="36">
        <v>113408</v>
      </c>
      <c r="I15" s="36">
        <f>ROUND(Table138958456799101112131445626789101112131415161718192021345678910111213141516171819202122233456789101112131415[[#This Row],[Target Quantity]],0)</f>
        <v>120502</v>
      </c>
      <c r="J15" s="40">
        <f t="shared" si="0"/>
        <v>7094</v>
      </c>
      <c r="K15" s="41">
        <f>'Nov 19'!$F15*'Nov 19'!$I15</f>
        <v>2467881.1300084633</v>
      </c>
      <c r="L15" s="42">
        <f>'Nov 19'!$K15/$K$2</f>
        <v>1.2165190744631928E-2</v>
      </c>
      <c r="M15" s="36"/>
    </row>
    <row r="16" spans="1:17" s="47" customFormat="1" ht="12.75" customHeight="1" x14ac:dyDescent="0.25">
      <c r="A16" s="36" t="s">
        <v>140</v>
      </c>
      <c r="B16" s="36" t="s">
        <v>39</v>
      </c>
      <c r="C16" s="36" t="s">
        <v>40</v>
      </c>
      <c r="D16" s="37">
        <v>6.0000000000000001E-3</v>
      </c>
      <c r="E16" s="38">
        <f>'Nov 19'!$D16*$C$6*$C$2</f>
        <v>1233944.2616639999</v>
      </c>
      <c r="F16" s="38">
        <v>39.1199881023201</v>
      </c>
      <c r="G16" s="39">
        <f>'Nov 19'!$E16/'Nov 19'!$F16</f>
        <v>31542.552069202138</v>
      </c>
      <c r="H16" s="36">
        <v>33620</v>
      </c>
      <c r="I16" s="36">
        <f>ROUND(Table138958456799101112131445626789101112131415161718192021345678910111213141516171819202122233456789101112131415[[#This Row],[Target Quantity]],0)</f>
        <v>31543</v>
      </c>
      <c r="J16" s="40">
        <f t="shared" si="0"/>
        <v>-2077</v>
      </c>
      <c r="K16" s="41">
        <f>'Nov 19'!$F16*'Nov 19'!$I16</f>
        <v>1233961.7847114829</v>
      </c>
      <c r="L16" s="42">
        <f>'Nov 19'!$K16/$K$2</f>
        <v>6.0826999728913807E-3</v>
      </c>
      <c r="M16" s="36"/>
    </row>
    <row r="17" spans="1:15" s="47" customFormat="1" ht="12.75" customHeight="1" x14ac:dyDescent="0.25">
      <c r="A17" s="36" t="s">
        <v>140</v>
      </c>
      <c r="B17" s="36" t="s">
        <v>19</v>
      </c>
      <c r="C17" s="36" t="s">
        <v>20</v>
      </c>
      <c r="D17" s="37">
        <v>1.2E-2</v>
      </c>
      <c r="E17" s="38">
        <f>'Nov 19'!$D17*$C$6*$C$2</f>
        <v>2467888.5233279997</v>
      </c>
      <c r="F17" s="38">
        <v>444.609954579864</v>
      </c>
      <c r="G17" s="39">
        <f>'Nov 19'!$E17/'Nov 19'!$F17</f>
        <v>5550.6821156535761</v>
      </c>
      <c r="H17" s="36">
        <v>5284</v>
      </c>
      <c r="I17" s="36">
        <f>ROUND(Table138958456799101112131445626789101112131415161718192021345678910111213141516171819202122233456789101112131415[[#This Row],[Target Quantity]],0)</f>
        <v>5551</v>
      </c>
      <c r="J17" s="40">
        <f t="shared" si="0"/>
        <v>267</v>
      </c>
      <c r="K17" s="41">
        <f>'Nov 19'!$F17*'Nov 19'!$I17</f>
        <v>2468029.8578728251</v>
      </c>
      <c r="L17" s="42">
        <f>'Nov 19'!$K17/$K$2</f>
        <v>1.2165923884821302E-2</v>
      </c>
      <c r="M17" s="36"/>
    </row>
    <row r="18" spans="1:15" s="47" customFormat="1" ht="12.75" customHeight="1" x14ac:dyDescent="0.25">
      <c r="A18" s="36" t="s">
        <v>140</v>
      </c>
      <c r="B18" s="36" t="s">
        <v>33</v>
      </c>
      <c r="C18" s="36" t="s">
        <v>34</v>
      </c>
      <c r="D18" s="37">
        <v>6.0000000000000001E-3</v>
      </c>
      <c r="E18" s="38">
        <f>'Nov 19'!$D18*$C$6*$C$2</f>
        <v>1233944.2616639999</v>
      </c>
      <c r="F18" s="38">
        <v>23.669996292787399</v>
      </c>
      <c r="G18" s="39">
        <f>'Nov 19'!$E18/'Nov 19'!$F18</f>
        <v>52131.155679141404</v>
      </c>
      <c r="H18" s="36">
        <v>48554</v>
      </c>
      <c r="I18" s="36">
        <f>ROUND(Table138958456799101112131445626789101112131415161718192021345678910111213141516171819202122233456789101112131415[[#This Row],[Target Quantity]],0)</f>
        <v>52131</v>
      </c>
      <c r="J18" s="40">
        <f t="shared" si="0"/>
        <v>3577</v>
      </c>
      <c r="K18" s="41">
        <f>'Nov 19'!$F18*'Nov 19'!$I18</f>
        <v>1233940.5767392998</v>
      </c>
      <c r="L18" s="42">
        <f>'Nov 19'!$K18/$K$2</f>
        <v>6.0825954301628928E-3</v>
      </c>
      <c r="M18" s="36"/>
    </row>
    <row r="19" spans="1:15" s="47" customFormat="1" ht="12.75" customHeight="1" x14ac:dyDescent="0.25">
      <c r="A19" s="36" t="s">
        <v>140</v>
      </c>
      <c r="B19" s="36" t="s">
        <v>21</v>
      </c>
      <c r="C19" s="36" t="s">
        <v>22</v>
      </c>
      <c r="D19" s="37">
        <v>1.2E-2</v>
      </c>
      <c r="E19" s="38">
        <f>'Nov 19'!$D19*$C$6*$C$2</f>
        <v>2467888.5233279997</v>
      </c>
      <c r="F19" s="38">
        <v>39.390002030731701</v>
      </c>
      <c r="G19" s="39">
        <f>'Nov 19'!$E19/'Nov 19'!$F19</f>
        <v>62652.663013385398</v>
      </c>
      <c r="H19" s="36">
        <v>59092</v>
      </c>
      <c r="I19" s="36">
        <f>ROUND(Table138958456799101112131445626789101112131415161718192021345678910111213141516171819202122233456789101112131415[[#This Row],[Target Quantity]],0)</f>
        <v>62653</v>
      </c>
      <c r="J19" s="40">
        <f t="shared" si="0"/>
        <v>3561</v>
      </c>
      <c r="K19" s="41">
        <f>'Nov 19'!$F19*'Nov 19'!$I19</f>
        <v>2467901.7972314334</v>
      </c>
      <c r="L19" s="42">
        <f>'Nov 19'!$K19/$K$2</f>
        <v>1.2165292621787411E-2</v>
      </c>
      <c r="M19" s="36"/>
    </row>
    <row r="20" spans="1:15" s="47" customFormat="1" ht="12.75" customHeight="1" x14ac:dyDescent="0.25">
      <c r="A20" s="36" t="s">
        <v>140</v>
      </c>
      <c r="B20" s="36" t="s">
        <v>45</v>
      </c>
      <c r="C20" s="36" t="s">
        <v>46</v>
      </c>
      <c r="D20" s="37">
        <v>6.0000000000000001E-3</v>
      </c>
      <c r="E20" s="38">
        <f>'Nov 19'!$D20*$C$6*$C$2</f>
        <v>1233944.2616639999</v>
      </c>
      <c r="F20" s="38">
        <v>67.5799943486861</v>
      </c>
      <c r="G20" s="39">
        <f>'Nov 19'!$E20/'Nov 19'!$F20</f>
        <v>18259.016940684167</v>
      </c>
      <c r="H20" s="36">
        <v>17695</v>
      </c>
      <c r="I20" s="36">
        <f>ROUND(Table138958456799101112131445626789101112131415161718192021345678910111213141516171819202122233456789101112131415[[#This Row],[Target Quantity]],0)</f>
        <v>18259</v>
      </c>
      <c r="J20" s="40">
        <f t="shared" si="0"/>
        <v>564</v>
      </c>
      <c r="K20" s="41">
        <f>'Nov 19'!$F20*'Nov 19'!$I20</f>
        <v>1233943.1168126594</v>
      </c>
      <c r="L20" s="42">
        <f>'Nov 19'!$K20/$K$2</f>
        <v>6.0826079512185261E-3</v>
      </c>
      <c r="M20" s="36"/>
    </row>
    <row r="21" spans="1:15" s="47" customFormat="1" ht="12.75" customHeight="1" x14ac:dyDescent="0.25">
      <c r="A21" s="36" t="s">
        <v>140</v>
      </c>
      <c r="B21" s="36" t="s">
        <v>23</v>
      </c>
      <c r="C21" s="36" t="s">
        <v>24</v>
      </c>
      <c r="D21" s="37">
        <v>1.2E-2</v>
      </c>
      <c r="E21" s="38">
        <f>'Nov 19'!$D21*$C$6*$C$2</f>
        <v>2467888.5233279997</v>
      </c>
      <c r="F21" s="38">
        <v>257.32997726534597</v>
      </c>
      <c r="G21" s="39">
        <f>'Nov 19'!$E21/'Nov 19'!$F21</f>
        <v>9590.3654504396691</v>
      </c>
      <c r="H21" s="36">
        <v>9237</v>
      </c>
      <c r="I21" s="36">
        <f>ROUND(Table138958456799101112131445626789101112131415161718192021345678910111213141516171819202122233456789101112131415[[#This Row],[Target Quantity]],0)</f>
        <v>9590</v>
      </c>
      <c r="J21" s="40">
        <f t="shared" si="0"/>
        <v>353</v>
      </c>
      <c r="K21" s="41">
        <f>'Nov 19'!$F21*'Nov 19'!$I21</f>
        <v>2467794.4819746679</v>
      </c>
      <c r="L21" s="42">
        <f>'Nov 19'!$K21/$K$2</f>
        <v>1.2164763621199625E-2</v>
      </c>
      <c r="M21" s="36"/>
    </row>
    <row r="22" spans="1:15" s="47" customFormat="1" ht="12.75" customHeight="1" x14ac:dyDescent="0.25">
      <c r="A22" s="36" t="s">
        <v>140</v>
      </c>
      <c r="B22" s="36" t="s">
        <v>47</v>
      </c>
      <c r="C22" s="36" t="s">
        <v>48</v>
      </c>
      <c r="D22" s="37">
        <v>6.0000000000000001E-3</v>
      </c>
      <c r="E22" s="38">
        <f>'Nov 19'!$D22*$C$6*$C$2</f>
        <v>1233944.2616639999</v>
      </c>
      <c r="F22" s="38">
        <v>347.50014607069801</v>
      </c>
      <c r="G22" s="39">
        <f>'Nov 19'!$E22/'Nov 19'!$F22</f>
        <v>3550.9172459828465</v>
      </c>
      <c r="H22" s="36">
        <v>3423</v>
      </c>
      <c r="I22" s="36">
        <f>ROUND(Table138958456799101112131445626789101112131415161718192021345678910111213141516171819202122233456789101112131415[[#This Row],[Target Quantity]],0)</f>
        <v>3551</v>
      </c>
      <c r="J22" s="40">
        <f t="shared" si="0"/>
        <v>128</v>
      </c>
      <c r="K22" s="41">
        <f>'Nov 19'!$F22*'Nov 19'!$I22</f>
        <v>1233973.0186970485</v>
      </c>
      <c r="L22" s="42">
        <f>'Nov 19'!$K22/$K$2</f>
        <v>6.0827553497795001E-3</v>
      </c>
      <c r="M22" s="36"/>
    </row>
    <row r="23" spans="1:15" s="47" customFormat="1" ht="12.75" customHeight="1" x14ac:dyDescent="0.25">
      <c r="A23" s="36" t="s">
        <v>140</v>
      </c>
      <c r="B23" s="36" t="s">
        <v>15</v>
      </c>
      <c r="C23" s="36" t="s">
        <v>16</v>
      </c>
      <c r="D23" s="37">
        <v>6.0000000000000001E-3</v>
      </c>
      <c r="E23" s="38">
        <f>'Nov 19'!$D23*$C$6*$C$2</f>
        <v>1233944.2616639999</v>
      </c>
      <c r="F23" s="38">
        <v>126.54002145922701</v>
      </c>
      <c r="G23" s="39">
        <f>'Nov 19'!$E23/'Nov 19'!$F23</f>
        <v>9751.4149866142889</v>
      </c>
      <c r="H23" s="36">
        <v>9320</v>
      </c>
      <c r="I23" s="36">
        <f>ROUND(Table138958456799101112131445626789101112131415161718192021345678910111213141516171819202122233456789101112131415[[#This Row],[Target Quantity]],0)</f>
        <v>9751</v>
      </c>
      <c r="J23" s="40">
        <f t="shared" si="0"/>
        <v>431</v>
      </c>
      <c r="K23" s="41">
        <f>'Nov 19'!$F23*'Nov 19'!$I23</f>
        <v>1233891.7492489226</v>
      </c>
      <c r="L23" s="42">
        <f>'Nov 19'!$K23/$K$2</f>
        <v>6.0823547395855394E-3</v>
      </c>
      <c r="M23" s="36"/>
    </row>
    <row r="24" spans="1:15" s="47" customFormat="1" ht="12.75" customHeight="1" x14ac:dyDescent="0.25">
      <c r="A24" s="36" t="s">
        <v>140</v>
      </c>
      <c r="B24" s="36" t="s">
        <v>43</v>
      </c>
      <c r="C24" s="36" t="s">
        <v>44</v>
      </c>
      <c r="D24" s="37">
        <v>1.2E-2</v>
      </c>
      <c r="E24" s="38">
        <f>'Nov 19'!$D24*$C$6*$C$2</f>
        <v>2467888.5233279997</v>
      </c>
      <c r="F24" s="38">
        <v>265.04004854368901</v>
      </c>
      <c r="G24" s="39">
        <f>'Nov 19'!$E24/'Nov 19'!$F24</f>
        <v>9311.3796835167523</v>
      </c>
      <c r="H24" s="36">
        <v>9064</v>
      </c>
      <c r="I24" s="36">
        <f>ROUND(Table138958456799101112131445626789101112131415161718192021345678910111213141516171819202122233456789101112131415[[#This Row],[Target Quantity]],0)</f>
        <v>9311</v>
      </c>
      <c r="J24" s="40">
        <f t="shared" si="0"/>
        <v>247</v>
      </c>
      <c r="K24" s="41">
        <f>'Nov 19'!$F24*'Nov 19'!$I24</f>
        <v>2467787.8919902882</v>
      </c>
      <c r="L24" s="42">
        <f>'Nov 19'!$K24/$K$2</f>
        <v>1.2164731136483887E-2</v>
      </c>
      <c r="M24" s="36"/>
    </row>
    <row r="25" spans="1:15" s="47" customFormat="1" ht="12.75" customHeight="1" x14ac:dyDescent="0.25">
      <c r="A25" s="36" t="s">
        <v>140</v>
      </c>
      <c r="B25" s="36" t="s">
        <v>25</v>
      </c>
      <c r="C25" s="36" t="s">
        <v>26</v>
      </c>
      <c r="D25" s="37">
        <v>6.0000000000000001E-3</v>
      </c>
      <c r="E25" s="38">
        <f>'Nov 19'!$D25*$C$6*$C$2</f>
        <v>1233944.2616639999</v>
      </c>
      <c r="F25" s="38">
        <v>75.529990356798393</v>
      </c>
      <c r="G25" s="39">
        <f>'Nov 19'!$E25/'Nov 19'!$F25</f>
        <v>16337.143111430751</v>
      </c>
      <c r="H25" s="36">
        <v>15555</v>
      </c>
      <c r="I25" s="36">
        <f>ROUND(Table138958456799101112131445626789101112131415161718192021345678910111213141516171819202122233456789101112131415[[#This Row],[Target Quantity]],0)</f>
        <v>16337</v>
      </c>
      <c r="J25" s="40">
        <f t="shared" si="0"/>
        <v>782</v>
      </c>
      <c r="K25" s="41">
        <f>'Nov 19'!$F25*'Nov 19'!$I25</f>
        <v>1233933.4524590154</v>
      </c>
      <c r="L25" s="42">
        <f>'Nov 19'!$K25/$K$2</f>
        <v>6.0825603116851333E-3</v>
      </c>
      <c r="M25" s="36"/>
    </row>
    <row r="26" spans="1:15" s="47" customFormat="1" ht="12.75" customHeight="1" x14ac:dyDescent="0.25">
      <c r="A26" s="36" t="s">
        <v>140</v>
      </c>
      <c r="B26" s="47" t="s">
        <v>11</v>
      </c>
      <c r="C26" s="36" t="s">
        <v>12</v>
      </c>
      <c r="D26" s="37">
        <v>1.2E-2</v>
      </c>
      <c r="E26" s="38">
        <f>'Nov 19'!$D26*$C$6*$C$2</f>
        <v>2467888.5233279997</v>
      </c>
      <c r="F26" s="38">
        <v>2.4392650651465799</v>
      </c>
      <c r="G26" s="39">
        <f>'Nov 19'!$E26/'Nov 19'!$F26</f>
        <v>1011734.4599364809</v>
      </c>
      <c r="H26" s="36">
        <v>982400</v>
      </c>
      <c r="I26" s="36">
        <f>ROUND(Table138958456799101112131445626789101112131415161718192021345678910111213141516171819202122233456789101112131415[[#This Row],[Target Quantity]],-2)</f>
        <v>1011700</v>
      </c>
      <c r="J26" s="40">
        <f t="shared" si="0"/>
        <v>29300</v>
      </c>
      <c r="K26" s="41">
        <f>'Nov 19'!$F26*'Nov 19'!$I26</f>
        <v>2467804.4664087947</v>
      </c>
      <c r="L26" s="42">
        <f>'Nov 19'!$K26/$K$2</f>
        <v>1.2164812838540019E-2</v>
      </c>
      <c r="M26" s="36"/>
    </row>
    <row r="27" spans="1:15" s="47" customFormat="1" ht="12.75" customHeight="1" x14ac:dyDescent="0.25">
      <c r="A27" s="36"/>
      <c r="B27" s="36"/>
      <c r="C27" s="36"/>
      <c r="D27" s="37"/>
      <c r="E27" s="38"/>
      <c r="F27" s="38"/>
      <c r="G27" s="39"/>
      <c r="H27" s="36"/>
      <c r="I27" s="36"/>
      <c r="J27" s="48"/>
      <c r="K27" s="38"/>
      <c r="L27" s="49"/>
      <c r="M27" s="36"/>
    </row>
    <row r="28" spans="1:15" s="56" customFormat="1" ht="12.75" customHeight="1" x14ac:dyDescent="0.25">
      <c r="A28" s="50" t="s">
        <v>149</v>
      </c>
      <c r="B28" s="50"/>
      <c r="C28" s="50"/>
      <c r="D28" s="51">
        <f>SUM(D9:D27)</f>
        <v>0.18000000000000005</v>
      </c>
      <c r="E28" s="52">
        <f>'Nov 19'!$D28*$C$6*$C$2</f>
        <v>37018327.849920012</v>
      </c>
      <c r="F28" s="53"/>
      <c r="G28" s="53"/>
      <c r="H28" s="50"/>
      <c r="I28" s="50"/>
      <c r="J28" s="54"/>
      <c r="K28" s="52">
        <f>SUM(K9:K27)</f>
        <v>37018200.185894147</v>
      </c>
      <c r="L28" s="55">
        <f>'Nov 19'!$K28/$K$2</f>
        <v>0.18247777853175087</v>
      </c>
      <c r="M28" s="50"/>
    </row>
    <row r="29" spans="1:15" s="47" customFormat="1" ht="12.75" customHeight="1" x14ac:dyDescent="0.25">
      <c r="A29" s="36"/>
      <c r="B29" s="36"/>
      <c r="C29" s="36"/>
      <c r="D29" s="37"/>
      <c r="E29" s="38"/>
      <c r="F29" s="38"/>
      <c r="G29" s="39"/>
      <c r="H29" s="36"/>
      <c r="I29" s="36"/>
      <c r="J29" s="48"/>
      <c r="K29" s="38"/>
      <c r="L29" s="42"/>
      <c r="M29" s="36"/>
    </row>
    <row r="30" spans="1:15" s="46" customFormat="1" ht="12.75" customHeight="1" x14ac:dyDescent="0.25">
      <c r="A30" s="57"/>
      <c r="B30" s="50" t="s">
        <v>35</v>
      </c>
      <c r="C30" s="57" t="s">
        <v>36</v>
      </c>
      <c r="D30" s="58">
        <v>0.02</v>
      </c>
      <c r="E30" s="59">
        <f>'Nov 19'!$D30*$C$6*$C$2</f>
        <v>4113147.5388800004</v>
      </c>
      <c r="F30" s="53">
        <v>17.769999413275301</v>
      </c>
      <c r="G30" s="60">
        <f>'Nov 19'!$E30/'Nov 19'!$F30</f>
        <v>231465.82299868969</v>
      </c>
      <c r="H30" s="57">
        <v>221569</v>
      </c>
      <c r="I30" s="57">
        <f>ROUND(Table138958456799101112131445626789101112131415161718192021345678910111213141516171819202122233456789101112131415[[#This Row],[Target Quantity]],0)</f>
        <v>231466</v>
      </c>
      <c r="J30" s="61">
        <f>I30-H30</f>
        <v>9897</v>
      </c>
      <c r="K30" s="62">
        <f>'Nov 19'!$F30*'Nov 19'!$I30</f>
        <v>4113150.6841931809</v>
      </c>
      <c r="L30" s="55">
        <f>'Nov 19'!$K30/$K$2</f>
        <v>2.0275394153385244E-2</v>
      </c>
      <c r="M30" s="50"/>
      <c r="O30" s="44"/>
    </row>
    <row r="31" spans="1:15" s="46" customFormat="1" ht="12.75" customHeight="1" x14ac:dyDescent="0.25">
      <c r="A31" s="36"/>
      <c r="B31" s="36"/>
      <c r="C31" s="36"/>
      <c r="D31" s="37"/>
      <c r="E31" s="38"/>
      <c r="F31" s="38"/>
      <c r="G31" s="39"/>
      <c r="H31" s="36"/>
      <c r="I31" s="36"/>
      <c r="J31" s="48"/>
      <c r="K31" s="41"/>
      <c r="L31" s="42"/>
      <c r="M31" s="36"/>
      <c r="O31" s="44"/>
    </row>
    <row r="32" spans="1:15" s="4" customFormat="1" ht="25.5" x14ac:dyDescent="0.2">
      <c r="A32" s="36" t="s">
        <v>150</v>
      </c>
      <c r="B32" s="63" t="s">
        <v>98</v>
      </c>
      <c r="C32" s="64" t="s">
        <v>99</v>
      </c>
      <c r="D32" s="37">
        <v>2.9000000000000001E-2</v>
      </c>
      <c r="E32" s="38">
        <f>'Nov 19'!$D32*$C$6*$C$2</f>
        <v>5964063.9313760009</v>
      </c>
      <c r="F32" s="38">
        <v>157628.459459459</v>
      </c>
      <c r="G32" s="39">
        <f>'Nov 19'!$E32/'Nov 19'!$F32</f>
        <v>37.836212774190813</v>
      </c>
      <c r="H32" s="36">
        <v>37</v>
      </c>
      <c r="I32" s="36">
        <v>39</v>
      </c>
      <c r="J32" s="40">
        <f t="shared" ref="J32:J41" si="1">I32-H32</f>
        <v>2</v>
      </c>
      <c r="K32" s="41">
        <f>'Nov 19'!$F32*'Nov 19'!$I32</f>
        <v>6147509.9189189011</v>
      </c>
      <c r="L32" s="42">
        <f>'Nov 19'!$K32/$K$2</f>
        <v>3.0303578992845869E-2</v>
      </c>
      <c r="M32" s="65"/>
    </row>
    <row r="33" spans="1:13" s="4" customFormat="1" ht="25.5" x14ac:dyDescent="0.2">
      <c r="A33" s="36" t="s">
        <v>150</v>
      </c>
      <c r="B33" s="63" t="s">
        <v>102</v>
      </c>
      <c r="C33" s="64" t="s">
        <v>103</v>
      </c>
      <c r="D33" s="37">
        <v>2.9000000000000001E-2</v>
      </c>
      <c r="E33" s="38">
        <f>'Nov 19'!$D33*$C$6*$C$2</f>
        <v>5964063.9313760009</v>
      </c>
      <c r="F33" s="38">
        <v>217750</v>
      </c>
      <c r="G33" s="39">
        <f>'Nov 19'!$E33/'Nov 19'!$F33</f>
        <v>27.389501407008041</v>
      </c>
      <c r="H33" s="36">
        <v>27</v>
      </c>
      <c r="I33" s="36">
        <v>27</v>
      </c>
      <c r="J33" s="40">
        <f t="shared" si="1"/>
        <v>0</v>
      </c>
      <c r="K33" s="41">
        <f>'Nov 19'!$F33*'Nov 19'!$I33</f>
        <v>5879250</v>
      </c>
      <c r="L33" s="42">
        <f>'Nov 19'!$K33/$K$2</f>
        <v>2.8981216646010818E-2</v>
      </c>
      <c r="M33" s="65"/>
    </row>
    <row r="34" spans="1:13" s="4" customFormat="1" ht="25.5" x14ac:dyDescent="0.2">
      <c r="A34" s="36" t="s">
        <v>150</v>
      </c>
      <c r="B34" s="63" t="s">
        <v>104</v>
      </c>
      <c r="C34" s="64" t="s">
        <v>105</v>
      </c>
      <c r="D34" s="37">
        <v>2.9000000000000001E-2</v>
      </c>
      <c r="E34" s="38">
        <f>'Nov 19'!$D34*$C$6*$C$2</f>
        <v>5964063.9313760009</v>
      </c>
      <c r="F34" s="38">
        <v>173276.24242424199</v>
      </c>
      <c r="G34" s="39">
        <f>'Nov 19'!$E34/'Nov 19'!$F34</f>
        <v>34.419397881296661</v>
      </c>
      <c r="H34" s="36">
        <v>33</v>
      </c>
      <c r="I34" s="36">
        <v>34</v>
      </c>
      <c r="J34" s="40">
        <f t="shared" si="1"/>
        <v>1</v>
      </c>
      <c r="K34" s="41">
        <f>'Nov 19'!$F34*'Nov 19'!$I34</f>
        <v>5891392.2424242282</v>
      </c>
      <c r="L34" s="42">
        <f>'Nov 19'!$K34/$K$2</f>
        <v>2.9041070701930356E-2</v>
      </c>
      <c r="M34" s="65"/>
    </row>
    <row r="35" spans="1:13" s="4" customFormat="1" ht="25.5" x14ac:dyDescent="0.2">
      <c r="A35" s="36" t="s">
        <v>150</v>
      </c>
      <c r="B35" s="63" t="s">
        <v>106</v>
      </c>
      <c r="C35" s="64" t="s">
        <v>107</v>
      </c>
      <c r="D35" s="37">
        <v>2.9000000000000001E-2</v>
      </c>
      <c r="E35" s="38">
        <f>'Nov 19'!$D35*$C$6*$C$2</f>
        <v>5964063.9313760009</v>
      </c>
      <c r="F35" s="38">
        <v>125554.69565217401</v>
      </c>
      <c r="G35" s="39">
        <f>'Nov 19'!$E35/'Nov 19'!$F35</f>
        <v>47.501719472908711</v>
      </c>
      <c r="H35" s="36">
        <v>46</v>
      </c>
      <c r="I35" s="36">
        <v>48</v>
      </c>
      <c r="J35" s="40">
        <f t="shared" si="1"/>
        <v>2</v>
      </c>
      <c r="K35" s="41">
        <f>'Nov 19'!$F35*'Nov 19'!$I35</f>
        <v>6026625.3913043523</v>
      </c>
      <c r="L35" s="42">
        <f>'Nov 19'!$K35/$K$2</f>
        <v>2.9707689945102041E-2</v>
      </c>
      <c r="M35" s="65"/>
    </row>
    <row r="36" spans="1:13" s="4" customFormat="1" ht="25.5" x14ac:dyDescent="0.2">
      <c r="A36" s="36" t="s">
        <v>150</v>
      </c>
      <c r="B36" s="63" t="s">
        <v>108</v>
      </c>
      <c r="C36" s="64" t="s">
        <v>109</v>
      </c>
      <c r="D36" s="37">
        <v>2.9000000000000001E-2</v>
      </c>
      <c r="E36" s="38">
        <f>'Nov 19'!$D36*$C$6*$C$2</f>
        <v>5964063.9313760009</v>
      </c>
      <c r="F36" s="38">
        <v>138375</v>
      </c>
      <c r="G36" s="39">
        <f>'Nov 19'!$E36/'Nov 19'!$F36</f>
        <v>43.100733018074081</v>
      </c>
      <c r="H36" s="36">
        <v>42</v>
      </c>
      <c r="I36" s="36">
        <v>43</v>
      </c>
      <c r="J36" s="40">
        <f t="shared" si="1"/>
        <v>1</v>
      </c>
      <c r="K36" s="41">
        <f>'Nov 19'!$F36*'Nov 19'!$I36</f>
        <v>5950125</v>
      </c>
      <c r="L36" s="42">
        <f>'Nov 19'!$K36/$K$2</f>
        <v>2.9330588373660777E-2</v>
      </c>
      <c r="M36" s="65"/>
    </row>
    <row r="37" spans="1:13" s="4" customFormat="1" ht="25.5" x14ac:dyDescent="0.2">
      <c r="A37" s="36" t="s">
        <v>150</v>
      </c>
      <c r="B37" s="63" t="s">
        <v>114</v>
      </c>
      <c r="C37" s="64" t="s">
        <v>115</v>
      </c>
      <c r="D37" s="37">
        <v>2.9000000000000001E-2</v>
      </c>
      <c r="E37" s="38">
        <f>'Nov 19'!$D37*$C$6*$C$2</f>
        <v>5964063.9313760009</v>
      </c>
      <c r="F37" s="38">
        <v>220747.461538462</v>
      </c>
      <c r="G37" s="39">
        <f>'Nov 19'!$E37/'Nov 19'!$F37</f>
        <v>27.017587834580151</v>
      </c>
      <c r="H37" s="36">
        <v>26</v>
      </c>
      <c r="I37" s="36">
        <v>27</v>
      </c>
      <c r="J37" s="40">
        <f t="shared" si="1"/>
        <v>1</v>
      </c>
      <c r="K37" s="41">
        <f>'Nov 19'!$F37*'Nov 19'!$I37</f>
        <v>5960181.4615384741</v>
      </c>
      <c r="L37" s="42">
        <f>'Nov 19'!$K37/$K$2</f>
        <v>2.9380160766489589E-2</v>
      </c>
      <c r="M37" s="65"/>
    </row>
    <row r="38" spans="1:13" s="46" customFormat="1" ht="25.5" customHeight="1" x14ac:dyDescent="0.25">
      <c r="A38" s="36" t="s">
        <v>151</v>
      </c>
      <c r="B38" s="36" t="s">
        <v>62</v>
      </c>
      <c r="C38" s="36" t="s">
        <v>63</v>
      </c>
      <c r="D38" s="37">
        <v>2.9000000000000001E-2</v>
      </c>
      <c r="E38" s="38">
        <f>'Nov 19'!$D38*$C$6*$C$2</f>
        <v>5964063.9313760009</v>
      </c>
      <c r="F38" s="38">
        <v>113595.26</v>
      </c>
      <c r="G38" s="39">
        <f>'Nov 19'!$E38/'Nov 19'!$F38</f>
        <v>52.502753472072698</v>
      </c>
      <c r="H38" s="36">
        <v>50</v>
      </c>
      <c r="I38" s="36">
        <v>53</v>
      </c>
      <c r="J38" s="40">
        <f t="shared" si="1"/>
        <v>3</v>
      </c>
      <c r="K38" s="41">
        <f>'Nov 19'!$F38*'Nov 19'!$I38</f>
        <v>6020548.7799999993</v>
      </c>
      <c r="L38" s="42">
        <f>'Nov 19'!$K38/$K$2</f>
        <v>2.9677735854242653E-2</v>
      </c>
      <c r="M38" s="43"/>
    </row>
    <row r="39" spans="1:13" s="46" customFormat="1" ht="25.5" x14ac:dyDescent="0.25">
      <c r="A39" s="36" t="s">
        <v>151</v>
      </c>
      <c r="B39" s="36" t="s">
        <v>60</v>
      </c>
      <c r="C39" s="36" t="s">
        <v>61</v>
      </c>
      <c r="D39" s="37">
        <v>2.9000000000000001E-2</v>
      </c>
      <c r="E39" s="38">
        <f>'Nov 19'!$D39*$C$6*$C$2</f>
        <v>5964063.9313760009</v>
      </c>
      <c r="F39" s="38">
        <v>134792.48837209301</v>
      </c>
      <c r="G39" s="39">
        <f>'Nov 19'!$E39/'Nov 19'!$F39</f>
        <v>44.24626330001621</v>
      </c>
      <c r="H39" s="36">
        <v>43</v>
      </c>
      <c r="I39" s="36">
        <v>44</v>
      </c>
      <c r="J39" s="40">
        <f t="shared" si="1"/>
        <v>1</v>
      </c>
      <c r="K39" s="41">
        <f>'Nov 19'!$F39*'Nov 19'!$I39</f>
        <v>5930869.4883720921</v>
      </c>
      <c r="L39" s="42">
        <f>'Nov 19'!$K39/$K$2</f>
        <v>2.923567011808087E-2</v>
      </c>
      <c r="M39" s="43"/>
    </row>
    <row r="40" spans="1:13" s="46" customFormat="1" ht="25.5" x14ac:dyDescent="0.25">
      <c r="A40" s="36" t="s">
        <v>151</v>
      </c>
      <c r="B40" s="36" t="s">
        <v>56</v>
      </c>
      <c r="C40" s="36" t="s">
        <v>57</v>
      </c>
      <c r="D40" s="37">
        <v>2.9000000000000001E-2</v>
      </c>
      <c r="E40" s="38">
        <f>'Nov 19'!$D40*$C$6*$C$2</f>
        <v>5964063.9313760009</v>
      </c>
      <c r="F40" s="38">
        <v>178279.25</v>
      </c>
      <c r="G40" s="39">
        <f>'Nov 19'!$E40/'Nov 19'!$F40</f>
        <v>33.453494623608755</v>
      </c>
      <c r="H40" s="36">
        <v>32</v>
      </c>
      <c r="I40" s="36">
        <v>33</v>
      </c>
      <c r="J40" s="40">
        <f t="shared" si="1"/>
        <v>1</v>
      </c>
      <c r="K40" s="41">
        <f>'Nov 19'!$F40*'Nov 19'!$I40</f>
        <v>5883215.25</v>
      </c>
      <c r="L40" s="42">
        <f>'Nov 19'!$K40/$K$2</f>
        <v>2.9000762977482622E-2</v>
      </c>
      <c r="M40" s="43"/>
    </row>
    <row r="41" spans="1:13" s="46" customFormat="1" ht="25.5" x14ac:dyDescent="0.25">
      <c r="A41" s="36" t="s">
        <v>151</v>
      </c>
      <c r="B41" s="36" t="s">
        <v>66</v>
      </c>
      <c r="C41" s="36" t="s">
        <v>67</v>
      </c>
      <c r="D41" s="37">
        <v>2.9000000000000001E-2</v>
      </c>
      <c r="E41" s="38">
        <f>'Nov 19'!$D41*$C$6*$C$2</f>
        <v>5964063.9313760009</v>
      </c>
      <c r="F41" s="38">
        <v>268499.33333333302</v>
      </c>
      <c r="G41" s="39">
        <f>'Nov 19'!$E41/'Nov 19'!$F41</f>
        <v>22.212583760764176</v>
      </c>
      <c r="H41" s="36">
        <v>21</v>
      </c>
      <c r="I41" s="36">
        <v>22</v>
      </c>
      <c r="J41" s="40">
        <f t="shared" si="1"/>
        <v>1</v>
      </c>
      <c r="K41" s="41">
        <f>'Nov 19'!$F41*'Nov 19'!$I41</f>
        <v>5906985.3333333265</v>
      </c>
      <c r="L41" s="42">
        <f>'Nov 19'!$K41/$K$2</f>
        <v>2.9117935394844849E-2</v>
      </c>
      <c r="M41" s="43"/>
    </row>
    <row r="42" spans="1:13" s="67" customFormat="1" ht="12.75" x14ac:dyDescent="0.2">
      <c r="A42" s="36"/>
      <c r="B42" s="64"/>
      <c r="C42" s="64"/>
      <c r="D42" s="37"/>
      <c r="E42" s="66"/>
      <c r="F42" s="38"/>
      <c r="G42" s="39"/>
      <c r="H42" s="36"/>
      <c r="I42" s="36"/>
      <c r="J42" s="48"/>
      <c r="K42" s="38"/>
      <c r="L42" s="49"/>
      <c r="M42" s="65"/>
    </row>
    <row r="43" spans="1:13" s="17" customFormat="1" ht="12.75" x14ac:dyDescent="0.2">
      <c r="A43" s="50" t="s">
        <v>153</v>
      </c>
      <c r="B43" s="68"/>
      <c r="C43" s="68"/>
      <c r="D43" s="58">
        <f>SUBTOTAL(9,D32:D42)</f>
        <v>0.29000000000000004</v>
      </c>
      <c r="E43" s="69">
        <f>'Nov 19'!$D43*$C$6*$C$2</f>
        <v>59640639.313760005</v>
      </c>
      <c r="F43" s="70"/>
      <c r="G43" s="71"/>
      <c r="H43" s="57"/>
      <c r="I43" s="57"/>
      <c r="J43" s="61"/>
      <c r="K43" s="69">
        <f>SUM(K32:K42)</f>
        <v>59596702.865891375</v>
      </c>
      <c r="L43" s="72">
        <f>'Nov 19'!$K43/$K$2</f>
        <v>0.29377640977069047</v>
      </c>
      <c r="M43" s="73"/>
    </row>
    <row r="44" spans="1:13" s="67" customFormat="1" ht="12.75" x14ac:dyDescent="0.2">
      <c r="A44" s="36"/>
      <c r="B44" s="64"/>
      <c r="C44" s="64"/>
      <c r="D44" s="37"/>
      <c r="E44" s="66"/>
      <c r="F44" s="38"/>
      <c r="G44" s="39"/>
      <c r="H44" s="36"/>
      <c r="I44" s="36"/>
      <c r="J44" s="48"/>
      <c r="K44" s="38"/>
      <c r="L44" s="42"/>
      <c r="M44" s="65"/>
    </row>
    <row r="45" spans="1:13" s="4" customFormat="1" ht="24.75" customHeight="1" x14ac:dyDescent="0.2">
      <c r="A45" s="36" t="s">
        <v>150</v>
      </c>
      <c r="B45" s="64" t="s">
        <v>110</v>
      </c>
      <c r="C45" s="64" t="s">
        <v>111</v>
      </c>
      <c r="D45" s="37">
        <v>0.1</v>
      </c>
      <c r="E45" s="38">
        <f>'Nov 19'!$D45*$C$6*$C$2</f>
        <v>20565737.694400001</v>
      </c>
      <c r="F45" s="38">
        <v>416334.5625</v>
      </c>
      <c r="G45" s="39">
        <f>'Nov 19'!$E45/'Nov 19'!$F45</f>
        <v>49.397142458956914</v>
      </c>
      <c r="H45" s="36">
        <v>48</v>
      </c>
      <c r="I45" s="36">
        <v>48</v>
      </c>
      <c r="J45" s="40">
        <f>I45-H45</f>
        <v>0</v>
      </c>
      <c r="K45" s="41">
        <f>'Nov 19'!$F45*'Nov 19'!$I45</f>
        <v>19984059</v>
      </c>
      <c r="L45" s="42">
        <f>'Nov 19'!$K45/$K$2</f>
        <v>9.8509562162803474E-2</v>
      </c>
      <c r="M45" s="65"/>
    </row>
    <row r="46" spans="1:13" s="46" customFormat="1" ht="25.5" x14ac:dyDescent="0.25">
      <c r="A46" s="36" t="s">
        <v>151</v>
      </c>
      <c r="B46" s="36" t="s">
        <v>68</v>
      </c>
      <c r="C46" s="36" t="s">
        <v>69</v>
      </c>
      <c r="D46" s="37">
        <v>0.1</v>
      </c>
      <c r="E46" s="38">
        <f>'Nov 19'!$D46*$C$6*$C$2</f>
        <v>20565737.694400001</v>
      </c>
      <c r="F46" s="38">
        <v>249362.51250000001</v>
      </c>
      <c r="G46" s="39">
        <f>'Nov 19'!$E46/'Nov 19'!$F46</f>
        <v>82.473253450235433</v>
      </c>
      <c r="H46" s="36">
        <v>80</v>
      </c>
      <c r="I46" s="36">
        <v>80</v>
      </c>
      <c r="J46" s="40">
        <f>I46-H46</f>
        <v>0</v>
      </c>
      <c r="K46" s="41">
        <f>'Nov 19'!$F46*'Nov 19'!$I46</f>
        <v>19949001</v>
      </c>
      <c r="L46" s="42">
        <f>'Nov 19'!$K46/$K$2</f>
        <v>9.8336747008969938E-2</v>
      </c>
      <c r="M46" s="43"/>
    </row>
    <row r="47" spans="1:13" s="46" customFormat="1" ht="25.5" x14ac:dyDescent="0.25">
      <c r="A47" s="36" t="s">
        <v>151</v>
      </c>
      <c r="B47" s="36" t="s">
        <v>92</v>
      </c>
      <c r="C47" s="36" t="s">
        <v>93</v>
      </c>
      <c r="D47" s="37">
        <v>0.1</v>
      </c>
      <c r="E47" s="38">
        <f>'Nov 19'!$D47*$C$6*$C$2</f>
        <v>20565737.694400001</v>
      </c>
      <c r="F47" s="38">
        <v>416326.4375</v>
      </c>
      <c r="G47" s="39">
        <f>'Nov 19'!$E47/'Nov 19'!$F47</f>
        <v>49.398106490414754</v>
      </c>
      <c r="H47" s="36">
        <v>48</v>
      </c>
      <c r="I47" s="36">
        <v>48</v>
      </c>
      <c r="J47" s="40">
        <f>I47-H47</f>
        <v>0</v>
      </c>
      <c r="K47" s="41">
        <f>'Nov 19'!$F47*'Nov 19'!$I47</f>
        <v>19983669</v>
      </c>
      <c r="L47" s="42">
        <f>'Nov 19'!$K47/$K$2</f>
        <v>9.8507639694037571E-2</v>
      </c>
      <c r="M47" s="43"/>
    </row>
    <row r="48" spans="1:13" s="46" customFormat="1" ht="25.5" x14ac:dyDescent="0.25">
      <c r="A48" s="36" t="s">
        <v>151</v>
      </c>
      <c r="B48" s="36" t="s">
        <v>95</v>
      </c>
      <c r="C48" s="36" t="s">
        <v>96</v>
      </c>
      <c r="D48" s="37">
        <v>0.1</v>
      </c>
      <c r="E48" s="38">
        <f>'Nov 19'!$D48*$C$6*$C$2</f>
        <v>20565737.694400001</v>
      </c>
      <c r="F48" s="38">
        <v>249785.11249999999</v>
      </c>
      <c r="G48" s="39">
        <f>'Nov 19'!$E48/'Nov 19'!$F48</f>
        <v>82.333720727251119</v>
      </c>
      <c r="H48" s="36">
        <v>80</v>
      </c>
      <c r="I48" s="36">
        <v>80</v>
      </c>
      <c r="J48" s="40">
        <f>I48-H48</f>
        <v>0</v>
      </c>
      <c r="K48" s="41">
        <f>'Nov 19'!$F48*'Nov 19'!$I48</f>
        <v>19982809</v>
      </c>
      <c r="L48" s="42">
        <f>'Nov 19'!$K48/$K$2</f>
        <v>9.8503400403938401E-2</v>
      </c>
      <c r="M48" s="43"/>
    </row>
    <row r="49" spans="1:16" s="46" customFormat="1" ht="25.5" x14ac:dyDescent="0.25">
      <c r="A49" s="36" t="s">
        <v>151</v>
      </c>
      <c r="B49" s="36" t="s">
        <v>77</v>
      </c>
      <c r="C49" s="36" t="s">
        <v>78</v>
      </c>
      <c r="D49" s="37">
        <v>0.1</v>
      </c>
      <c r="E49" s="38">
        <f>'Nov 19'!$D49*$C$6*$C$2</f>
        <v>20565737.694400001</v>
      </c>
      <c r="F49" s="38">
        <v>165441.18852458999</v>
      </c>
      <c r="G49" s="39">
        <f>'Nov 19'!$E49/'Nov 19'!$F49</f>
        <v>124.30844989573596</v>
      </c>
      <c r="H49" s="36">
        <v>122</v>
      </c>
      <c r="I49" s="36">
        <v>122</v>
      </c>
      <c r="J49" s="40">
        <f>I49-H49</f>
        <v>0</v>
      </c>
      <c r="K49" s="41">
        <f>'Nov 19'!$F49*'Nov 19'!$I49</f>
        <v>20183824.999999978</v>
      </c>
      <c r="L49" s="42">
        <f>'Nov 19'!$K49/$K$2</f>
        <v>9.9494290099956403E-2</v>
      </c>
      <c r="M49" s="43"/>
    </row>
    <row r="50" spans="1:16" s="47" customFormat="1" ht="12.75" x14ac:dyDescent="0.25">
      <c r="A50" s="36"/>
      <c r="B50" s="36"/>
      <c r="C50" s="36"/>
      <c r="D50" s="37"/>
      <c r="E50" s="38"/>
      <c r="F50" s="38"/>
      <c r="G50" s="39"/>
      <c r="H50" s="36"/>
      <c r="I50" s="36"/>
      <c r="J50" s="48"/>
      <c r="K50" s="38"/>
      <c r="L50" s="42"/>
      <c r="M50" s="36"/>
    </row>
    <row r="51" spans="1:16" s="56" customFormat="1" ht="25.5" x14ac:dyDescent="0.25">
      <c r="A51" s="50" t="s">
        <v>154</v>
      </c>
      <c r="B51" s="50"/>
      <c r="C51" s="50"/>
      <c r="D51" s="58">
        <f>SUBTOTAL(9,D45:D50)</f>
        <v>0.5</v>
      </c>
      <c r="E51" s="52">
        <f>'Nov 19'!$D51*$C$6*$C$2</f>
        <v>102828688.472</v>
      </c>
      <c r="F51" s="71"/>
      <c r="G51" s="71"/>
      <c r="H51" s="57"/>
      <c r="I51" s="57"/>
      <c r="J51" s="61"/>
      <c r="K51" s="52">
        <f>SUM(K45:K50)</f>
        <v>100083362.99999997</v>
      </c>
      <c r="L51" s="74">
        <f>'Nov 19'!$K51/$K$2</f>
        <v>0.49335163936970577</v>
      </c>
      <c r="M51" s="50"/>
    </row>
    <row r="52" spans="1:16" s="47" customFormat="1" ht="12.75" x14ac:dyDescent="0.25">
      <c r="A52" s="36"/>
      <c r="B52" s="36"/>
      <c r="C52" s="36"/>
      <c r="D52" s="37"/>
      <c r="E52" s="38"/>
      <c r="F52" s="38"/>
      <c r="G52" s="39"/>
      <c r="H52" s="36"/>
      <c r="I52" s="36"/>
      <c r="J52" s="48"/>
      <c r="K52" s="38"/>
      <c r="L52" s="42"/>
      <c r="M52" s="36"/>
    </row>
    <row r="53" spans="1:16" s="46" customFormat="1" ht="12.75" x14ac:dyDescent="0.25">
      <c r="A53" s="36"/>
      <c r="B53" s="36"/>
      <c r="C53" s="36"/>
      <c r="D53" s="37"/>
      <c r="E53" s="38"/>
      <c r="F53" s="38"/>
      <c r="G53" s="75"/>
      <c r="H53" s="36"/>
      <c r="I53" s="36"/>
      <c r="J53" s="40"/>
      <c r="K53" s="41"/>
      <c r="L53" s="42"/>
      <c r="M53" s="43"/>
    </row>
    <row r="54" spans="1:16" s="46" customFormat="1" ht="25.5" x14ac:dyDescent="0.25">
      <c r="A54" s="36" t="s">
        <v>155</v>
      </c>
      <c r="B54" s="36" t="s">
        <v>53</v>
      </c>
      <c r="C54" s="36" t="s">
        <v>54</v>
      </c>
      <c r="D54" s="37">
        <v>1E-3</v>
      </c>
      <c r="E54" s="38">
        <f>'Nov 19'!$D54*$C$6*$C$2</f>
        <v>205657.37694400002</v>
      </c>
      <c r="F54" s="38">
        <v>49697.75</v>
      </c>
      <c r="G54" s="75">
        <f>'Nov 19'!$E54/'Nov 19'!$F54</f>
        <v>4.138162732598559</v>
      </c>
      <c r="H54" s="36">
        <v>4</v>
      </c>
      <c r="I54" s="36">
        <v>4</v>
      </c>
      <c r="J54" s="40">
        <f t="shared" ref="J54:J63" si="2">I54-H54</f>
        <v>0</v>
      </c>
      <c r="K54" s="41">
        <f>'Nov 19'!$F54*'Nov 19'!$I54</f>
        <v>198791</v>
      </c>
      <c r="L54" s="42">
        <f>'Nov 19'!$K54/$K$2</f>
        <v>9.7992176523827653E-4</v>
      </c>
      <c r="M54" s="43"/>
    </row>
    <row r="55" spans="1:16" s="46" customFormat="1" ht="25.5" x14ac:dyDescent="0.25">
      <c r="A55" s="36" t="s">
        <v>155</v>
      </c>
      <c r="B55" s="36" t="s">
        <v>71</v>
      </c>
      <c r="C55" s="36" t="s">
        <v>72</v>
      </c>
      <c r="D55" s="37">
        <v>1E-3</v>
      </c>
      <c r="E55" s="38">
        <f>'Nov 19'!$D55*$C$6*$C$2</f>
        <v>205657.37694400002</v>
      </c>
      <c r="F55" s="38">
        <v>79700.5</v>
      </c>
      <c r="G55" s="75">
        <f>'Nov 19'!$E55/'Nov 19'!$F55</f>
        <v>2.5803775000658717</v>
      </c>
      <c r="H55" s="36">
        <v>2</v>
      </c>
      <c r="I55" s="36">
        <v>3</v>
      </c>
      <c r="J55" s="40">
        <f t="shared" si="2"/>
        <v>1</v>
      </c>
      <c r="K55" s="41">
        <f>'Nov 19'!$F55*'Nov 19'!$I55</f>
        <v>239101.5</v>
      </c>
      <c r="L55" s="42">
        <f>'Nov 19'!$K55/$K$2</f>
        <v>1.178628629822878E-3</v>
      </c>
      <c r="M55" s="43"/>
      <c r="P55" s="46" t="s">
        <v>159</v>
      </c>
    </row>
    <row r="56" spans="1:16" s="46" customFormat="1" ht="25.5" x14ac:dyDescent="0.25">
      <c r="A56" s="36" t="s">
        <v>155</v>
      </c>
      <c r="B56" s="36" t="s">
        <v>83</v>
      </c>
      <c r="C56" s="36" t="s">
        <v>84</v>
      </c>
      <c r="D56" s="37">
        <v>1E-3</v>
      </c>
      <c r="E56" s="38">
        <f>'Nov 19'!$D56*$C$6*$C$2</f>
        <v>205657.37694400002</v>
      </c>
      <c r="F56" s="38">
        <v>94307.5</v>
      </c>
      <c r="G56" s="75">
        <f>'Nov 19'!$E56/'Nov 19'!$F56</f>
        <v>2.1807107276091511</v>
      </c>
      <c r="H56" s="36">
        <v>2</v>
      </c>
      <c r="I56" s="36">
        <v>2</v>
      </c>
      <c r="J56" s="40">
        <f t="shared" si="2"/>
        <v>0</v>
      </c>
      <c r="K56" s="41">
        <f>'Nov 19'!$F56*'Nov 19'!$I56</f>
        <v>188615</v>
      </c>
      <c r="L56" s="42">
        <f>'Nov 19'!$K56/$K$2</f>
        <v>9.2976011866944435E-4</v>
      </c>
      <c r="M56" s="43"/>
    </row>
    <row r="57" spans="1:16" s="46" customFormat="1" ht="25.5" x14ac:dyDescent="0.25">
      <c r="A57" s="36" t="s">
        <v>155</v>
      </c>
      <c r="B57" s="36" t="s">
        <v>161</v>
      </c>
      <c r="C57" s="36" t="s">
        <v>86</v>
      </c>
      <c r="D57" s="37">
        <v>1E-3</v>
      </c>
      <c r="E57" s="38">
        <f>'Nov 19'!$D57*$C$6*$C$2</f>
        <v>205657.37694400002</v>
      </c>
      <c r="F57" s="38">
        <v>231118</v>
      </c>
      <c r="G57" s="75">
        <f>'Nov 19'!$E57/'Nov 19'!$F57</f>
        <v>0.88983712624719846</v>
      </c>
      <c r="H57" s="36">
        <v>1</v>
      </c>
      <c r="I57" s="36">
        <v>1</v>
      </c>
      <c r="J57" s="40">
        <f t="shared" si="2"/>
        <v>0</v>
      </c>
      <c r="K57" s="41">
        <f>'Nov 19'!$F57*'Nov 19'!$I57</f>
        <v>231118</v>
      </c>
      <c r="L57" s="42">
        <f>'Nov 19'!$K57/$K$2</f>
        <v>1.1392747083033938E-3</v>
      </c>
      <c r="M57" s="43"/>
    </row>
    <row r="58" spans="1:16" s="46" customFormat="1" ht="25.5" x14ac:dyDescent="0.25">
      <c r="A58" s="36" t="s">
        <v>155</v>
      </c>
      <c r="B58" s="36" t="s">
        <v>87</v>
      </c>
      <c r="C58" s="36" t="s">
        <v>88</v>
      </c>
      <c r="D58" s="37">
        <v>1E-3</v>
      </c>
      <c r="E58" s="38">
        <f>'Nov 19'!$D58*$C$6*$C$2</f>
        <v>205657.37694400002</v>
      </c>
      <c r="F58" s="38">
        <v>12439.875</v>
      </c>
      <c r="G58" s="75">
        <f>'Nov 19'!$E58/'Nov 19'!$F58</f>
        <v>16.532109602709031</v>
      </c>
      <c r="H58" s="36">
        <v>16</v>
      </c>
      <c r="I58" s="36">
        <v>17</v>
      </c>
      <c r="J58" s="40">
        <f t="shared" si="2"/>
        <v>1</v>
      </c>
      <c r="K58" s="41">
        <f>'Nov 19'!$F58*'Nov 19'!$I58</f>
        <v>211477.875</v>
      </c>
      <c r="L58" s="42">
        <f>'Nov 19'!$K58/$K$2</f>
        <v>1.042460536839392E-3</v>
      </c>
      <c r="M58" s="43"/>
    </row>
    <row r="59" spans="1:16" s="46" customFormat="1" ht="25.5" x14ac:dyDescent="0.25">
      <c r="A59" s="36" t="s">
        <v>155</v>
      </c>
      <c r="B59" s="36" t="s">
        <v>90</v>
      </c>
      <c r="C59" s="36" t="s">
        <v>91</v>
      </c>
      <c r="D59" s="37">
        <v>1E-3</v>
      </c>
      <c r="E59" s="38">
        <f>'Nov 19'!$D59*$C$6*$C$2</f>
        <v>205657.37694400002</v>
      </c>
      <c r="F59" s="38">
        <v>93491.5</v>
      </c>
      <c r="G59" s="75">
        <f>'Nov 19'!$E59/'Nov 19'!$F59</f>
        <v>2.1997441151762462</v>
      </c>
      <c r="H59" s="36">
        <v>2</v>
      </c>
      <c r="I59" s="36">
        <v>2</v>
      </c>
      <c r="J59" s="40">
        <f t="shared" si="2"/>
        <v>0</v>
      </c>
      <c r="K59" s="41">
        <f>'Nov 19'!$F59*'Nov 19'!$I59</f>
        <v>186983</v>
      </c>
      <c r="L59" s="42">
        <f>'Nov 19'!$K59/$K$2</f>
        <v>9.2171532629519771E-4</v>
      </c>
      <c r="M59" s="43"/>
    </row>
    <row r="60" spans="1:16" s="4" customFormat="1" ht="25.5" x14ac:dyDescent="0.2">
      <c r="A60" s="36" t="s">
        <v>155</v>
      </c>
      <c r="B60" s="64" t="s">
        <v>112</v>
      </c>
      <c r="C60" s="64" t="s">
        <v>113</v>
      </c>
      <c r="D60" s="37">
        <v>1E-3</v>
      </c>
      <c r="E60" s="38">
        <f>'Nov 19'!$D60*$C$6*$C$2</f>
        <v>205657.37694400002</v>
      </c>
      <c r="F60" s="38">
        <v>68269.666666666701</v>
      </c>
      <c r="G60" s="75">
        <f>'Nov 19'!$E60/'Nov 19'!$F60</f>
        <v>3.0124268505387937</v>
      </c>
      <c r="H60" s="36">
        <v>3</v>
      </c>
      <c r="I60" s="36">
        <v>3</v>
      </c>
      <c r="J60" s="40">
        <f t="shared" si="2"/>
        <v>0</v>
      </c>
      <c r="K60" s="41">
        <f>'Nov 19'!$F60*'Nov 19'!$I60</f>
        <v>204809.00000000012</v>
      </c>
      <c r="L60" s="42">
        <f>'Nov 19'!$K60/$K$2</f>
        <v>1.0095869371183116E-3</v>
      </c>
      <c r="M60" s="65"/>
    </row>
    <row r="61" spans="1:16" s="46" customFormat="1" ht="25.5" x14ac:dyDescent="0.25">
      <c r="A61" s="36" t="s">
        <v>155</v>
      </c>
      <c r="B61" s="36" t="s">
        <v>81</v>
      </c>
      <c r="C61" s="36" t="s">
        <v>82</v>
      </c>
      <c r="D61" s="37">
        <v>1E-3</v>
      </c>
      <c r="E61" s="38">
        <f>'Nov 19'!$D61*$C$6*$C$2</f>
        <v>205657.37694400002</v>
      </c>
      <c r="F61" s="38">
        <v>27980</v>
      </c>
      <c r="G61" s="75">
        <f>'Nov 19'!$E61/'Nov 19'!$F61</f>
        <v>7.3501564311651189</v>
      </c>
      <c r="H61" s="36">
        <v>7</v>
      </c>
      <c r="I61" s="36">
        <v>7</v>
      </c>
      <c r="J61" s="40">
        <f t="shared" si="2"/>
        <v>0</v>
      </c>
      <c r="K61" s="41">
        <f>'Nov 19'!$F61*'Nov 19'!$I61</f>
        <v>195860</v>
      </c>
      <c r="L61" s="42">
        <f>'Nov 19'!$K61/$K$2</f>
        <v>9.6547367305144011E-4</v>
      </c>
      <c r="M61" s="43"/>
    </row>
    <row r="62" spans="1:16" s="46" customFormat="1" ht="25.5" x14ac:dyDescent="0.25">
      <c r="A62" s="36" t="s">
        <v>155</v>
      </c>
      <c r="B62" s="36" t="s">
        <v>100</v>
      </c>
      <c r="C62" s="36" t="s">
        <v>101</v>
      </c>
      <c r="D62" s="37">
        <v>1E-3</v>
      </c>
      <c r="E62" s="38">
        <f>'Nov 19'!$D62*$C$6*$C$2</f>
        <v>205657.37694400002</v>
      </c>
      <c r="F62" s="38">
        <v>7770.3461538461497</v>
      </c>
      <c r="G62" s="75">
        <f>'Nov 19'!$E62/'Nov 19'!$F62</f>
        <v>26.466951776942931</v>
      </c>
      <c r="H62" s="36">
        <v>26</v>
      </c>
      <c r="I62" s="36">
        <v>26</v>
      </c>
      <c r="J62" s="40">
        <f t="shared" si="2"/>
        <v>0</v>
      </c>
      <c r="K62" s="41">
        <f>'Nov 19'!$F62*'Nov 19'!$I62</f>
        <v>202028.99999999988</v>
      </c>
      <c r="L62" s="42">
        <f>'Nov 19'!$K62/$K$2</f>
        <v>9.9588318540237567E-4</v>
      </c>
      <c r="M62" s="43"/>
    </row>
    <row r="63" spans="1:16" s="46" customFormat="1" ht="25.5" x14ac:dyDescent="0.25">
      <c r="A63" s="36" t="s">
        <v>155</v>
      </c>
      <c r="B63" s="36" t="s">
        <v>174</v>
      </c>
      <c r="C63" s="36" t="s">
        <v>75</v>
      </c>
      <c r="D63" s="37">
        <v>1E-3</v>
      </c>
      <c r="E63" s="38">
        <f>'Nov 19'!$D63*$C$6*$C$2</f>
        <v>205657.37694400002</v>
      </c>
      <c r="F63" s="38">
        <v>27707.571428571398</v>
      </c>
      <c r="G63" s="75">
        <f>'Nov 19'!$E63/'Nov 19'!$F63</f>
        <v>7.4224252195531992</v>
      </c>
      <c r="H63" s="36">
        <v>7</v>
      </c>
      <c r="I63" s="36">
        <v>7</v>
      </c>
      <c r="J63" s="40">
        <f t="shared" si="2"/>
        <v>0</v>
      </c>
      <c r="K63" s="41">
        <f>'Nov 19'!$F63*'Nov 19'!$I63</f>
        <v>193952.9999999998</v>
      </c>
      <c r="L63" s="42">
        <f>'Nov 19'!$K63/$K$2</f>
        <v>9.5607329372687517E-4</v>
      </c>
      <c r="M63" s="43"/>
    </row>
    <row r="64" spans="1:16" s="46" customFormat="1" ht="12.75" x14ac:dyDescent="0.25">
      <c r="A64" s="36"/>
      <c r="B64" s="36"/>
      <c r="C64" s="36"/>
      <c r="D64" s="37"/>
      <c r="E64" s="38"/>
      <c r="F64" s="38"/>
      <c r="G64" s="39"/>
      <c r="H64" s="36"/>
      <c r="I64" s="36"/>
      <c r="J64" s="43"/>
      <c r="K64" s="41"/>
      <c r="L64" s="42"/>
      <c r="M64" s="43"/>
    </row>
    <row r="65" spans="1:13" s="46" customFormat="1" ht="12.75" x14ac:dyDescent="0.25">
      <c r="A65" s="36"/>
      <c r="B65" s="36"/>
      <c r="C65" s="36"/>
      <c r="D65" s="37"/>
      <c r="E65" s="38"/>
      <c r="F65" s="38"/>
      <c r="G65" s="39"/>
      <c r="H65" s="36"/>
      <c r="I65" s="36"/>
      <c r="J65" s="43"/>
      <c r="K65" s="41"/>
      <c r="L65" s="42"/>
      <c r="M65" s="43"/>
    </row>
    <row r="66" spans="1:13" s="17" customFormat="1" ht="12.75" x14ac:dyDescent="0.2">
      <c r="A66" s="50" t="s">
        <v>167</v>
      </c>
      <c r="B66" s="68"/>
      <c r="C66" s="68"/>
      <c r="D66" s="76">
        <f>SUM(D54:D65)</f>
        <v>1.0000000000000002E-2</v>
      </c>
      <c r="E66" s="52">
        <f>SUM(E53:E65)</f>
        <v>2056573.7694399999</v>
      </c>
      <c r="F66" s="71"/>
      <c r="G66" s="71"/>
      <c r="H66" s="68"/>
      <c r="I66" s="68"/>
      <c r="J66" s="50"/>
      <c r="K66" s="52">
        <f>SUM(K53:K65)</f>
        <v>2052737.3749999998</v>
      </c>
      <c r="L66" s="55">
        <f>'Nov 19'!$K66/$K$2</f>
        <v>1.0118778174467585E-2</v>
      </c>
      <c r="M66" s="62"/>
    </row>
    <row r="67" spans="1:13" s="4" customFormat="1" ht="12.75" x14ac:dyDescent="0.2">
      <c r="A67" s="36"/>
      <c r="B67" s="64"/>
      <c r="C67" s="64"/>
      <c r="D67" s="77"/>
      <c r="E67" s="38"/>
      <c r="F67" s="38"/>
      <c r="G67" s="39"/>
      <c r="H67" s="64"/>
      <c r="I67" s="64"/>
      <c r="J67" s="36"/>
      <c r="K67" s="36"/>
      <c r="L67" s="42"/>
      <c r="M67" s="65"/>
    </row>
    <row r="68" spans="1:13" s="46" customFormat="1" ht="25.5" x14ac:dyDescent="0.25">
      <c r="A68" s="50" t="s">
        <v>168</v>
      </c>
      <c r="B68" s="57" t="s">
        <v>169</v>
      </c>
      <c r="C68" s="57" t="s">
        <v>170</v>
      </c>
      <c r="D68" s="58">
        <v>0</v>
      </c>
      <c r="E68" s="59">
        <f>'Nov 19'!$D68*$C$6*$C$2</f>
        <v>0</v>
      </c>
      <c r="F68" s="59">
        <v>0</v>
      </c>
      <c r="G68" s="60" t="s">
        <v>175</v>
      </c>
      <c r="H68" s="57">
        <v>0</v>
      </c>
      <c r="I68" s="57">
        <v>0</v>
      </c>
      <c r="J68" s="78">
        <f>I68-H68</f>
        <v>0</v>
      </c>
      <c r="K68" s="59">
        <f>'Nov 19'!$F68*'Nov 19'!$I68</f>
        <v>0</v>
      </c>
      <c r="L68" s="79">
        <f>'Nov 19'!$K68/$K$2</f>
        <v>0</v>
      </c>
      <c r="M68" s="57"/>
    </row>
    <row r="69" spans="1:13" s="4" customFormat="1" ht="12.75" x14ac:dyDescent="0.2">
      <c r="A69" s="36"/>
      <c r="B69" s="64"/>
      <c r="C69" s="64"/>
      <c r="D69" s="77"/>
      <c r="E69" s="38"/>
      <c r="F69" s="38"/>
      <c r="G69" s="39"/>
      <c r="H69" s="64"/>
      <c r="I69" s="64"/>
      <c r="J69" s="36"/>
      <c r="K69" s="36"/>
      <c r="L69" s="42"/>
      <c r="M69" s="65"/>
    </row>
    <row r="70" spans="1:13" s="4" customFormat="1" ht="12.75" x14ac:dyDescent="0.2">
      <c r="A70" s="36"/>
      <c r="B70" s="64"/>
      <c r="C70" s="64"/>
      <c r="D70" s="80"/>
      <c r="E70" s="66"/>
      <c r="F70" s="38"/>
      <c r="G70" s="39"/>
      <c r="H70" s="64"/>
      <c r="I70" s="64"/>
      <c r="J70" s="36"/>
      <c r="K70" s="36"/>
      <c r="L70" s="42"/>
      <c r="M70" s="65"/>
    </row>
    <row r="71" spans="1:13" s="17" customFormat="1" ht="12.75" x14ac:dyDescent="0.2">
      <c r="A71" s="50" t="s">
        <v>171</v>
      </c>
      <c r="B71" s="68"/>
      <c r="C71" s="68"/>
      <c r="D71" s="68"/>
      <c r="E71" s="81"/>
      <c r="F71" s="81"/>
      <c r="G71" s="50"/>
      <c r="H71" s="68"/>
      <c r="I71" s="68"/>
      <c r="J71" s="68"/>
      <c r="K71" s="81">
        <f>SUM(K28,K30,K43,K51,K66,K68:K68)</f>
        <v>202864154.11097866</v>
      </c>
      <c r="L71" s="55">
        <f>'Nov 19'!$K71/$K$2</f>
        <v>0.99999999999999989</v>
      </c>
      <c r="M71" s="68"/>
    </row>
    <row r="72" spans="1:13" s="4" customFormat="1" ht="12.75" x14ac:dyDescent="0.2">
      <c r="A72" s="65"/>
      <c r="B72" s="65"/>
      <c r="C72" s="65"/>
      <c r="D72" s="82"/>
      <c r="E72" s="83"/>
      <c r="F72" s="38"/>
      <c r="G72" s="84"/>
      <c r="H72" s="65"/>
      <c r="I72" s="65"/>
      <c r="J72" s="65"/>
      <c r="K72" s="65"/>
      <c r="L72" s="42"/>
      <c r="M72" s="65"/>
    </row>
    <row r="73" spans="1:13" s="4" customFormat="1" ht="12.75" x14ac:dyDescent="0.2">
      <c r="A73" s="65"/>
      <c r="B73" s="65"/>
      <c r="C73" s="65"/>
      <c r="D73" s="82"/>
      <c r="E73" s="83"/>
      <c r="F73" s="38"/>
      <c r="G73" s="84"/>
      <c r="H73" s="65"/>
      <c r="I73" s="65"/>
      <c r="J73" s="65"/>
      <c r="K73" s="65"/>
      <c r="L73" s="42"/>
      <c r="M73" s="65"/>
    </row>
    <row r="74" spans="1:13" s="4" customFormat="1" ht="12.75" x14ac:dyDescent="0.2">
      <c r="A74" s="65"/>
      <c r="B74" s="65"/>
      <c r="C74" s="65"/>
      <c r="D74" s="82"/>
      <c r="E74" s="83"/>
      <c r="F74" s="38"/>
      <c r="G74" s="84"/>
      <c r="H74" s="65"/>
      <c r="I74" s="65"/>
      <c r="J74" s="65"/>
      <c r="K74" s="65"/>
      <c r="L74" s="42"/>
      <c r="M74" s="65"/>
    </row>
    <row r="75" spans="1:13" s="4" customFormat="1" ht="12.75" x14ac:dyDescent="0.2">
      <c r="A75" s="65"/>
      <c r="B75" s="65"/>
      <c r="C75" s="65"/>
      <c r="D75" s="82"/>
      <c r="E75" s="83"/>
      <c r="F75" s="38"/>
      <c r="G75" s="84"/>
      <c r="H75" s="65"/>
      <c r="I75" s="65"/>
      <c r="J75" s="65"/>
      <c r="K75" s="65"/>
      <c r="L75" s="42"/>
      <c r="M75" s="65"/>
    </row>
    <row r="76" spans="1:13" s="4" customFormat="1" ht="12.75" x14ac:dyDescent="0.2">
      <c r="A76" s="65"/>
      <c r="B76" s="65"/>
      <c r="C76" s="65"/>
      <c r="D76" s="82"/>
      <c r="E76" s="83"/>
      <c r="F76" s="38"/>
      <c r="G76" s="84"/>
      <c r="H76" s="65"/>
      <c r="I76" s="65"/>
      <c r="J76" s="65"/>
      <c r="K76" s="65"/>
      <c r="L76" s="42"/>
      <c r="M76" s="65"/>
    </row>
    <row r="77" spans="1:13" s="4" customFormat="1" ht="12.75" x14ac:dyDescent="0.2">
      <c r="A77" s="65"/>
      <c r="B77" s="65"/>
      <c r="C77" s="65"/>
      <c r="D77" s="82"/>
      <c r="E77" s="83"/>
      <c r="F77" s="38"/>
      <c r="G77" s="84"/>
      <c r="H77" s="65"/>
      <c r="I77" s="65"/>
      <c r="J77" s="65"/>
      <c r="K77" s="65"/>
      <c r="L77" s="42"/>
      <c r="M77" s="65"/>
    </row>
    <row r="78" spans="1:13" s="4" customFormat="1" ht="12.75" x14ac:dyDescent="0.2">
      <c r="A78" s="65"/>
      <c r="B78" s="65"/>
      <c r="C78" s="65"/>
      <c r="D78" s="82"/>
      <c r="E78" s="83"/>
      <c r="F78" s="38"/>
      <c r="G78" s="84"/>
      <c r="H78" s="65"/>
      <c r="I78" s="65"/>
      <c r="J78" s="65"/>
      <c r="K78" s="65"/>
      <c r="L78" s="42"/>
      <c r="M78" s="65"/>
    </row>
    <row r="79" spans="1:13" s="4" customFormat="1" ht="12.75" x14ac:dyDescent="0.2">
      <c r="A79" s="65"/>
      <c r="B79" s="65"/>
      <c r="C79" s="65"/>
      <c r="D79" s="82"/>
      <c r="E79" s="83"/>
      <c r="F79" s="38"/>
      <c r="G79" s="84"/>
      <c r="H79" s="65"/>
      <c r="I79" s="65"/>
      <c r="J79" s="65"/>
      <c r="K79" s="65"/>
      <c r="L79" s="42"/>
      <c r="M79" s="65"/>
    </row>
    <row r="80" spans="1:13" s="4" customFormat="1" ht="12.75" x14ac:dyDescent="0.2">
      <c r="A80" s="65"/>
      <c r="B80" s="65"/>
      <c r="C80" s="65"/>
      <c r="D80" s="82"/>
      <c r="E80" s="83"/>
      <c r="F80" s="38"/>
      <c r="G80" s="84"/>
      <c r="H80" s="65"/>
      <c r="I80" s="65"/>
      <c r="J80" s="65"/>
      <c r="K80" s="65"/>
      <c r="L80" s="42"/>
      <c r="M80" s="65"/>
    </row>
    <row r="81" spans="1:13" s="4" customFormat="1" ht="12.75" x14ac:dyDescent="0.2"/>
    <row r="82" spans="1:13" s="4" customFormat="1" ht="12.75" x14ac:dyDescent="0.2"/>
    <row r="84" spans="1:13" s="4" customFormat="1" ht="12.75" x14ac:dyDescent="0.2">
      <c r="A84" s="85"/>
      <c r="B84" s="85"/>
      <c r="E84" s="85"/>
      <c r="F84" s="85"/>
      <c r="G84" s="85"/>
      <c r="H84" s="86"/>
      <c r="M84" s="85"/>
    </row>
    <row r="85" spans="1:13" s="4" customFormat="1" ht="12.75" x14ac:dyDescent="0.2">
      <c r="A85" s="85"/>
      <c r="B85" s="85"/>
      <c r="E85" s="85"/>
      <c r="F85" s="85"/>
      <c r="G85" s="85"/>
      <c r="H85" s="86"/>
      <c r="M85" s="85"/>
    </row>
    <row r="86" spans="1:13" s="4" customFormat="1" ht="12.75" x14ac:dyDescent="0.2">
      <c r="A86" s="87"/>
      <c r="B86" s="87"/>
    </row>
    <row r="87" spans="1:13" s="4" customFormat="1" ht="12.75" x14ac:dyDescent="0.2">
      <c r="A87" s="88"/>
      <c r="B87" s="88"/>
      <c r="E87" s="88"/>
      <c r="F87" s="87"/>
      <c r="G87" s="87"/>
      <c r="M87" s="89"/>
    </row>
    <row r="88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H88"/>
  <sheetViews>
    <sheetView topLeftCell="A25" zoomScale="140" zoomScaleNormal="140" workbookViewId="0">
      <pane xSplit="2" topLeftCell="C1" activePane="topRight" state="frozen"/>
      <selection activeCell="A25" sqref="A25"/>
      <selection pane="topRight" activeCell="N30" sqref="N30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116</v>
      </c>
      <c r="C1" s="6">
        <v>44155</v>
      </c>
      <c r="D1" s="7"/>
      <c r="E1" s="8" t="s">
        <v>117</v>
      </c>
      <c r="F1" s="9"/>
      <c r="G1" s="10"/>
      <c r="K1" s="11" t="s">
        <v>118</v>
      </c>
      <c r="L1" s="11" t="s">
        <v>119</v>
      </c>
      <c r="M1" s="12" t="s">
        <v>120</v>
      </c>
    </row>
    <row r="2" spans="1:17" x14ac:dyDescent="0.25">
      <c r="A2" s="5"/>
      <c r="B2" s="5" t="s">
        <v>121</v>
      </c>
      <c r="C2" s="13">
        <v>7.9</v>
      </c>
      <c r="D2" s="14"/>
      <c r="E2" s="15">
        <f>SUM(E28,E43,E51,E66,E30,E68)</f>
        <v>209536781.59600002</v>
      </c>
      <c r="F2" s="16"/>
      <c r="G2" s="17"/>
      <c r="H2" s="14"/>
      <c r="I2" s="14"/>
      <c r="J2" s="14"/>
      <c r="K2" s="15">
        <f>SUM(K28,K43,K51,K66,K30,K68:K68)</f>
        <v>205160362.88926595</v>
      </c>
      <c r="L2" s="18">
        <f>SUM(L51,L66,L43,L28,L30,L68)</f>
        <v>1</v>
      </c>
      <c r="M2" s="19">
        <f>K2/$C$6</f>
        <v>7.7349993374916908</v>
      </c>
      <c r="N2" s="20"/>
    </row>
    <row r="3" spans="1:17" ht="26.25" x14ac:dyDescent="0.25">
      <c r="A3" s="5"/>
      <c r="B3" s="5" t="s">
        <v>122</v>
      </c>
      <c r="C3" s="21">
        <v>26523643.239999998</v>
      </c>
      <c r="D3" s="22"/>
      <c r="E3" s="8" t="s">
        <v>123</v>
      </c>
      <c r="F3" s="16"/>
      <c r="H3" s="14"/>
      <c r="I3" s="14"/>
      <c r="J3" s="14"/>
      <c r="K3" s="8" t="s">
        <v>123</v>
      </c>
      <c r="L3" s="14"/>
      <c r="M3" s="12" t="s">
        <v>124</v>
      </c>
      <c r="N3" s="23"/>
    </row>
    <row r="4" spans="1:17" x14ac:dyDescent="0.25">
      <c r="A4" s="5"/>
      <c r="B4" s="5" t="s">
        <v>125</v>
      </c>
      <c r="C4" s="21">
        <v>0</v>
      </c>
      <c r="D4" s="22"/>
      <c r="E4" s="15">
        <f>SUM(E28,E66,E30)</f>
        <v>44002724.135160014</v>
      </c>
      <c r="F4" s="16"/>
      <c r="G4" s="17"/>
      <c r="H4" s="14"/>
      <c r="I4" s="14"/>
      <c r="J4" s="14"/>
      <c r="K4" s="15">
        <f>SUM(K28,K30,K66)</f>
        <v>43968938.902108707</v>
      </c>
      <c r="L4" s="14"/>
      <c r="M4" s="19">
        <f>K4/$C$6</f>
        <v>1.6577262220070756</v>
      </c>
      <c r="N4" s="23"/>
    </row>
    <row r="5" spans="1:17" x14ac:dyDescent="0.25">
      <c r="A5" s="5"/>
      <c r="B5" s="5" t="s">
        <v>126</v>
      </c>
      <c r="C5" s="21">
        <v>0</v>
      </c>
      <c r="D5" s="22"/>
      <c r="E5" s="16"/>
      <c r="F5" s="16"/>
      <c r="G5" s="24">
        <f>SUM(D28,D30,D43,D51,D66,D68:D68)</f>
        <v>1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127</v>
      </c>
      <c r="C6" s="21">
        <f>C3+C4-C5</f>
        <v>26523643.239999998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128</v>
      </c>
      <c r="B8" s="30" t="s">
        <v>129</v>
      </c>
      <c r="C8" s="31" t="s">
        <v>1</v>
      </c>
      <c r="D8" s="31" t="s">
        <v>176</v>
      </c>
      <c r="E8" s="31" t="s">
        <v>131</v>
      </c>
      <c r="F8" s="31" t="s">
        <v>132</v>
      </c>
      <c r="G8" s="31" t="s">
        <v>133</v>
      </c>
      <c r="H8" s="31" t="s">
        <v>134</v>
      </c>
      <c r="I8" s="31" t="s">
        <v>135</v>
      </c>
      <c r="J8" s="31" t="s">
        <v>136</v>
      </c>
      <c r="K8" s="32" t="s">
        <v>137</v>
      </c>
      <c r="L8" s="32" t="s">
        <v>138</v>
      </c>
      <c r="M8" s="32" t="s">
        <v>139</v>
      </c>
      <c r="N8" s="33"/>
      <c r="Q8" s="35"/>
    </row>
    <row r="9" spans="1:17" s="46" customFormat="1" ht="12.75" customHeight="1" x14ac:dyDescent="0.25">
      <c r="A9" s="36" t="s">
        <v>140</v>
      </c>
      <c r="B9" s="36" t="s">
        <v>49</v>
      </c>
      <c r="C9" s="36" t="s">
        <v>50</v>
      </c>
      <c r="D9" s="37">
        <v>1.2E-2</v>
      </c>
      <c r="E9" s="38">
        <f>'Nov 20'!$D9*$C$6*$C$2</f>
        <v>2514441.379152</v>
      </c>
      <c r="F9" s="38">
        <v>497</v>
      </c>
      <c r="G9" s="39">
        <f>'Nov 20'!$E9/'Nov 20'!$F9</f>
        <v>5059.2381874285711</v>
      </c>
      <c r="H9" s="36">
        <v>5110</v>
      </c>
      <c r="I9" s="36">
        <f>ROUND(Table13895845679910111213144562678910111213141516171819202134567891011121314151617181920212223345678910111213141516[[#This Row],[Target Quantity]],0)</f>
        <v>5059</v>
      </c>
      <c r="J9" s="40">
        <f t="shared" ref="J9:J26" si="0">I9-H9</f>
        <v>-51</v>
      </c>
      <c r="K9" s="41">
        <f>'Nov 20'!$F9*'Nov 20'!$I9</f>
        <v>2514323</v>
      </c>
      <c r="L9" s="42">
        <f>'Nov 20'!$K9/$K$2</f>
        <v>1.2255403356627373E-2</v>
      </c>
      <c r="M9" s="43"/>
    </row>
    <row r="10" spans="1:17" s="46" customFormat="1" ht="12.75" customHeight="1" x14ac:dyDescent="0.25">
      <c r="A10" s="36" t="s">
        <v>140</v>
      </c>
      <c r="B10" s="36" t="s">
        <v>37</v>
      </c>
      <c r="C10" s="36" t="s">
        <v>38</v>
      </c>
      <c r="D10" s="37">
        <v>1.2E-2</v>
      </c>
      <c r="E10" s="38">
        <f>'Nov 20'!$D10*$C$6*$C$2</f>
        <v>2514441.379152</v>
      </c>
      <c r="F10" s="38">
        <v>86.799993142230093</v>
      </c>
      <c r="G10" s="39">
        <f>'Nov 20'!$E10/'Nov 20'!$F10</f>
        <v>28968.220942504537</v>
      </c>
      <c r="H10" s="36">
        <v>29164</v>
      </c>
      <c r="I10" s="36">
        <f>ROUND(Table13895845679910111213144562678910111213141516171819202134567891011121314151617181920212223345678910111213141516[[#This Row],[Target Quantity]],0)</f>
        <v>28968</v>
      </c>
      <c r="J10" s="40">
        <f t="shared" si="0"/>
        <v>-196</v>
      </c>
      <c r="K10" s="41">
        <f>'Nov 20'!$F10*'Nov 20'!$I10</f>
        <v>2514422.2013441212</v>
      </c>
      <c r="L10" s="42">
        <f>'Nov 20'!$K10/$K$2</f>
        <v>1.2255886887377292E-2</v>
      </c>
      <c r="M10" s="43"/>
    </row>
    <row r="11" spans="1:17" s="47" customFormat="1" ht="12.75" customHeight="1" x14ac:dyDescent="0.25">
      <c r="A11" s="36" t="s">
        <v>140</v>
      </c>
      <c r="B11" s="36" t="s">
        <v>27</v>
      </c>
      <c r="C11" s="36" t="s">
        <v>28</v>
      </c>
      <c r="D11" s="37">
        <v>1.2E-2</v>
      </c>
      <c r="E11" s="38">
        <f>'Nov 20'!$D11*$C$6*$C$2</f>
        <v>2514441.379152</v>
      </c>
      <c r="F11" s="38">
        <v>220.10004342162401</v>
      </c>
      <c r="G11" s="39">
        <f>'Nov 20'!$E11/'Nov 20'!$F11</f>
        <v>11424.083975918767</v>
      </c>
      <c r="H11" s="36">
        <v>11515</v>
      </c>
      <c r="I11" s="36">
        <f>ROUND(Table13895845679910111213144562678910111213141516171819202134567891011121314151617181920212223345678910111213141516[[#This Row],[Target Quantity]],0)</f>
        <v>11424</v>
      </c>
      <c r="J11" s="40">
        <f t="shared" si="0"/>
        <v>-91</v>
      </c>
      <c r="K11" s="41">
        <f>'Nov 20'!$F11*'Nov 20'!$I11</f>
        <v>2514422.8960486325</v>
      </c>
      <c r="L11" s="42">
        <f>'Nov 20'!$K11/$K$2</f>
        <v>1.2255890273530939E-2</v>
      </c>
      <c r="M11" s="36"/>
    </row>
    <row r="12" spans="1:17" s="47" customFormat="1" ht="12.75" customHeight="1" x14ac:dyDescent="0.25">
      <c r="A12" s="36" t="s">
        <v>140</v>
      </c>
      <c r="B12" s="36" t="s">
        <v>51</v>
      </c>
      <c r="C12" s="36" t="s">
        <v>52</v>
      </c>
      <c r="D12" s="37">
        <v>1.2E-2</v>
      </c>
      <c r="E12" s="38">
        <f>'Nov 20'!$D12*$C$6*$C$2</f>
        <v>2514441.379152</v>
      </c>
      <c r="F12" s="38">
        <v>418.80006709157999</v>
      </c>
      <c r="G12" s="39">
        <f>'Nov 20'!$E12/'Nov 20'!$F12</f>
        <v>6003.918281613267</v>
      </c>
      <c r="H12" s="36">
        <v>5962</v>
      </c>
      <c r="I12" s="36">
        <f>ROUND(Table13895845679910111213144562678910111213141516171819202134567891011121314151617181920212223345678910111213141516[[#This Row],[Target Quantity]],0)</f>
        <v>6004</v>
      </c>
      <c r="J12" s="40">
        <f t="shared" si="0"/>
        <v>42</v>
      </c>
      <c r="K12" s="41">
        <f>'Nov 20'!$F12*'Nov 20'!$I12</f>
        <v>2514475.6028178465</v>
      </c>
      <c r="L12" s="42">
        <f>'Nov 20'!$K12/$K$2</f>
        <v>1.2256147178756061E-2</v>
      </c>
      <c r="M12" s="36"/>
    </row>
    <row r="13" spans="1:17" s="47" customFormat="1" ht="12.75" customHeight="1" x14ac:dyDescent="0.25">
      <c r="A13" s="36" t="s">
        <v>140</v>
      </c>
      <c r="B13" s="36" t="s">
        <v>41</v>
      </c>
      <c r="C13" s="36" t="s">
        <v>42</v>
      </c>
      <c r="D13" s="37">
        <v>1.2E-2</v>
      </c>
      <c r="E13" s="38">
        <f>'Nov 20'!$D13*$C$6*$C$2</f>
        <v>2514441.379152</v>
      </c>
      <c r="F13" s="38">
        <v>1370</v>
      </c>
      <c r="G13" s="39">
        <f>'Nov 20'!$E13/'Nov 20'!$F13</f>
        <v>1835.3586709138685</v>
      </c>
      <c r="H13" s="36">
        <v>1872</v>
      </c>
      <c r="I13" s="36">
        <f>ROUND(Table13895845679910111213144562678910111213141516171819202134567891011121314151617181920212223345678910111213141516[[#This Row],[Target Quantity]],0)</f>
        <v>1835</v>
      </c>
      <c r="J13" s="40">
        <f t="shared" si="0"/>
        <v>-37</v>
      </c>
      <c r="K13" s="41">
        <f>'Nov 20'!$F13*'Nov 20'!$I13</f>
        <v>2513950</v>
      </c>
      <c r="L13" s="42">
        <f>'Nov 20'!$K13/$K$2</f>
        <v>1.2253585266647677E-2</v>
      </c>
      <c r="M13" s="36"/>
    </row>
    <row r="14" spans="1:17" s="47" customFormat="1" ht="12.75" customHeight="1" x14ac:dyDescent="0.25">
      <c r="A14" s="36" t="s">
        <v>140</v>
      </c>
      <c r="B14" s="36" t="s">
        <v>31</v>
      </c>
      <c r="C14" s="36" t="s">
        <v>32</v>
      </c>
      <c r="D14" s="37">
        <v>1.2E-2</v>
      </c>
      <c r="E14" s="38">
        <f>'Nov 20'!$D14*$C$6*$C$2</f>
        <v>2514441.379152</v>
      </c>
      <c r="F14" s="38">
        <v>279.85004578754598</v>
      </c>
      <c r="G14" s="39">
        <f>'Nov 20'!$E14/'Nov 20'!$F14</f>
        <v>8984.9596846623026</v>
      </c>
      <c r="H14" s="36">
        <v>8736</v>
      </c>
      <c r="I14" s="36">
        <f>ROUND(Table13895845679910111213144562678910111213141516171819202134567891011121314151617181920212223345678910111213141516[[#This Row],[Target Quantity]],0)</f>
        <v>8985</v>
      </c>
      <c r="J14" s="40">
        <f t="shared" si="0"/>
        <v>249</v>
      </c>
      <c r="K14" s="41">
        <f>'Nov 20'!$F14*'Nov 20'!$I14</f>
        <v>2514452.6614011005</v>
      </c>
      <c r="L14" s="42">
        <f>'Nov 20'!$K14/$K$2</f>
        <v>1.2256035356879637E-2</v>
      </c>
      <c r="M14" s="36"/>
    </row>
    <row r="15" spans="1:17" s="47" customFormat="1" ht="12.75" customHeight="1" x14ac:dyDescent="0.25">
      <c r="A15" s="36" t="s">
        <v>140</v>
      </c>
      <c r="B15" s="36" t="s">
        <v>29</v>
      </c>
      <c r="C15" s="36" t="s">
        <v>30</v>
      </c>
      <c r="D15" s="37">
        <v>1.2E-2</v>
      </c>
      <c r="E15" s="38">
        <f>'Nov 20'!$D15*$C$6*$C$2</f>
        <v>2514441.379152</v>
      </c>
      <c r="F15" s="38">
        <v>21.149997510414799</v>
      </c>
      <c r="G15" s="39">
        <f>'Nov 20'!$E15/'Nov 20'!$F15</f>
        <v>118886.13121178027</v>
      </c>
      <c r="H15" s="36">
        <v>120502</v>
      </c>
      <c r="I15" s="36">
        <f>ROUND(Table13895845679910111213144562678910111213141516171819202134567891011121314151617181920212223345678910111213141516[[#This Row],[Target Quantity]],0)</f>
        <v>118886</v>
      </c>
      <c r="J15" s="40">
        <f t="shared" si="0"/>
        <v>-1616</v>
      </c>
      <c r="K15" s="41">
        <f>'Nov 20'!$F15*'Nov 20'!$I15</f>
        <v>2514438.6040231739</v>
      </c>
      <c r="L15" s="42">
        <f>'Nov 20'!$K15/$K$2</f>
        <v>1.2255966837903903E-2</v>
      </c>
      <c r="M15" s="36"/>
    </row>
    <row r="16" spans="1:17" s="47" customFormat="1" ht="12.75" customHeight="1" x14ac:dyDescent="0.25">
      <c r="A16" s="36" t="s">
        <v>140</v>
      </c>
      <c r="B16" s="36" t="s">
        <v>39</v>
      </c>
      <c r="C16" s="36" t="s">
        <v>40</v>
      </c>
      <c r="D16" s="37">
        <v>6.0000000000000001E-3</v>
      </c>
      <c r="E16" s="38">
        <f>'Nov 20'!$D16*$C$6*$C$2</f>
        <v>1257220.689576</v>
      </c>
      <c r="F16" s="38">
        <v>39.550011095964202</v>
      </c>
      <c r="G16" s="39">
        <f>'Nov 20'!$E16/'Nov 20'!$F16</f>
        <v>31788.124825691651</v>
      </c>
      <c r="H16" s="36">
        <v>31543</v>
      </c>
      <c r="I16" s="36">
        <f>ROUND(Table13895845679910111213144562678910111213141516171819202134567891011121314151617181920212223345678910111213141516[[#This Row],[Target Quantity]],0)</f>
        <v>31788</v>
      </c>
      <c r="J16" s="40">
        <f t="shared" si="0"/>
        <v>245</v>
      </c>
      <c r="K16" s="41">
        <f>'Nov 20'!$F16*'Nov 20'!$I16</f>
        <v>1257215.7527185101</v>
      </c>
      <c r="L16" s="42">
        <f>'Nov 20'!$K16/$K$2</f>
        <v>6.1279661188603212E-3</v>
      </c>
      <c r="M16" s="36"/>
    </row>
    <row r="17" spans="1:15" s="47" customFormat="1" ht="12.75" customHeight="1" x14ac:dyDescent="0.25">
      <c r="A17" s="36" t="s">
        <v>140</v>
      </c>
      <c r="B17" s="36" t="s">
        <v>19</v>
      </c>
      <c r="C17" s="36" t="s">
        <v>20</v>
      </c>
      <c r="D17" s="37">
        <v>1.2E-2</v>
      </c>
      <c r="E17" s="38">
        <f>'Nov 20'!$D17*$C$6*$C$2</f>
        <v>2514441.379152</v>
      </c>
      <c r="F17" s="38">
        <v>441.35002702215797</v>
      </c>
      <c r="G17" s="39">
        <f>'Nov 20'!$E17/'Nov 20'!$F17</f>
        <v>5697.1592278293037</v>
      </c>
      <c r="H17" s="36">
        <v>5551</v>
      </c>
      <c r="I17" s="36">
        <f>ROUND(Table13895845679910111213144562678910111213141516171819202134567891011121314151617181920212223345678910111213141516[[#This Row],[Target Quantity]],0)</f>
        <v>5697</v>
      </c>
      <c r="J17" s="40">
        <f t="shared" si="0"/>
        <v>146</v>
      </c>
      <c r="K17" s="41">
        <f>'Nov 20'!$F17*'Nov 20'!$I17</f>
        <v>2514371.1039452339</v>
      </c>
      <c r="L17" s="42">
        <f>'Nov 20'!$K17/$K$2</f>
        <v>1.2255637826602744E-2</v>
      </c>
      <c r="M17" s="36"/>
    </row>
    <row r="18" spans="1:15" s="47" customFormat="1" ht="12.75" customHeight="1" x14ac:dyDescent="0.25">
      <c r="A18" s="36" t="s">
        <v>140</v>
      </c>
      <c r="B18" s="36" t="s">
        <v>33</v>
      </c>
      <c r="C18" s="36" t="s">
        <v>34</v>
      </c>
      <c r="D18" s="37">
        <v>6.0000000000000001E-3</v>
      </c>
      <c r="E18" s="38">
        <f>'Nov 20'!$D18*$C$6*$C$2</f>
        <v>1257220.689576</v>
      </c>
      <c r="F18" s="38">
        <v>24.3999923270223</v>
      </c>
      <c r="G18" s="39">
        <f>'Nov 20'!$E18/'Nov 20'!$F18</f>
        <v>51525.454300395977</v>
      </c>
      <c r="H18" s="36">
        <v>52131</v>
      </c>
      <c r="I18" s="36">
        <f>ROUND(Table13895845679910111213144562678910111213141516171819202134567891011121314151617181920212223345678910111213141516[[#This Row],[Target Quantity]],0)</f>
        <v>51525</v>
      </c>
      <c r="J18" s="40">
        <f t="shared" si="0"/>
        <v>-606</v>
      </c>
      <c r="K18" s="41">
        <f>'Nov 20'!$F18*'Nov 20'!$I18</f>
        <v>1257209.6046498241</v>
      </c>
      <c r="L18" s="42">
        <f>'Nov 20'!$K18/$K$2</f>
        <v>6.1279361517233974E-3</v>
      </c>
      <c r="M18" s="36"/>
    </row>
    <row r="19" spans="1:15" s="47" customFormat="1" ht="12.75" customHeight="1" x14ac:dyDescent="0.25">
      <c r="A19" s="36" t="s">
        <v>140</v>
      </c>
      <c r="B19" s="36" t="s">
        <v>21</v>
      </c>
      <c r="C19" s="36" t="s">
        <v>22</v>
      </c>
      <c r="D19" s="37">
        <v>1.2E-2</v>
      </c>
      <c r="E19" s="38">
        <f>'Nov 20'!$D19*$C$6*$C$2</f>
        <v>2514441.379152</v>
      </c>
      <c r="F19" s="38">
        <v>39.130001755701997</v>
      </c>
      <c r="G19" s="39">
        <f>'Nov 20'!$E19/'Nov 20'!$F19</f>
        <v>64258.657458035952</v>
      </c>
      <c r="H19" s="36">
        <v>62653</v>
      </c>
      <c r="I19" s="36">
        <f>ROUND(Table13895845679910111213144562678910111213141516171819202134567891011121314151617181920212223345678910111213141516[[#This Row],[Target Quantity]],0)</f>
        <v>64259</v>
      </c>
      <c r="J19" s="40">
        <f t="shared" si="0"/>
        <v>1606</v>
      </c>
      <c r="K19" s="41">
        <f>'Nov 20'!$F19*'Nov 20'!$I19</f>
        <v>2514454.7828196548</v>
      </c>
      <c r="L19" s="42">
        <f>'Nov 20'!$K19/$K$2</f>
        <v>1.2256045697174051E-2</v>
      </c>
      <c r="M19" s="36"/>
    </row>
    <row r="20" spans="1:15" s="47" customFormat="1" ht="12.75" customHeight="1" x14ac:dyDescent="0.25">
      <c r="A20" s="36" t="s">
        <v>140</v>
      </c>
      <c r="B20" s="36" t="s">
        <v>45</v>
      </c>
      <c r="C20" s="36" t="s">
        <v>46</v>
      </c>
      <c r="D20" s="37">
        <v>6.0000000000000001E-3</v>
      </c>
      <c r="E20" s="38">
        <f>'Nov 20'!$D20*$C$6*$C$2</f>
        <v>1257220.689576</v>
      </c>
      <c r="F20" s="38">
        <v>68.220001095350199</v>
      </c>
      <c r="G20" s="39">
        <f>'Nov 20'!$E20/'Nov 20'!$F20</f>
        <v>18428.916291261841</v>
      </c>
      <c r="H20" s="36">
        <v>18259</v>
      </c>
      <c r="I20" s="36">
        <f>ROUND(Table13895845679910111213144562678910111213141516171819202134567891011121314151617181920212223345678910111213141516[[#This Row],[Target Quantity]],0)</f>
        <v>18429</v>
      </c>
      <c r="J20" s="40">
        <f t="shared" si="0"/>
        <v>170</v>
      </c>
      <c r="K20" s="41">
        <f>'Nov 20'!$F20*'Nov 20'!$I20</f>
        <v>1257226.4001862088</v>
      </c>
      <c r="L20" s="42">
        <f>'Nov 20'!$K20/$K$2</f>
        <v>6.1280180171293074E-3</v>
      </c>
      <c r="M20" s="36"/>
    </row>
    <row r="21" spans="1:15" s="47" customFormat="1" ht="12.75" customHeight="1" x14ac:dyDescent="0.25">
      <c r="A21" s="36" t="s">
        <v>140</v>
      </c>
      <c r="B21" s="36" t="s">
        <v>23</v>
      </c>
      <c r="C21" s="36" t="s">
        <v>24</v>
      </c>
      <c r="D21" s="37">
        <v>1.2E-2</v>
      </c>
      <c r="E21" s="38">
        <f>'Nov 20'!$D21*$C$6*$C$2</f>
        <v>2514441.379152</v>
      </c>
      <c r="F21" s="38">
        <v>255.58998957247101</v>
      </c>
      <c r="G21" s="39">
        <f>'Nov 20'!$E21/'Nov 20'!$F21</f>
        <v>9837.792878187216</v>
      </c>
      <c r="H21" s="36">
        <v>9590</v>
      </c>
      <c r="I21" s="36">
        <f>ROUND(Table13895845679910111213144562678910111213141516171819202134567891011121314151617181920212223345678910111213141516[[#This Row],[Target Quantity]],0)</f>
        <v>9838</v>
      </c>
      <c r="J21" s="40">
        <f t="shared" si="0"/>
        <v>248</v>
      </c>
      <c r="K21" s="41">
        <f>'Nov 20'!$F21*'Nov 20'!$I21</f>
        <v>2514494.3174139699</v>
      </c>
      <c r="L21" s="42">
        <f>'Nov 20'!$K21/$K$2</f>
        <v>1.2256238398111787E-2</v>
      </c>
      <c r="M21" s="36"/>
    </row>
    <row r="22" spans="1:15" s="47" customFormat="1" ht="12.75" customHeight="1" x14ac:dyDescent="0.25">
      <c r="A22" s="36" t="s">
        <v>140</v>
      </c>
      <c r="B22" s="36" t="s">
        <v>47</v>
      </c>
      <c r="C22" s="36" t="s">
        <v>48</v>
      </c>
      <c r="D22" s="37">
        <v>6.0000000000000001E-3</v>
      </c>
      <c r="E22" s="38">
        <f>'Nov 20'!$D22*$C$6*$C$2</f>
        <v>1257220.689576</v>
      </c>
      <c r="F22" s="38">
        <v>354.669952126162</v>
      </c>
      <c r="G22" s="39">
        <f>'Nov 20'!$E22/'Nov 20'!$F22</f>
        <v>3544.7623404217384</v>
      </c>
      <c r="H22" s="36">
        <v>3551</v>
      </c>
      <c r="I22" s="36">
        <f>ROUND(Table13895845679910111213144562678910111213141516171819202134567891011121314151617181920212223345678910111213141516[[#This Row],[Target Quantity]],0)</f>
        <v>3545</v>
      </c>
      <c r="J22" s="40">
        <f t="shared" si="0"/>
        <v>-6</v>
      </c>
      <c r="K22" s="41">
        <f>'Nov 20'!$F22*'Nov 20'!$I22</f>
        <v>1257304.9802872443</v>
      </c>
      <c r="L22" s="42">
        <f>'Nov 20'!$K22/$K$2</f>
        <v>6.1284010350764829E-3</v>
      </c>
      <c r="M22" s="36"/>
    </row>
    <row r="23" spans="1:15" s="47" customFormat="1" ht="12.75" customHeight="1" x14ac:dyDescent="0.25">
      <c r="A23" s="36" t="s">
        <v>140</v>
      </c>
      <c r="B23" s="36" t="s">
        <v>15</v>
      </c>
      <c r="C23" s="36" t="s">
        <v>16</v>
      </c>
      <c r="D23" s="37">
        <v>6.0000000000000001E-3</v>
      </c>
      <c r="E23" s="38">
        <f>'Nov 20'!$D23*$C$6*$C$2</f>
        <v>1257220.689576</v>
      </c>
      <c r="F23" s="38">
        <v>125.800020510717</v>
      </c>
      <c r="G23" s="39">
        <f>'Nov 20'!$E23/'Nov 20'!$F23</f>
        <v>9993.8035341488394</v>
      </c>
      <c r="H23" s="36">
        <v>9751</v>
      </c>
      <c r="I23" s="36">
        <f>ROUND(Table13895845679910111213144562678910111213141516171819202134567891011121314151617181920212223345678910111213141516[[#This Row],[Target Quantity]],0)</f>
        <v>9994</v>
      </c>
      <c r="J23" s="40">
        <f t="shared" si="0"/>
        <v>243</v>
      </c>
      <c r="K23" s="41">
        <f>'Nov 20'!$F23*'Nov 20'!$I23</f>
        <v>1257245.4049841058</v>
      </c>
      <c r="L23" s="42">
        <f>'Nov 20'!$K23/$K$2</f>
        <v>6.1281106509969291E-3</v>
      </c>
      <c r="M23" s="36"/>
    </row>
    <row r="24" spans="1:15" s="47" customFormat="1" ht="12.75" customHeight="1" x14ac:dyDescent="0.25">
      <c r="A24" s="36" t="s">
        <v>140</v>
      </c>
      <c r="B24" s="36" t="s">
        <v>43</v>
      </c>
      <c r="C24" s="36" t="s">
        <v>44</v>
      </c>
      <c r="D24" s="37">
        <v>1.2E-2</v>
      </c>
      <c r="E24" s="38">
        <f>'Nov 20'!$D24*$C$6*$C$2</f>
        <v>2514441.379152</v>
      </c>
      <c r="F24" s="38">
        <v>268.83997422403598</v>
      </c>
      <c r="G24" s="39">
        <f>'Nov 20'!$E24/'Nov 20'!$F24</f>
        <v>9352.9296988274782</v>
      </c>
      <c r="H24" s="36">
        <v>9311</v>
      </c>
      <c r="I24" s="36">
        <f>ROUND(Table13895845679910111213144562678910111213141516171819202134567891011121314151617181920212223345678910111213141516[[#This Row],[Target Quantity]],0)</f>
        <v>9353</v>
      </c>
      <c r="J24" s="40">
        <f t="shared" si="0"/>
        <v>42</v>
      </c>
      <c r="K24" s="41">
        <f>'Nov 20'!$F24*'Nov 20'!$I24</f>
        <v>2514460.2789174085</v>
      </c>
      <c r="L24" s="42">
        <f>'Nov 20'!$K24/$K$2</f>
        <v>1.2256072486450869E-2</v>
      </c>
      <c r="M24" s="36"/>
    </row>
    <row r="25" spans="1:15" s="47" customFormat="1" ht="12.75" customHeight="1" x14ac:dyDescent="0.25">
      <c r="A25" s="36" t="s">
        <v>140</v>
      </c>
      <c r="B25" s="36" t="s">
        <v>25</v>
      </c>
      <c r="C25" s="36" t="s">
        <v>26</v>
      </c>
      <c r="D25" s="37">
        <v>6.0000000000000001E-3</v>
      </c>
      <c r="E25" s="38">
        <f>'Nov 20'!$D25*$C$6*$C$2</f>
        <v>1257220.689576</v>
      </c>
      <c r="F25" s="38">
        <v>76.759992654710203</v>
      </c>
      <c r="G25" s="39">
        <f>'Nov 20'!$E25/'Nov 20'!$F25</f>
        <v>16378.59314592904</v>
      </c>
      <c r="H25" s="36">
        <v>16337</v>
      </c>
      <c r="I25" s="36">
        <f>ROUND(Table13895845679910111213144562678910111213141516171819202134567891011121314151617181920212223345678910111213141516[[#This Row],[Target Quantity]],0)</f>
        <v>16379</v>
      </c>
      <c r="J25" s="40">
        <f t="shared" si="0"/>
        <v>42</v>
      </c>
      <c r="K25" s="41">
        <f>'Nov 20'!$F25*'Nov 20'!$I25</f>
        <v>1257251.9196914984</v>
      </c>
      <c r="L25" s="42">
        <f>'Nov 20'!$K25/$K$2</f>
        <v>6.1281424052173879E-3</v>
      </c>
      <c r="M25" s="36"/>
    </row>
    <row r="26" spans="1:15" s="47" customFormat="1" ht="12.75" customHeight="1" x14ac:dyDescent="0.25">
      <c r="A26" s="36" t="s">
        <v>140</v>
      </c>
      <c r="B26" s="47" t="s">
        <v>11</v>
      </c>
      <c r="C26" s="36" t="s">
        <v>12</v>
      </c>
      <c r="D26" s="37">
        <v>1.2E-2</v>
      </c>
      <c r="E26" s="38">
        <f>'Nov 20'!$D26*$C$6*$C$2</f>
        <v>2514441.379152</v>
      </c>
      <c r="F26" s="38">
        <v>2.4365572798260402</v>
      </c>
      <c r="G26" s="39">
        <f>'Nov 20'!$E26/'Nov 20'!$F26</f>
        <v>1031964.8136207659</v>
      </c>
      <c r="H26" s="36">
        <v>1011700</v>
      </c>
      <c r="I26" s="36">
        <f>ROUND(Table13895845679910111213144562678910111213141516171819202134567891011121314151617181920212223345678910111213141516[[#This Row],[Target Quantity]],-2)</f>
        <v>1032000</v>
      </c>
      <c r="J26" s="40">
        <f t="shared" si="0"/>
        <v>20300</v>
      </c>
      <c r="K26" s="41">
        <f>'Nov 20'!$F26*'Nov 20'!$I26</f>
        <v>2514527.1127804737</v>
      </c>
      <c r="L26" s="42">
        <f>'Nov 20'!$K26/$K$2</f>
        <v>1.2256398250463586E-2</v>
      </c>
      <c r="M26" s="36"/>
    </row>
    <row r="27" spans="1:15" s="47" customFormat="1" ht="12.75" customHeight="1" x14ac:dyDescent="0.25">
      <c r="A27" s="36"/>
      <c r="B27" s="36"/>
      <c r="C27" s="36"/>
      <c r="D27" s="37"/>
      <c r="E27" s="38"/>
      <c r="F27" s="38"/>
      <c r="G27" s="39"/>
      <c r="H27" s="36"/>
      <c r="I27" s="36"/>
      <c r="J27" s="48"/>
      <c r="K27" s="38"/>
      <c r="L27" s="49"/>
      <c r="M27" s="36"/>
    </row>
    <row r="28" spans="1:15" s="56" customFormat="1" ht="12.75" customHeight="1" x14ac:dyDescent="0.25">
      <c r="A28" s="50" t="s">
        <v>149</v>
      </c>
      <c r="B28" s="50"/>
      <c r="C28" s="50"/>
      <c r="D28" s="51">
        <f>SUM(D9:D27)</f>
        <v>0.18000000000000005</v>
      </c>
      <c r="E28" s="52">
        <f>'Nov 20'!$D28*$C$6*$C$2</f>
        <v>37716620.687280014</v>
      </c>
      <c r="F28" s="53"/>
      <c r="G28" s="53"/>
      <c r="H28" s="50"/>
      <c r="I28" s="50"/>
      <c r="J28" s="54"/>
      <c r="K28" s="52">
        <f>SUM(K9:K27)</f>
        <v>37716246.624028996</v>
      </c>
      <c r="L28" s="55">
        <f>'Nov 20'!$K28/$K$2</f>
        <v>0.18383788219552968</v>
      </c>
      <c r="M28" s="50"/>
    </row>
    <row r="29" spans="1:15" s="47" customFormat="1" ht="12.75" customHeight="1" x14ac:dyDescent="0.25">
      <c r="A29" s="36"/>
      <c r="B29" s="36"/>
      <c r="C29" s="36"/>
      <c r="D29" s="37"/>
      <c r="E29" s="38"/>
      <c r="F29" s="38"/>
      <c r="G29" s="39"/>
      <c r="H29" s="36"/>
      <c r="I29" s="36"/>
      <c r="J29" s="48"/>
      <c r="K29" s="38"/>
      <c r="L29" s="42"/>
      <c r="M29" s="36"/>
    </row>
    <row r="30" spans="1:15" s="46" customFormat="1" ht="12.75" customHeight="1" x14ac:dyDescent="0.25">
      <c r="A30" s="57"/>
      <c r="B30" s="50" t="s">
        <v>35</v>
      </c>
      <c r="C30" s="57" t="s">
        <v>36</v>
      </c>
      <c r="D30" s="58">
        <v>0.02</v>
      </c>
      <c r="E30" s="59">
        <f>'Nov 20'!$D30*$C$6*$C$2</f>
        <v>4190735.6319200001</v>
      </c>
      <c r="F30" s="53">
        <v>17.819999481565301</v>
      </c>
      <c r="G30" s="60">
        <f>'Nov 20'!$E30/'Nov 20'!$F30</f>
        <v>235170.35655670444</v>
      </c>
      <c r="H30" s="57">
        <v>231466</v>
      </c>
      <c r="I30" s="57">
        <f>ROUND(Table13895845679910111213144562678910111213141516171819202134567891011121314151617181920212223345678910111213141516[[#This Row],[Target Quantity]],0)</f>
        <v>235170</v>
      </c>
      <c r="J30" s="61">
        <f>I30-H30</f>
        <v>3704</v>
      </c>
      <c r="K30" s="62">
        <f>'Nov 20'!$F30*'Nov 20'!$I30</f>
        <v>4190729.2780797118</v>
      </c>
      <c r="L30" s="55">
        <f>'Nov 20'!$K30/$K$2</f>
        <v>2.0426602970777703E-2</v>
      </c>
      <c r="M30" s="50"/>
      <c r="O30" s="44"/>
    </row>
    <row r="31" spans="1:15" s="46" customFormat="1" ht="12.75" customHeight="1" x14ac:dyDescent="0.25">
      <c r="A31" s="36"/>
      <c r="B31" s="36"/>
      <c r="C31" s="36"/>
      <c r="D31" s="37"/>
      <c r="E31" s="38"/>
      <c r="F31" s="38"/>
      <c r="G31" s="39"/>
      <c r="H31" s="36"/>
      <c r="I31" s="36"/>
      <c r="J31" s="48"/>
      <c r="K31" s="41"/>
      <c r="L31" s="42"/>
      <c r="M31" s="36"/>
      <c r="O31" s="44"/>
    </row>
    <row r="32" spans="1:15" s="4" customFormat="1" ht="25.5" x14ac:dyDescent="0.2">
      <c r="A32" s="36" t="s">
        <v>150</v>
      </c>
      <c r="B32" s="63" t="s">
        <v>98</v>
      </c>
      <c r="C32" s="64" t="s">
        <v>99</v>
      </c>
      <c r="D32" s="37">
        <v>2.9000000000000001E-2</v>
      </c>
      <c r="E32" s="38">
        <f>'Nov 20'!$D32*$C$6*$C$2</f>
        <v>6076566.6662840005</v>
      </c>
      <c r="F32" s="38">
        <v>157734.05128205099</v>
      </c>
      <c r="G32" s="39">
        <f>'Nov 20'!$E32/'Nov 20'!$F32</f>
        <v>38.524127269249128</v>
      </c>
      <c r="H32" s="36">
        <v>39</v>
      </c>
      <c r="I32" s="36">
        <v>39</v>
      </c>
      <c r="J32" s="40">
        <f t="shared" ref="J32:J41" si="1">I32-H32</f>
        <v>0</v>
      </c>
      <c r="K32" s="41">
        <f>'Nov 20'!$F32*'Nov 20'!$I32</f>
        <v>6151627.9999999888</v>
      </c>
      <c r="L32" s="42">
        <f>'Nov 20'!$K32/$K$2</f>
        <v>2.99844858595824E-2</v>
      </c>
      <c r="M32" s="65"/>
    </row>
    <row r="33" spans="1:15" s="4" customFormat="1" ht="25.5" x14ac:dyDescent="0.2">
      <c r="A33" s="36" t="s">
        <v>150</v>
      </c>
      <c r="B33" s="63" t="s">
        <v>102</v>
      </c>
      <c r="C33" s="64" t="s">
        <v>103</v>
      </c>
      <c r="D33" s="37">
        <v>2.9000000000000001E-2</v>
      </c>
      <c r="E33" s="38">
        <f>'Nov 20'!$D33*$C$6*$C$2</f>
        <v>6076566.6662840005</v>
      </c>
      <c r="F33" s="38">
        <v>218521.07407407399</v>
      </c>
      <c r="G33" s="39">
        <f>'Nov 20'!$E33/'Nov 20'!$F33</f>
        <v>27.807691738803069</v>
      </c>
      <c r="H33" s="36">
        <v>27</v>
      </c>
      <c r="I33" s="36">
        <v>28</v>
      </c>
      <c r="J33" s="40">
        <f t="shared" si="1"/>
        <v>1</v>
      </c>
      <c r="K33" s="41">
        <f>'Nov 20'!$F33*'Nov 20'!$I33</f>
        <v>6118590.0740740718</v>
      </c>
      <c r="L33" s="42">
        <f>'Nov 20'!$K33/$K$2</f>
        <v>2.982345121594732E-2</v>
      </c>
      <c r="M33" s="65"/>
    </row>
    <row r="34" spans="1:15" s="4" customFormat="1" ht="25.5" x14ac:dyDescent="0.2">
      <c r="A34" s="36" t="s">
        <v>150</v>
      </c>
      <c r="B34" s="63" t="s">
        <v>104</v>
      </c>
      <c r="C34" s="64" t="s">
        <v>105</v>
      </c>
      <c r="D34" s="37">
        <v>2.9000000000000001E-2</v>
      </c>
      <c r="E34" s="38">
        <f>'Nov 20'!$D34*$C$6*$C$2</f>
        <v>6076566.6662840005</v>
      </c>
      <c r="F34" s="38">
        <v>173714.05882352899</v>
      </c>
      <c r="G34" s="39">
        <f>'Nov 20'!$E34/'Nov 20'!$F34</f>
        <v>34.980281431665851</v>
      </c>
      <c r="H34" s="36">
        <v>34</v>
      </c>
      <c r="I34" s="36">
        <v>35</v>
      </c>
      <c r="J34" s="40">
        <f t="shared" si="1"/>
        <v>1</v>
      </c>
      <c r="K34" s="41">
        <f>'Nov 20'!$F34*'Nov 20'!$I34</f>
        <v>6079992.0588235147</v>
      </c>
      <c r="L34" s="42">
        <f>'Nov 20'!$K34/$K$2</f>
        <v>2.9635315385482884E-2</v>
      </c>
      <c r="M34" s="65"/>
    </row>
    <row r="35" spans="1:15" s="4" customFormat="1" ht="25.5" x14ac:dyDescent="0.2">
      <c r="A35" s="36" t="s">
        <v>150</v>
      </c>
      <c r="B35" s="63" t="s">
        <v>106</v>
      </c>
      <c r="C35" s="64" t="s">
        <v>107</v>
      </c>
      <c r="D35" s="37">
        <v>2.9000000000000001E-2</v>
      </c>
      <c r="E35" s="38">
        <f>'Nov 20'!$D35*$C$6*$C$2</f>
        <v>6076566.6662840005</v>
      </c>
      <c r="F35" s="38">
        <v>125575.85416666701</v>
      </c>
      <c r="G35" s="39">
        <f>'Nov 20'!$E35/'Nov 20'!$F35</f>
        <v>48.389610459818563</v>
      </c>
      <c r="H35" s="36">
        <v>48</v>
      </c>
      <c r="I35" s="36">
        <v>48</v>
      </c>
      <c r="J35" s="40">
        <f t="shared" si="1"/>
        <v>0</v>
      </c>
      <c r="K35" s="41">
        <f>'Nov 20'!$F35*'Nov 20'!$I35</f>
        <v>6027641.0000000168</v>
      </c>
      <c r="L35" s="42">
        <f>'Nov 20'!$K35/$K$2</f>
        <v>2.9380143976706647E-2</v>
      </c>
      <c r="M35" s="65"/>
    </row>
    <row r="36" spans="1:15" s="4" customFormat="1" ht="25.5" x14ac:dyDescent="0.2">
      <c r="A36" s="36" t="s">
        <v>150</v>
      </c>
      <c r="B36" s="63" t="s">
        <v>108</v>
      </c>
      <c r="C36" s="64" t="s">
        <v>109</v>
      </c>
      <c r="D36" s="37">
        <v>2.9000000000000001E-2</v>
      </c>
      <c r="E36" s="38">
        <f>'Nov 20'!$D36*$C$6*$C$2</f>
        <v>6076566.6662840005</v>
      </c>
      <c r="F36" s="38">
        <v>138421.88372093</v>
      </c>
      <c r="G36" s="39">
        <f>'Nov 20'!$E36/'Nov 20'!$F36</f>
        <v>43.898887249178486</v>
      </c>
      <c r="H36" s="36">
        <v>43</v>
      </c>
      <c r="I36" s="36">
        <v>44</v>
      </c>
      <c r="J36" s="40">
        <f t="shared" si="1"/>
        <v>1</v>
      </c>
      <c r="K36" s="41">
        <f>'Nov 20'!$F36*'Nov 20'!$I36</f>
        <v>6090562.8837209195</v>
      </c>
      <c r="L36" s="42">
        <f>'Nov 20'!$K36/$K$2</f>
        <v>2.9686840079378603E-2</v>
      </c>
      <c r="M36" s="65"/>
    </row>
    <row r="37" spans="1:15" s="4" customFormat="1" ht="25.5" x14ac:dyDescent="0.2">
      <c r="A37" s="36" t="s">
        <v>150</v>
      </c>
      <c r="B37" s="63" t="s">
        <v>114</v>
      </c>
      <c r="C37" s="64" t="s">
        <v>115</v>
      </c>
      <c r="D37" s="37">
        <v>2.9000000000000001E-2</v>
      </c>
      <c r="E37" s="38">
        <f>'Nov 20'!$D37*$C$6*$C$2</f>
        <v>6076566.6662840005</v>
      </c>
      <c r="F37" s="38">
        <v>220765.62962963001</v>
      </c>
      <c r="G37" s="39">
        <f>'Nov 20'!$E37/'Nov 20'!$F37</f>
        <v>27.52496698185502</v>
      </c>
      <c r="H37" s="36">
        <v>27</v>
      </c>
      <c r="I37" s="36">
        <v>28</v>
      </c>
      <c r="J37" s="40">
        <f t="shared" si="1"/>
        <v>1</v>
      </c>
      <c r="K37" s="41">
        <f>'Nov 20'!$F37*'Nov 20'!$I37</f>
        <v>6181437.6296296399</v>
      </c>
      <c r="L37" s="42">
        <f>'Nov 20'!$K37/$K$2</f>
        <v>3.0129785025609614E-2</v>
      </c>
      <c r="M37" s="65"/>
    </row>
    <row r="38" spans="1:15" s="46" customFormat="1" ht="25.5" customHeight="1" x14ac:dyDescent="0.2">
      <c r="A38" s="36" t="s">
        <v>151</v>
      </c>
      <c r="B38" s="36" t="s">
        <v>62</v>
      </c>
      <c r="C38" s="36" t="s">
        <v>63</v>
      </c>
      <c r="D38" s="37">
        <v>2.9000000000000001E-2</v>
      </c>
      <c r="E38" s="38">
        <f>'Nov 20'!$D38*$C$6*$C$2</f>
        <v>6076566.6662840005</v>
      </c>
      <c r="F38" s="38">
        <v>113958.811320755</v>
      </c>
      <c r="G38" s="39">
        <f>'Nov 20'!$E38/'Nov 20'!$F38</f>
        <v>53.322482007824277</v>
      </c>
      <c r="H38" s="36">
        <v>53</v>
      </c>
      <c r="I38" s="36">
        <v>53</v>
      </c>
      <c r="J38" s="40">
        <f t="shared" si="1"/>
        <v>0</v>
      </c>
      <c r="K38" s="41">
        <f>'Nov 20'!$F38*'Nov 20'!$I38</f>
        <v>6039817.0000000149</v>
      </c>
      <c r="L38" s="42">
        <f>'Nov 20'!$K38/$K$2</f>
        <v>2.9439492672665865E-2</v>
      </c>
      <c r="M38" s="43"/>
      <c r="O38" s="4"/>
    </row>
    <row r="39" spans="1:15" s="46" customFormat="1" ht="25.5" x14ac:dyDescent="0.2">
      <c r="A39" s="36" t="s">
        <v>151</v>
      </c>
      <c r="B39" s="36" t="s">
        <v>60</v>
      </c>
      <c r="C39" s="36" t="s">
        <v>61</v>
      </c>
      <c r="D39" s="37">
        <v>2.9000000000000001E-2</v>
      </c>
      <c r="E39" s="38">
        <f>'Nov 20'!$D39*$C$6*$C$2</f>
        <v>6076566.6662840005</v>
      </c>
      <c r="F39" s="38">
        <v>135149.568181818</v>
      </c>
      <c r="G39" s="39">
        <f>'Nov 20'!$E39/'Nov 20'!$F39</f>
        <v>44.961791206828998</v>
      </c>
      <c r="H39" s="36">
        <v>44</v>
      </c>
      <c r="I39" s="36">
        <v>45</v>
      </c>
      <c r="J39" s="40">
        <f t="shared" si="1"/>
        <v>1</v>
      </c>
      <c r="K39" s="41">
        <f>'Nov 20'!$F39*'Nov 20'!$I39</f>
        <v>6081730.56818181</v>
      </c>
      <c r="L39" s="42">
        <f>'Nov 20'!$K39/$K$2</f>
        <v>2.9643789290158287E-2</v>
      </c>
      <c r="M39" s="43"/>
      <c r="O39" s="4"/>
    </row>
    <row r="40" spans="1:15" s="46" customFormat="1" ht="25.5" x14ac:dyDescent="0.2">
      <c r="A40" s="36" t="s">
        <v>151</v>
      </c>
      <c r="B40" s="36" t="s">
        <v>56</v>
      </c>
      <c r="C40" s="36" t="s">
        <v>57</v>
      </c>
      <c r="D40" s="37">
        <v>2.9000000000000001E-2</v>
      </c>
      <c r="E40" s="38">
        <f>'Nov 20'!$D40*$C$6*$C$2</f>
        <v>6076566.6662840005</v>
      </c>
      <c r="F40" s="38">
        <v>178956.181818182</v>
      </c>
      <c r="G40" s="39">
        <f>'Nov 20'!$E40/'Nov 20'!$F40</f>
        <v>33.955611952303173</v>
      </c>
      <c r="H40" s="36">
        <v>33</v>
      </c>
      <c r="I40" s="36">
        <v>34</v>
      </c>
      <c r="J40" s="40">
        <f t="shared" si="1"/>
        <v>1</v>
      </c>
      <c r="K40" s="41">
        <f>'Nov 20'!$F40*'Nov 20'!$I40</f>
        <v>6084510.1818181882</v>
      </c>
      <c r="L40" s="42">
        <f>'Nov 20'!$K40/$K$2</f>
        <v>2.965733778265086E-2</v>
      </c>
      <c r="M40" s="43"/>
      <c r="O40" s="4"/>
    </row>
    <row r="41" spans="1:15" s="46" customFormat="1" ht="25.5" x14ac:dyDescent="0.2">
      <c r="A41" s="36" t="s">
        <v>151</v>
      </c>
      <c r="B41" s="36" t="s">
        <v>66</v>
      </c>
      <c r="C41" s="36" t="s">
        <v>67</v>
      </c>
      <c r="D41" s="37">
        <v>2.9000000000000001E-2</v>
      </c>
      <c r="E41" s="38">
        <f>'Nov 20'!$D41*$C$6*$C$2</f>
        <v>6076566.6662840005</v>
      </c>
      <c r="F41" s="38">
        <v>268836.590909091</v>
      </c>
      <c r="G41" s="39">
        <f>'Nov 20'!$E41/'Nov 20'!$F41</f>
        <v>22.603197897040864</v>
      </c>
      <c r="H41" s="36">
        <v>22</v>
      </c>
      <c r="I41" s="36">
        <v>23</v>
      </c>
      <c r="J41" s="40">
        <f t="shared" si="1"/>
        <v>1</v>
      </c>
      <c r="K41" s="41">
        <f>'Nov 20'!$F41*'Nov 20'!$I41</f>
        <v>6183241.5909090927</v>
      </c>
      <c r="L41" s="42">
        <f>'Nov 20'!$K41/$K$2</f>
        <v>3.0138577958386918E-2</v>
      </c>
      <c r="M41" s="43"/>
      <c r="O41" s="4"/>
    </row>
    <row r="42" spans="1:15" s="67" customFormat="1" ht="12.75" x14ac:dyDescent="0.2">
      <c r="A42" s="36"/>
      <c r="B42" s="64"/>
      <c r="C42" s="64"/>
      <c r="D42" s="37"/>
      <c r="E42" s="66"/>
      <c r="F42" s="38"/>
      <c r="G42" s="39"/>
      <c r="H42" s="36"/>
      <c r="I42" s="36"/>
      <c r="J42" s="48"/>
      <c r="K42" s="38"/>
      <c r="L42" s="49"/>
      <c r="M42" s="65"/>
    </row>
    <row r="43" spans="1:15" s="17" customFormat="1" ht="12.75" x14ac:dyDescent="0.2">
      <c r="A43" s="50" t="s">
        <v>153</v>
      </c>
      <c r="B43" s="68"/>
      <c r="C43" s="68"/>
      <c r="D43" s="58">
        <f>SUBTOTAL(9,D32:D42)</f>
        <v>0.29000000000000004</v>
      </c>
      <c r="E43" s="69">
        <f>'Nov 20'!$D43*$C$6*$C$2</f>
        <v>60765666.662840009</v>
      </c>
      <c r="F43" s="70"/>
      <c r="G43" s="71"/>
      <c r="H43" s="57"/>
      <c r="I43" s="57"/>
      <c r="J43" s="61"/>
      <c r="K43" s="69">
        <f>SUM(K32:K42)</f>
        <v>61039150.987157263</v>
      </c>
      <c r="L43" s="72">
        <f>'Nov 20'!$K43/$K$2</f>
        <v>0.29751921924656943</v>
      </c>
      <c r="M43" s="73"/>
    </row>
    <row r="44" spans="1:15" s="67" customFormat="1" ht="12.75" x14ac:dyDescent="0.2">
      <c r="A44" s="36"/>
      <c r="B44" s="64"/>
      <c r="C44" s="64"/>
      <c r="D44" s="37"/>
      <c r="E44" s="66"/>
      <c r="F44" s="38"/>
      <c r="G44" s="39"/>
      <c r="H44" s="36"/>
      <c r="I44" s="36"/>
      <c r="J44" s="48"/>
      <c r="K44" s="38"/>
      <c r="L44" s="42"/>
      <c r="M44" s="65"/>
    </row>
    <row r="45" spans="1:15" s="4" customFormat="1" ht="24.75" customHeight="1" x14ac:dyDescent="0.2">
      <c r="A45" s="36" t="s">
        <v>150</v>
      </c>
      <c r="B45" s="64" t="s">
        <v>110</v>
      </c>
      <c r="C45" s="64" t="s">
        <v>111</v>
      </c>
      <c r="D45" s="37">
        <v>0.1</v>
      </c>
      <c r="E45" s="38">
        <f>'Nov 20'!$D45*$C$6*$C$2</f>
        <v>20953678.159600001</v>
      </c>
      <c r="F45" s="38">
        <v>416331.20833333302</v>
      </c>
      <c r="G45" s="39">
        <f>'Nov 20'!$E45/'Nov 20'!$F45</f>
        <v>50.329347740906243</v>
      </c>
      <c r="H45" s="36">
        <v>48</v>
      </c>
      <c r="I45" s="36">
        <v>48</v>
      </c>
      <c r="J45" s="40">
        <f>I45-H45</f>
        <v>0</v>
      </c>
      <c r="K45" s="41">
        <f>'Nov 20'!$F45*'Nov 20'!$I45</f>
        <v>19983897.999999985</v>
      </c>
      <c r="L45" s="42">
        <f>'Nov 20'!$K45/$K$2</f>
        <v>9.7406232464046533E-2</v>
      </c>
      <c r="M45" s="65"/>
    </row>
    <row r="46" spans="1:15" s="46" customFormat="1" ht="25.5" x14ac:dyDescent="0.25">
      <c r="A46" s="36" t="s">
        <v>151</v>
      </c>
      <c r="B46" s="36" t="s">
        <v>68</v>
      </c>
      <c r="C46" s="36" t="s">
        <v>69</v>
      </c>
      <c r="D46" s="37">
        <v>0.1</v>
      </c>
      <c r="E46" s="38">
        <f>'Nov 20'!$D46*$C$6*$C$2</f>
        <v>20953678.159600001</v>
      </c>
      <c r="F46" s="38">
        <v>249368.75</v>
      </c>
      <c r="G46" s="39">
        <f>'Nov 20'!$E46/'Nov 20'!$F46</f>
        <v>84.026880511692028</v>
      </c>
      <c r="H46" s="36">
        <v>80</v>
      </c>
      <c r="I46" s="36">
        <v>80</v>
      </c>
      <c r="J46" s="40">
        <f>I46-H46</f>
        <v>0</v>
      </c>
      <c r="K46" s="41">
        <f>'Nov 20'!$F46*'Nov 20'!$I46</f>
        <v>19949500</v>
      </c>
      <c r="L46" s="42">
        <f>'Nov 20'!$K46/$K$2</f>
        <v>9.7238568498573083E-2</v>
      </c>
      <c r="M46" s="43"/>
    </row>
    <row r="47" spans="1:15" s="46" customFormat="1" ht="25.5" x14ac:dyDescent="0.25">
      <c r="A47" s="36" t="s">
        <v>151</v>
      </c>
      <c r="B47" s="36" t="s">
        <v>92</v>
      </c>
      <c r="C47" s="36" t="s">
        <v>93</v>
      </c>
      <c r="D47" s="37">
        <v>0.1</v>
      </c>
      <c r="E47" s="38">
        <f>'Nov 20'!$D47*$C$6*$C$2</f>
        <v>20953678.159600001</v>
      </c>
      <c r="F47" s="38">
        <v>416343.64583333302</v>
      </c>
      <c r="G47" s="39">
        <f>'Nov 20'!$E47/'Nov 20'!$F47</f>
        <v>50.327844244290425</v>
      </c>
      <c r="H47" s="36">
        <v>48</v>
      </c>
      <c r="I47" s="36">
        <v>48</v>
      </c>
      <c r="J47" s="40">
        <f>I47-H47</f>
        <v>0</v>
      </c>
      <c r="K47" s="41">
        <f>'Nov 20'!$F47*'Nov 20'!$I47</f>
        <v>19984494.999999985</v>
      </c>
      <c r="L47" s="42">
        <f>'Nov 20'!$K47/$K$2</f>
        <v>9.7409142382861219E-2</v>
      </c>
      <c r="M47" s="43"/>
    </row>
    <row r="48" spans="1:15" s="46" customFormat="1" ht="25.5" x14ac:dyDescent="0.25">
      <c r="A48" s="36" t="s">
        <v>151</v>
      </c>
      <c r="B48" s="36" t="s">
        <v>95</v>
      </c>
      <c r="C48" s="36" t="s">
        <v>96</v>
      </c>
      <c r="D48" s="37">
        <v>0.1</v>
      </c>
      <c r="E48" s="38">
        <f>'Nov 20'!$D48*$C$6*$C$2</f>
        <v>20953678.159600001</v>
      </c>
      <c r="F48" s="38">
        <v>249795.8</v>
      </c>
      <c r="G48" s="39">
        <f>'Nov 20'!$E48/'Nov 20'!$F48</f>
        <v>83.883228459405643</v>
      </c>
      <c r="H48" s="36">
        <v>80</v>
      </c>
      <c r="I48" s="36">
        <v>80</v>
      </c>
      <c r="J48" s="40">
        <f>I48-H48</f>
        <v>0</v>
      </c>
      <c r="K48" s="41">
        <f>'Nov 20'!$F48*'Nov 20'!$I48</f>
        <v>19983664</v>
      </c>
      <c r="L48" s="42">
        <f>'Nov 20'!$K48/$K$2</f>
        <v>9.7405091892852902E-2</v>
      </c>
      <c r="M48" s="43"/>
    </row>
    <row r="49" spans="1:16" s="46" customFormat="1" ht="25.5" x14ac:dyDescent="0.25">
      <c r="A49" s="36" t="s">
        <v>151</v>
      </c>
      <c r="B49" s="36" t="s">
        <v>77</v>
      </c>
      <c r="C49" s="36" t="s">
        <v>78</v>
      </c>
      <c r="D49" s="37">
        <v>0.1</v>
      </c>
      <c r="E49" s="38">
        <f>'Nov 20'!$D49*$C$6*$C$2</f>
        <v>20953678.159600001</v>
      </c>
      <c r="F49" s="38">
        <v>165989.47540983601</v>
      </c>
      <c r="G49" s="39">
        <f>'Nov 20'!$E49/'Nov 20'!$F49</f>
        <v>126.23498030742226</v>
      </c>
      <c r="H49" s="36">
        <v>122</v>
      </c>
      <c r="I49" s="36">
        <v>122</v>
      </c>
      <c r="J49" s="40">
        <f>I49-H49</f>
        <v>0</v>
      </c>
      <c r="K49" s="41">
        <f>'Nov 20'!$F49*'Nov 20'!$I49</f>
        <v>20250715.999999993</v>
      </c>
      <c r="L49" s="42">
        <f>'Nov 20'!$K49/$K$2</f>
        <v>9.8706766330542081E-2</v>
      </c>
      <c r="M49" s="43"/>
    </row>
    <row r="50" spans="1:16" s="47" customFormat="1" ht="12.75" x14ac:dyDescent="0.25">
      <c r="A50" s="36"/>
      <c r="B50" s="36"/>
      <c r="C50" s="36"/>
      <c r="D50" s="37"/>
      <c r="E50" s="38"/>
      <c r="F50" s="38"/>
      <c r="G50" s="39"/>
      <c r="H50" s="36"/>
      <c r="I50" s="36"/>
      <c r="J50" s="48"/>
      <c r="K50" s="38"/>
      <c r="L50" s="42"/>
      <c r="M50" s="36"/>
    </row>
    <row r="51" spans="1:16" s="56" customFormat="1" ht="25.5" x14ac:dyDescent="0.25">
      <c r="A51" s="50" t="s">
        <v>154</v>
      </c>
      <c r="B51" s="50"/>
      <c r="C51" s="50"/>
      <c r="D51" s="58">
        <f>SUBTOTAL(9,D45:D50)</f>
        <v>0.5</v>
      </c>
      <c r="E51" s="52">
        <f>'Nov 20'!$D51*$C$6*$C$2</f>
        <v>104768390.79799999</v>
      </c>
      <c r="F51" s="71"/>
      <c r="G51" s="71"/>
      <c r="H51" s="57"/>
      <c r="I51" s="57"/>
      <c r="J51" s="61"/>
      <c r="K51" s="52">
        <f>SUM(K45:K50)</f>
        <v>100152272.99999997</v>
      </c>
      <c r="L51" s="74">
        <f>'Nov 20'!$K51/$K$2</f>
        <v>0.4881658015688759</v>
      </c>
      <c r="M51" s="50"/>
    </row>
    <row r="52" spans="1:16" s="47" customFormat="1" ht="12.75" x14ac:dyDescent="0.25">
      <c r="A52" s="36"/>
      <c r="B52" s="36"/>
      <c r="C52" s="36"/>
      <c r="D52" s="37"/>
      <c r="E52" s="38"/>
      <c r="F52" s="38"/>
      <c r="G52" s="39"/>
      <c r="H52" s="36"/>
      <c r="I52" s="36"/>
      <c r="J52" s="48"/>
      <c r="K52" s="38"/>
      <c r="L52" s="42"/>
      <c r="M52" s="36"/>
    </row>
    <row r="53" spans="1:16" s="46" customFormat="1" ht="12.75" x14ac:dyDescent="0.25">
      <c r="A53" s="36"/>
      <c r="B53" s="36"/>
      <c r="C53" s="36"/>
      <c r="D53" s="37"/>
      <c r="E53" s="38"/>
      <c r="F53" s="38"/>
      <c r="G53" s="75"/>
      <c r="H53" s="36"/>
      <c r="I53" s="36"/>
      <c r="J53" s="40"/>
      <c r="K53" s="41"/>
      <c r="L53" s="42"/>
      <c r="M53" s="43"/>
    </row>
    <row r="54" spans="1:16" s="46" customFormat="1" ht="25.5" x14ac:dyDescent="0.25">
      <c r="A54" s="36" t="s">
        <v>155</v>
      </c>
      <c r="B54" s="36" t="s">
        <v>53</v>
      </c>
      <c r="C54" s="36" t="s">
        <v>54</v>
      </c>
      <c r="D54" s="37">
        <v>1E-3</v>
      </c>
      <c r="E54" s="38">
        <f>'Nov 20'!$D54*$C$6*$C$2</f>
        <v>209536.78159599999</v>
      </c>
      <c r="F54" s="38">
        <v>49792.25</v>
      </c>
      <c r="G54" s="75">
        <f>'Nov 20'!$E54/'Nov 20'!$F54</f>
        <v>4.2082207892995394</v>
      </c>
      <c r="H54" s="36">
        <v>4</v>
      </c>
      <c r="I54" s="36">
        <v>4</v>
      </c>
      <c r="J54" s="40">
        <f t="shared" ref="J54:J63" si="2">I54-H54</f>
        <v>0</v>
      </c>
      <c r="K54" s="41">
        <f>'Nov 20'!$F54*'Nov 20'!$I54</f>
        <v>199169</v>
      </c>
      <c r="L54" s="42">
        <f>'Nov 20'!$K54/$K$2</f>
        <v>9.7079668409194738E-4</v>
      </c>
      <c r="M54" s="43"/>
    </row>
    <row r="55" spans="1:16" s="46" customFormat="1" ht="25.5" x14ac:dyDescent="0.25">
      <c r="A55" s="36" t="s">
        <v>155</v>
      </c>
      <c r="B55" s="36" t="s">
        <v>71</v>
      </c>
      <c r="C55" s="36" t="s">
        <v>72</v>
      </c>
      <c r="D55" s="37">
        <v>1E-3</v>
      </c>
      <c r="E55" s="38">
        <f>'Nov 20'!$D55*$C$6*$C$2</f>
        <v>209536.78159599999</v>
      </c>
      <c r="F55" s="38">
        <v>80950</v>
      </c>
      <c r="G55" s="75">
        <f>'Nov 20'!$E55/'Nov 20'!$F55</f>
        <v>2.588471668882026</v>
      </c>
      <c r="H55" s="36">
        <v>3</v>
      </c>
      <c r="I55" s="36">
        <v>3</v>
      </c>
      <c r="J55" s="40">
        <f t="shared" si="2"/>
        <v>0</v>
      </c>
      <c r="K55" s="41">
        <f>'Nov 20'!$F55*'Nov 20'!$I55</f>
        <v>242850</v>
      </c>
      <c r="L55" s="42">
        <f>'Nov 20'!$K55/$K$2</f>
        <v>1.1837081811513308E-3</v>
      </c>
      <c r="M55" s="43"/>
      <c r="P55" s="46" t="s">
        <v>159</v>
      </c>
    </row>
    <row r="56" spans="1:16" s="46" customFormat="1" ht="25.5" x14ac:dyDescent="0.25">
      <c r="A56" s="36" t="s">
        <v>155</v>
      </c>
      <c r="B56" s="36" t="s">
        <v>83</v>
      </c>
      <c r="C56" s="36" t="s">
        <v>84</v>
      </c>
      <c r="D56" s="37">
        <v>1E-3</v>
      </c>
      <c r="E56" s="38">
        <f>'Nov 20'!$D56*$C$6*$C$2</f>
        <v>209536.78159599999</v>
      </c>
      <c r="F56" s="38">
        <v>95153.5</v>
      </c>
      <c r="G56" s="75">
        <f>'Nov 20'!$E56/'Nov 20'!$F56</f>
        <v>2.2020922151681228</v>
      </c>
      <c r="H56" s="36">
        <v>2</v>
      </c>
      <c r="I56" s="36">
        <v>2</v>
      </c>
      <c r="J56" s="40">
        <f t="shared" si="2"/>
        <v>0</v>
      </c>
      <c r="K56" s="41">
        <f>'Nov 20'!$F56*'Nov 20'!$I56</f>
        <v>190307</v>
      </c>
      <c r="L56" s="42">
        <f>'Nov 20'!$K56/$K$2</f>
        <v>9.2760120580756154E-4</v>
      </c>
      <c r="M56" s="43"/>
    </row>
    <row r="57" spans="1:16" s="46" customFormat="1" ht="25.5" x14ac:dyDescent="0.25">
      <c r="A57" s="36" t="s">
        <v>155</v>
      </c>
      <c r="B57" s="36" t="s">
        <v>161</v>
      </c>
      <c r="C57" s="36" t="s">
        <v>86</v>
      </c>
      <c r="D57" s="37">
        <v>1E-3</v>
      </c>
      <c r="E57" s="38">
        <f>'Nov 20'!$D57*$C$6*$C$2</f>
        <v>209536.78159599999</v>
      </c>
      <c r="F57" s="38">
        <v>233371</v>
      </c>
      <c r="G57" s="75">
        <f>'Nov 20'!$E57/'Nov 20'!$F57</f>
        <v>0.89786983642354867</v>
      </c>
      <c r="H57" s="36">
        <v>1</v>
      </c>
      <c r="I57" s="36">
        <v>1</v>
      </c>
      <c r="J57" s="40">
        <f t="shared" si="2"/>
        <v>0</v>
      </c>
      <c r="K57" s="41">
        <f>'Nov 20'!$F57*'Nov 20'!$I57</f>
        <v>233371</v>
      </c>
      <c r="L57" s="42">
        <f>'Nov 20'!$K57/$K$2</f>
        <v>1.1375052993348456E-3</v>
      </c>
      <c r="M57" s="43"/>
    </row>
    <row r="58" spans="1:16" s="46" customFormat="1" ht="25.5" x14ac:dyDescent="0.25">
      <c r="A58" s="36" t="s">
        <v>155</v>
      </c>
      <c r="B58" s="36" t="s">
        <v>87</v>
      </c>
      <c r="C58" s="36" t="s">
        <v>88</v>
      </c>
      <c r="D58" s="37">
        <v>1E-3</v>
      </c>
      <c r="E58" s="38">
        <f>'Nov 20'!$D58*$C$6*$C$2</f>
        <v>209536.78159599999</v>
      </c>
      <c r="F58" s="38">
        <v>12578.2352941176</v>
      </c>
      <c r="G58" s="75">
        <f>'Nov 20'!$E58/'Nov 20'!$F58</f>
        <v>16.658678796857377</v>
      </c>
      <c r="H58" s="36">
        <v>17</v>
      </c>
      <c r="I58" s="36">
        <v>17</v>
      </c>
      <c r="J58" s="40">
        <f t="shared" si="2"/>
        <v>0</v>
      </c>
      <c r="K58" s="41">
        <f>'Nov 20'!$F58*'Nov 20'!$I58</f>
        <v>213829.99999999919</v>
      </c>
      <c r="L58" s="42">
        <f>'Nov 20'!$K58/$K$2</f>
        <v>1.0422578561893683E-3</v>
      </c>
      <c r="M58" s="43"/>
    </row>
    <row r="59" spans="1:16" s="46" customFormat="1" ht="25.5" x14ac:dyDescent="0.25">
      <c r="A59" s="36" t="s">
        <v>155</v>
      </c>
      <c r="B59" s="36" t="s">
        <v>90</v>
      </c>
      <c r="C59" s="36" t="s">
        <v>91</v>
      </c>
      <c r="D59" s="37">
        <v>1E-3</v>
      </c>
      <c r="E59" s="38">
        <f>'Nov 20'!$D59*$C$6*$C$2</f>
        <v>209536.78159599999</v>
      </c>
      <c r="F59" s="38">
        <v>93891.5</v>
      </c>
      <c r="G59" s="75">
        <f>'Nov 20'!$E59/'Nov 20'!$F59</f>
        <v>2.2316906386201092</v>
      </c>
      <c r="H59" s="36">
        <v>2</v>
      </c>
      <c r="I59" s="36">
        <v>2</v>
      </c>
      <c r="J59" s="40">
        <f t="shared" si="2"/>
        <v>0</v>
      </c>
      <c r="K59" s="41">
        <f>'Nov 20'!$F59*'Nov 20'!$I59</f>
        <v>187783</v>
      </c>
      <c r="L59" s="42">
        <f>'Nov 20'!$K59/$K$2</f>
        <v>9.1529863447041527E-4</v>
      </c>
      <c r="M59" s="43"/>
    </row>
    <row r="60" spans="1:16" s="4" customFormat="1" ht="25.5" x14ac:dyDescent="0.2">
      <c r="A60" s="36" t="s">
        <v>155</v>
      </c>
      <c r="B60" s="64" t="s">
        <v>112</v>
      </c>
      <c r="C60" s="64" t="s">
        <v>113</v>
      </c>
      <c r="D60" s="37">
        <v>1E-3</v>
      </c>
      <c r="E60" s="38">
        <f>'Nov 20'!$D60*$C$6*$C$2</f>
        <v>209536.78159599999</v>
      </c>
      <c r="F60" s="38">
        <v>69448.666666666701</v>
      </c>
      <c r="G60" s="75">
        <f>'Nov 20'!$E60/'Nov 20'!$F60</f>
        <v>3.0171462124926789</v>
      </c>
      <c r="H60" s="36">
        <v>3</v>
      </c>
      <c r="I60" s="36">
        <v>3</v>
      </c>
      <c r="J60" s="40">
        <f t="shared" si="2"/>
        <v>0</v>
      </c>
      <c r="K60" s="41">
        <f>'Nov 20'!$F60*'Nov 20'!$I60</f>
        <v>208346.00000000012</v>
      </c>
      <c r="L60" s="42">
        <f>'Nov 20'!$K60/$K$2</f>
        <v>1.0155275466755417E-3</v>
      </c>
      <c r="M60" s="65"/>
    </row>
    <row r="61" spans="1:16" s="46" customFormat="1" ht="25.5" x14ac:dyDescent="0.25">
      <c r="A61" s="36" t="s">
        <v>155</v>
      </c>
      <c r="B61" s="36" t="s">
        <v>81</v>
      </c>
      <c r="C61" s="36" t="s">
        <v>82</v>
      </c>
      <c r="D61" s="37">
        <v>1E-3</v>
      </c>
      <c r="E61" s="38">
        <f>'Nov 20'!$D61*$C$6*$C$2</f>
        <v>209536.78159599999</v>
      </c>
      <c r="F61" s="38">
        <v>27530</v>
      </c>
      <c r="G61" s="75">
        <f>'Nov 20'!$E61/'Nov 20'!$F61</f>
        <v>7.6112161858336354</v>
      </c>
      <c r="H61" s="36">
        <v>7</v>
      </c>
      <c r="I61" s="36">
        <v>7</v>
      </c>
      <c r="J61" s="40">
        <f t="shared" si="2"/>
        <v>0</v>
      </c>
      <c r="K61" s="41">
        <f>'Nov 20'!$F61*'Nov 20'!$I61</f>
        <v>192710</v>
      </c>
      <c r="L61" s="42">
        <f>'Nov 20'!$K61/$K$2</f>
        <v>9.3931399460437705E-4</v>
      </c>
      <c r="M61" s="43"/>
    </row>
    <row r="62" spans="1:16" s="46" customFormat="1" ht="25.5" x14ac:dyDescent="0.25">
      <c r="A62" s="36" t="s">
        <v>155</v>
      </c>
      <c r="B62" s="36" t="s">
        <v>100</v>
      </c>
      <c r="C62" s="36" t="s">
        <v>101</v>
      </c>
      <c r="D62" s="37">
        <v>1E-3</v>
      </c>
      <c r="E62" s="38">
        <f>'Nov 20'!$D62*$C$6*$C$2</f>
        <v>209536.78159599999</v>
      </c>
      <c r="F62" s="38">
        <v>7740</v>
      </c>
      <c r="G62" s="75">
        <f>'Nov 20'!$E62/'Nov 20'!$F62</f>
        <v>27.071935606718345</v>
      </c>
      <c r="H62" s="36">
        <v>26</v>
      </c>
      <c r="I62" s="36">
        <v>26</v>
      </c>
      <c r="J62" s="40">
        <f t="shared" si="2"/>
        <v>0</v>
      </c>
      <c r="K62" s="41">
        <f>'Nov 20'!$F62*'Nov 20'!$I62</f>
        <v>201240</v>
      </c>
      <c r="L62" s="42">
        <f>'Nov 20'!$K62/$K$2</f>
        <v>9.8089122657975627E-4</v>
      </c>
      <c r="M62" s="43"/>
    </row>
    <row r="63" spans="1:16" s="46" customFormat="1" ht="25.5" x14ac:dyDescent="0.25">
      <c r="A63" s="36" t="s">
        <v>155</v>
      </c>
      <c r="B63" s="36" t="s">
        <v>174</v>
      </c>
      <c r="C63" s="36" t="s">
        <v>75</v>
      </c>
      <c r="D63" s="37">
        <v>1E-3</v>
      </c>
      <c r="E63" s="38">
        <f>'Nov 20'!$D63*$C$6*$C$2</f>
        <v>209536.78159599999</v>
      </c>
      <c r="F63" s="38">
        <v>27479.571428571398</v>
      </c>
      <c r="G63" s="75">
        <f>'Nov 20'!$E63/'Nov 20'!$F63</f>
        <v>7.6251837529801438</v>
      </c>
      <c r="H63" s="36">
        <v>7</v>
      </c>
      <c r="I63" s="36">
        <v>7</v>
      </c>
      <c r="J63" s="40">
        <f t="shared" si="2"/>
        <v>0</v>
      </c>
      <c r="K63" s="41">
        <f>'Nov 20'!$F63*'Nov 20'!$I63</f>
        <v>192356.9999999998</v>
      </c>
      <c r="L63" s="42">
        <f>'Nov 20'!$K63/$K$2</f>
        <v>9.3759338934208897E-4</v>
      </c>
      <c r="M63" s="43"/>
    </row>
    <row r="64" spans="1:16" s="46" customFormat="1" ht="12.75" x14ac:dyDescent="0.25">
      <c r="A64" s="36"/>
      <c r="B64" s="36"/>
      <c r="C64" s="36"/>
      <c r="D64" s="37"/>
      <c r="E64" s="38"/>
      <c r="F64" s="38"/>
      <c r="G64" s="39"/>
      <c r="H64" s="36"/>
      <c r="I64" s="36"/>
      <c r="J64" s="43"/>
      <c r="K64" s="41"/>
      <c r="L64" s="42"/>
      <c r="M64" s="43"/>
    </row>
    <row r="65" spans="1:13" s="46" customFormat="1" ht="12.75" x14ac:dyDescent="0.25">
      <c r="A65" s="36"/>
      <c r="B65" s="36"/>
      <c r="C65" s="36"/>
      <c r="D65" s="37"/>
      <c r="E65" s="38"/>
      <c r="F65" s="38"/>
      <c r="G65" s="39"/>
      <c r="H65" s="36"/>
      <c r="I65" s="36"/>
      <c r="J65" s="43"/>
      <c r="K65" s="41"/>
      <c r="L65" s="42"/>
      <c r="M65" s="43"/>
    </row>
    <row r="66" spans="1:13" s="17" customFormat="1" ht="12.75" x14ac:dyDescent="0.2">
      <c r="A66" s="50" t="s">
        <v>167</v>
      </c>
      <c r="B66" s="68"/>
      <c r="C66" s="68"/>
      <c r="D66" s="76">
        <f>SUM(D54:D65)</f>
        <v>1.0000000000000002E-2</v>
      </c>
      <c r="E66" s="52">
        <f>SUM(E53:E65)</f>
        <v>2095367.8159600003</v>
      </c>
      <c r="F66" s="71"/>
      <c r="G66" s="71"/>
      <c r="H66" s="68"/>
      <c r="I66" s="68"/>
      <c r="J66" s="50"/>
      <c r="K66" s="52">
        <f>SUM(K53:K65)</f>
        <v>2061962.9999999988</v>
      </c>
      <c r="L66" s="55">
        <f>'Nov 20'!$K66/$K$2</f>
        <v>1.0050494018247232E-2</v>
      </c>
      <c r="M66" s="62"/>
    </row>
    <row r="67" spans="1:13" s="4" customFormat="1" ht="12.75" x14ac:dyDescent="0.2">
      <c r="A67" s="36"/>
      <c r="B67" s="64"/>
      <c r="C67" s="64"/>
      <c r="D67" s="77"/>
      <c r="E67" s="38"/>
      <c r="F67" s="38"/>
      <c r="G67" s="39"/>
      <c r="H67" s="64"/>
      <c r="I67" s="64"/>
      <c r="J67" s="36"/>
      <c r="K67" s="36"/>
      <c r="L67" s="42"/>
      <c r="M67" s="65"/>
    </row>
    <row r="68" spans="1:13" s="46" customFormat="1" ht="25.5" x14ac:dyDescent="0.25">
      <c r="A68" s="50" t="s">
        <v>168</v>
      </c>
      <c r="B68" s="57" t="s">
        <v>169</v>
      </c>
      <c r="C68" s="57" t="s">
        <v>170</v>
      </c>
      <c r="D68" s="58">
        <v>0</v>
      </c>
      <c r="E68" s="59">
        <f>'Nov 20'!$D68*$C$6*$C$2</f>
        <v>0</v>
      </c>
      <c r="F68" s="59">
        <v>0</v>
      </c>
      <c r="G68" s="60" t="s">
        <v>175</v>
      </c>
      <c r="H68" s="57">
        <v>0</v>
      </c>
      <c r="I68" s="57">
        <v>0</v>
      </c>
      <c r="J68" s="78">
        <f>I68-H68</f>
        <v>0</v>
      </c>
      <c r="K68" s="59">
        <f>'Nov 20'!$F68*'Nov 20'!$I68</f>
        <v>0</v>
      </c>
      <c r="L68" s="79">
        <f>'Nov 20'!$K68/$K$2</f>
        <v>0</v>
      </c>
      <c r="M68" s="57"/>
    </row>
    <row r="69" spans="1:13" s="4" customFormat="1" ht="12.75" x14ac:dyDescent="0.2">
      <c r="A69" s="36"/>
      <c r="B69" s="64"/>
      <c r="C69" s="64"/>
      <c r="D69" s="77"/>
      <c r="E69" s="38"/>
      <c r="F69" s="38"/>
      <c r="G69" s="39"/>
      <c r="H69" s="64"/>
      <c r="I69" s="64"/>
      <c r="J69" s="36"/>
      <c r="K69" s="36"/>
      <c r="L69" s="42"/>
      <c r="M69" s="65"/>
    </row>
    <row r="70" spans="1:13" s="4" customFormat="1" ht="12.75" x14ac:dyDescent="0.2">
      <c r="A70" s="36"/>
      <c r="B70" s="64"/>
      <c r="C70" s="64"/>
      <c r="D70" s="80"/>
      <c r="E70" s="66"/>
      <c r="F70" s="38"/>
      <c r="G70" s="39"/>
      <c r="H70" s="64"/>
      <c r="I70" s="64"/>
      <c r="J70" s="36"/>
      <c r="K70" s="36"/>
      <c r="L70" s="42"/>
      <c r="M70" s="65"/>
    </row>
    <row r="71" spans="1:13" s="17" customFormat="1" ht="12.75" x14ac:dyDescent="0.2">
      <c r="A71" s="50" t="s">
        <v>171</v>
      </c>
      <c r="B71" s="68"/>
      <c r="C71" s="68"/>
      <c r="D71" s="68"/>
      <c r="E71" s="81"/>
      <c r="F71" s="81"/>
      <c r="G71" s="50"/>
      <c r="H71" s="68"/>
      <c r="I71" s="68"/>
      <c r="J71" s="68"/>
      <c r="K71" s="81">
        <f>SUM(K28,K30,K43,K51,K66,K68:K68)</f>
        <v>205160362.88926595</v>
      </c>
      <c r="L71" s="55">
        <f>'Nov 20'!$K71/$K$2</f>
        <v>1</v>
      </c>
      <c r="M71" s="68"/>
    </row>
    <row r="72" spans="1:13" s="4" customFormat="1" ht="12.75" x14ac:dyDescent="0.2">
      <c r="A72" s="65"/>
      <c r="B72" s="65"/>
      <c r="C72" s="65"/>
      <c r="D72" s="82"/>
      <c r="E72" s="83"/>
      <c r="F72" s="38"/>
      <c r="G72" s="84"/>
      <c r="H72" s="65"/>
      <c r="I72" s="65"/>
      <c r="J72" s="65"/>
      <c r="K72" s="65"/>
      <c r="L72" s="42"/>
      <c r="M72" s="65"/>
    </row>
    <row r="73" spans="1:13" s="4" customFormat="1" ht="12.75" x14ac:dyDescent="0.2">
      <c r="A73" s="65"/>
      <c r="B73" s="65"/>
      <c r="C73" s="65"/>
      <c r="D73" s="82"/>
      <c r="E73" s="83"/>
      <c r="F73" s="38"/>
      <c r="G73" s="84"/>
      <c r="H73" s="65"/>
      <c r="I73" s="65"/>
      <c r="J73" s="65"/>
      <c r="K73" s="65"/>
      <c r="L73" s="42"/>
      <c r="M73" s="65"/>
    </row>
    <row r="74" spans="1:13" s="4" customFormat="1" ht="12.75" x14ac:dyDescent="0.2">
      <c r="A74" s="65"/>
      <c r="B74" s="65"/>
      <c r="C74" s="65"/>
      <c r="D74" s="82"/>
      <c r="E74" s="83"/>
      <c r="F74" s="38"/>
      <c r="G74" s="84"/>
      <c r="H74" s="65"/>
      <c r="I74" s="65"/>
      <c r="J74" s="65"/>
      <c r="K74" s="65"/>
      <c r="L74" s="42"/>
      <c r="M74" s="65"/>
    </row>
    <row r="75" spans="1:13" s="4" customFormat="1" ht="12.75" x14ac:dyDescent="0.2">
      <c r="A75" s="65"/>
      <c r="B75" s="65"/>
      <c r="C75" s="65"/>
      <c r="D75" s="82"/>
      <c r="E75" s="83"/>
      <c r="F75" s="38"/>
      <c r="G75" s="84"/>
      <c r="H75" s="65"/>
      <c r="I75" s="65"/>
      <c r="J75" s="65"/>
      <c r="K75" s="65"/>
      <c r="L75" s="42"/>
      <c r="M75" s="65"/>
    </row>
    <row r="76" spans="1:13" s="4" customFormat="1" ht="12.75" x14ac:dyDescent="0.2">
      <c r="A76" s="65"/>
      <c r="B76" s="65"/>
      <c r="C76" s="65"/>
      <c r="D76" s="82"/>
      <c r="E76" s="83"/>
      <c r="F76" s="38"/>
      <c r="G76" s="84"/>
      <c r="H76" s="65"/>
      <c r="I76" s="65"/>
      <c r="J76" s="65"/>
      <c r="K76" s="65"/>
      <c r="L76" s="42"/>
      <c r="M76" s="65"/>
    </row>
    <row r="77" spans="1:13" s="4" customFormat="1" ht="12.75" x14ac:dyDescent="0.2">
      <c r="A77" s="65"/>
      <c r="B77" s="65"/>
      <c r="C77" s="65"/>
      <c r="D77" s="82"/>
      <c r="E77" s="83"/>
      <c r="F77" s="38"/>
      <c r="G77" s="84"/>
      <c r="H77" s="65"/>
      <c r="I77" s="65"/>
      <c r="J77" s="65"/>
      <c r="K77" s="65"/>
      <c r="L77" s="42"/>
      <c r="M77" s="65"/>
    </row>
    <row r="78" spans="1:13" s="4" customFormat="1" ht="12.75" x14ac:dyDescent="0.2">
      <c r="A78" s="65"/>
      <c r="B78" s="65"/>
      <c r="C78" s="65"/>
      <c r="D78" s="82"/>
      <c r="E78" s="83"/>
      <c r="F78" s="38"/>
      <c r="G78" s="84"/>
      <c r="H78" s="65"/>
      <c r="I78" s="65"/>
      <c r="J78" s="65"/>
      <c r="K78" s="65"/>
      <c r="L78" s="42"/>
      <c r="M78" s="65"/>
    </row>
    <row r="79" spans="1:13" s="4" customFormat="1" ht="12.75" x14ac:dyDescent="0.2">
      <c r="A79" s="65"/>
      <c r="B79" s="65"/>
      <c r="C79" s="65"/>
      <c r="D79" s="82"/>
      <c r="E79" s="83"/>
      <c r="F79" s="38"/>
      <c r="G79" s="84"/>
      <c r="H79" s="65"/>
      <c r="I79" s="65"/>
      <c r="J79" s="65"/>
      <c r="K79" s="65"/>
      <c r="L79" s="42"/>
      <c r="M79" s="65"/>
    </row>
    <row r="80" spans="1:13" s="4" customFormat="1" ht="12.75" x14ac:dyDescent="0.2">
      <c r="A80" s="65"/>
      <c r="B80" s="65"/>
      <c r="C80" s="65"/>
      <c r="D80" s="82"/>
      <c r="E80" s="83"/>
      <c r="F80" s="38"/>
      <c r="G80" s="84"/>
      <c r="H80" s="65"/>
      <c r="I80" s="65"/>
      <c r="J80" s="65"/>
      <c r="K80" s="65"/>
      <c r="L80" s="42"/>
      <c r="M80" s="65"/>
    </row>
    <row r="81" spans="1:13" s="4" customFormat="1" ht="12.75" x14ac:dyDescent="0.2"/>
    <row r="82" spans="1:13" s="4" customFormat="1" ht="12.75" x14ac:dyDescent="0.2"/>
    <row r="84" spans="1:13" s="4" customFormat="1" ht="12.75" x14ac:dyDescent="0.2">
      <c r="A84" s="85"/>
      <c r="B84" s="85"/>
      <c r="E84" s="85"/>
      <c r="F84" s="85"/>
      <c r="G84" s="85"/>
      <c r="H84" s="86"/>
      <c r="M84" s="85"/>
    </row>
    <row r="85" spans="1:13" s="4" customFormat="1" ht="12.75" x14ac:dyDescent="0.2">
      <c r="A85" s="85"/>
      <c r="B85" s="85"/>
      <c r="E85" s="85"/>
      <c r="F85" s="85"/>
      <c r="G85" s="85"/>
      <c r="H85" s="86"/>
      <c r="M85" s="85"/>
    </row>
    <row r="86" spans="1:13" s="4" customFormat="1" ht="12.75" x14ac:dyDescent="0.2">
      <c r="A86" s="87"/>
      <c r="B86" s="87"/>
    </row>
    <row r="87" spans="1:13" s="4" customFormat="1" ht="12.75" x14ac:dyDescent="0.2">
      <c r="A87" s="88"/>
      <c r="B87" s="88"/>
      <c r="E87" s="88"/>
      <c r="F87" s="87"/>
      <c r="G87" s="87"/>
      <c r="M87" s="89"/>
    </row>
    <row r="88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H88"/>
  <sheetViews>
    <sheetView zoomScale="140" zoomScaleNormal="140" workbookViewId="0">
      <pane xSplit="2" topLeftCell="C1" activePane="topRight" state="frozen"/>
      <selection pane="topRight" activeCell="H12" sqref="H12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116</v>
      </c>
      <c r="C1" s="6">
        <v>44158</v>
      </c>
      <c r="D1" s="7"/>
      <c r="E1" s="8" t="s">
        <v>117</v>
      </c>
      <c r="F1" s="9"/>
      <c r="G1" s="10"/>
      <c r="K1" s="11" t="s">
        <v>118</v>
      </c>
      <c r="L1" s="11" t="s">
        <v>119</v>
      </c>
      <c r="M1" s="12" t="s">
        <v>120</v>
      </c>
    </row>
    <row r="2" spans="1:17" x14ac:dyDescent="0.25">
      <c r="A2" s="5"/>
      <c r="B2" s="5" t="s">
        <v>121</v>
      </c>
      <c r="C2" s="13">
        <v>8.15</v>
      </c>
      <c r="D2" s="14"/>
      <c r="E2" s="15">
        <f>SUM(E28,E43,E51,E66,E30,E68)</f>
        <v>219869312.95150003</v>
      </c>
      <c r="F2" s="16"/>
      <c r="G2" s="17"/>
      <c r="H2" s="14"/>
      <c r="I2" s="14"/>
      <c r="J2" s="14"/>
      <c r="K2" s="15">
        <f>SUM(K28,K43,K51,K66,K30,K68:K68)</f>
        <v>210270264.5706962</v>
      </c>
      <c r="L2" s="18">
        <f>SUM(L51,L66,L43,L28,L30,L68)</f>
        <v>1</v>
      </c>
      <c r="M2" s="19">
        <f>K2/$C$6</f>
        <v>7.7941875255197264</v>
      </c>
      <c r="N2" s="20"/>
    </row>
    <row r="3" spans="1:17" ht="26.25" x14ac:dyDescent="0.25">
      <c r="A3" s="5"/>
      <c r="B3" s="5" t="s">
        <v>122</v>
      </c>
      <c r="C3" s="21">
        <v>26977829.809999999</v>
      </c>
      <c r="D3" s="22"/>
      <c r="E3" s="8" t="s">
        <v>123</v>
      </c>
      <c r="F3" s="16"/>
      <c r="H3" s="14"/>
      <c r="I3" s="14"/>
      <c r="J3" s="14"/>
      <c r="K3" s="8" t="s">
        <v>123</v>
      </c>
      <c r="L3" s="14"/>
      <c r="M3" s="12" t="s">
        <v>124</v>
      </c>
      <c r="N3" s="23"/>
    </row>
    <row r="4" spans="1:17" x14ac:dyDescent="0.25">
      <c r="A4" s="5"/>
      <c r="B4" s="5" t="s">
        <v>125</v>
      </c>
      <c r="C4" s="21">
        <v>0</v>
      </c>
      <c r="D4" s="22"/>
      <c r="E4" s="15">
        <f>SUM(E28,E66,E30)</f>
        <v>46172555.719815008</v>
      </c>
      <c r="F4" s="16"/>
      <c r="G4" s="17"/>
      <c r="H4" s="14"/>
      <c r="I4" s="14"/>
      <c r="J4" s="14"/>
      <c r="K4" s="15">
        <f>SUM(K28,K30,K66)</f>
        <v>46072795.179909378</v>
      </c>
      <c r="L4" s="14"/>
      <c r="M4" s="19">
        <f>K4/$C$6</f>
        <v>1.7078021287995286</v>
      </c>
      <c r="N4" s="23"/>
    </row>
    <row r="5" spans="1:17" x14ac:dyDescent="0.25">
      <c r="A5" s="5"/>
      <c r="B5" s="5" t="s">
        <v>126</v>
      </c>
      <c r="C5" s="21">
        <v>0</v>
      </c>
      <c r="D5" s="22"/>
      <c r="E5" s="16"/>
      <c r="F5" s="16"/>
      <c r="G5" s="24">
        <f>SUM(D28,D30,D43,D51,D66,D68:D68)</f>
        <v>1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127</v>
      </c>
      <c r="C6" s="21">
        <f>C3+C4-C5</f>
        <v>26977829.809999999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128</v>
      </c>
      <c r="B8" s="30" t="s">
        <v>129</v>
      </c>
      <c r="C8" s="31" t="s">
        <v>1</v>
      </c>
      <c r="D8" s="31" t="s">
        <v>176</v>
      </c>
      <c r="E8" s="31" t="s">
        <v>131</v>
      </c>
      <c r="F8" s="31" t="s">
        <v>132</v>
      </c>
      <c r="G8" s="31" t="s">
        <v>133</v>
      </c>
      <c r="H8" s="31" t="s">
        <v>134</v>
      </c>
      <c r="I8" s="31" t="s">
        <v>135</v>
      </c>
      <c r="J8" s="31" t="s">
        <v>136</v>
      </c>
      <c r="K8" s="32" t="s">
        <v>137</v>
      </c>
      <c r="L8" s="32" t="s">
        <v>138</v>
      </c>
      <c r="M8" s="32" t="s">
        <v>139</v>
      </c>
      <c r="N8" s="33"/>
      <c r="Q8" s="35"/>
    </row>
    <row r="9" spans="1:17" s="46" customFormat="1" ht="12.75" customHeight="1" x14ac:dyDescent="0.25">
      <c r="A9" s="36" t="s">
        <v>140</v>
      </c>
      <c r="B9" s="36" t="s">
        <v>49</v>
      </c>
      <c r="C9" s="36" t="s">
        <v>50</v>
      </c>
      <c r="D9" s="37">
        <v>1.2E-2</v>
      </c>
      <c r="E9" s="38">
        <f>'Nov 23'!$D9*$C$6*$C$2</f>
        <v>2638431.7554180003</v>
      </c>
      <c r="F9" s="38">
        <v>498.76991500296498</v>
      </c>
      <c r="G9" s="39">
        <f>'Nov 23'!$E9/'Nov 23'!$F9</f>
        <v>5289.8775087553468</v>
      </c>
      <c r="H9" s="36">
        <v>5059</v>
      </c>
      <c r="I9" s="36">
        <f>ROUND(Table1389584567991011121314456267891011121314151617181920213456789101112131415161718192021222334567891011121314151617[[#This Row],[Target Quantity]],0)</f>
        <v>5290</v>
      </c>
      <c r="J9" s="40">
        <f t="shared" ref="J9:J26" si="0">I9-H9</f>
        <v>231</v>
      </c>
      <c r="K9" s="41">
        <f>'Nov 23'!$F9*'Nov 23'!$I9</f>
        <v>2638492.8503656848</v>
      </c>
      <c r="L9" s="42">
        <f>'Nov 23'!$K9/$K$2</f>
        <v>1.2548102584797868E-2</v>
      </c>
      <c r="M9" s="43"/>
    </row>
    <row r="10" spans="1:17" s="46" customFormat="1" ht="12.75" customHeight="1" x14ac:dyDescent="0.25">
      <c r="A10" s="36" t="s">
        <v>140</v>
      </c>
      <c r="B10" s="36" t="s">
        <v>37</v>
      </c>
      <c r="C10" s="36" t="s">
        <v>38</v>
      </c>
      <c r="D10" s="37">
        <v>1.2E-2</v>
      </c>
      <c r="E10" s="38">
        <f>'Nov 23'!$D10*$C$6*$C$2</f>
        <v>2638431.7554180003</v>
      </c>
      <c r="F10" s="38">
        <v>89.100006904170101</v>
      </c>
      <c r="G10" s="39">
        <f>'Nov 23'!$E10/'Nov 23'!$F10</f>
        <v>29612.026385763558</v>
      </c>
      <c r="H10" s="36">
        <v>28968</v>
      </c>
      <c r="I10" s="36">
        <f>ROUND(Table1389584567991011121314456267891011121314151617181920213456789101112131415161718192021222334567891011121314151617[[#This Row],[Target Quantity]],0)</f>
        <v>29612</v>
      </c>
      <c r="J10" s="40">
        <f t="shared" si="0"/>
        <v>644</v>
      </c>
      <c r="K10" s="41">
        <f>'Nov 23'!$F10*'Nov 23'!$I10</f>
        <v>2638429.4044462852</v>
      </c>
      <c r="L10" s="42">
        <f>'Nov 23'!$K10/$K$2</f>
        <v>1.254780084969743E-2</v>
      </c>
      <c r="M10" s="43"/>
    </row>
    <row r="11" spans="1:17" s="47" customFormat="1" ht="12.75" customHeight="1" x14ac:dyDescent="0.25">
      <c r="A11" s="36" t="s">
        <v>140</v>
      </c>
      <c r="B11" s="36" t="s">
        <v>27</v>
      </c>
      <c r="C11" s="36" t="s">
        <v>28</v>
      </c>
      <c r="D11" s="37">
        <v>1.2E-2</v>
      </c>
      <c r="E11" s="38">
        <f>'Nov 23'!$D11*$C$6*$C$2</f>
        <v>2638431.7554180003</v>
      </c>
      <c r="F11" s="38">
        <v>221.959996498599</v>
      </c>
      <c r="G11" s="39">
        <f>'Nov 23'!$E11/'Nov 23'!$F11</f>
        <v>11886.969710934618</v>
      </c>
      <c r="H11" s="36">
        <v>11424</v>
      </c>
      <c r="I11" s="36">
        <f>ROUND(Table1389584567991011121314456267891011121314151617181920213456789101112131415161718192021222334567891011121314151617[[#This Row],[Target Quantity]],0)</f>
        <v>11887</v>
      </c>
      <c r="J11" s="40">
        <f t="shared" si="0"/>
        <v>463</v>
      </c>
      <c r="K11" s="41">
        <f>'Nov 23'!$F11*'Nov 23'!$I11</f>
        <v>2638438.4783788463</v>
      </c>
      <c r="L11" s="42">
        <f>'Nov 23'!$K11/$K$2</f>
        <v>1.254784400336245E-2</v>
      </c>
      <c r="M11" s="36"/>
    </row>
    <row r="12" spans="1:17" s="47" customFormat="1" ht="12.75" customHeight="1" x14ac:dyDescent="0.25">
      <c r="A12" s="36" t="s">
        <v>140</v>
      </c>
      <c r="B12" s="36" t="s">
        <v>51</v>
      </c>
      <c r="C12" s="36" t="s">
        <v>52</v>
      </c>
      <c r="D12" s="37">
        <v>1.2E-2</v>
      </c>
      <c r="E12" s="38">
        <f>'Nov 23'!$D12*$C$6*$C$2</f>
        <v>2638431.7554180003</v>
      </c>
      <c r="F12" s="38">
        <v>433.00999333777497</v>
      </c>
      <c r="G12" s="39">
        <f>'Nov 23'!$E12/'Nov 23'!$F12</f>
        <v>6093.235250946871</v>
      </c>
      <c r="H12" s="36">
        <v>6004</v>
      </c>
      <c r="I12" s="36">
        <f>ROUND(Table1389584567991011121314456267891011121314151617181920213456789101112131415161718192021222334567891011121314151617[[#This Row],[Target Quantity]],0)</f>
        <v>6093</v>
      </c>
      <c r="J12" s="40">
        <f t="shared" si="0"/>
        <v>89</v>
      </c>
      <c r="K12" s="41">
        <f>'Nov 23'!$F12*'Nov 23'!$I12</f>
        <v>2638329.8894070629</v>
      </c>
      <c r="L12" s="42">
        <f>'Nov 23'!$K12/$K$2</f>
        <v>1.2547327577647168E-2</v>
      </c>
      <c r="M12" s="36"/>
    </row>
    <row r="13" spans="1:17" s="47" customFormat="1" ht="12.75" customHeight="1" x14ac:dyDescent="0.25">
      <c r="A13" s="36" t="s">
        <v>140</v>
      </c>
      <c r="B13" s="36" t="s">
        <v>41</v>
      </c>
      <c r="C13" s="36" t="s">
        <v>42</v>
      </c>
      <c r="D13" s="37">
        <v>1.2E-2</v>
      </c>
      <c r="E13" s="38">
        <f>'Nov 23'!$D13*$C$6*$C$2</f>
        <v>2638431.7554180003</v>
      </c>
      <c r="F13" s="38">
        <v>1416.99019073569</v>
      </c>
      <c r="G13" s="39">
        <f>'Nov 23'!$E13/'Nov 23'!$F13</f>
        <v>1861.99719141891</v>
      </c>
      <c r="H13" s="36">
        <v>1835</v>
      </c>
      <c r="I13" s="36">
        <f>ROUND(Table1389584567991011121314456267891011121314151617181920213456789101112131415161718192021222334567891011121314151617[[#This Row],[Target Quantity]],0)</f>
        <v>1862</v>
      </c>
      <c r="J13" s="40">
        <f t="shared" si="0"/>
        <v>27</v>
      </c>
      <c r="K13" s="41">
        <f>'Nov 23'!$F13*'Nov 23'!$I13</f>
        <v>2638435.7351498548</v>
      </c>
      <c r="L13" s="42">
        <f>'Nov 23'!$K13/$K$2</f>
        <v>1.2547830957157382E-2</v>
      </c>
      <c r="M13" s="36"/>
    </row>
    <row r="14" spans="1:17" s="47" customFormat="1" ht="12.75" customHeight="1" x14ac:dyDescent="0.25">
      <c r="A14" s="36" t="s">
        <v>140</v>
      </c>
      <c r="B14" s="36" t="s">
        <v>31</v>
      </c>
      <c r="C14" s="36" t="s">
        <v>32</v>
      </c>
      <c r="D14" s="37">
        <v>1.2E-2</v>
      </c>
      <c r="E14" s="38">
        <f>'Nov 23'!$D14*$C$6*$C$2</f>
        <v>2638431.7554180003</v>
      </c>
      <c r="F14" s="38">
        <v>278.70005564830302</v>
      </c>
      <c r="G14" s="39">
        <f>'Nov 23'!$E14/'Nov 23'!$F14</f>
        <v>9466.9222411189185</v>
      </c>
      <c r="H14" s="36">
        <v>8985</v>
      </c>
      <c r="I14" s="36">
        <f>ROUND(Table1389584567991011121314456267891011121314151617181920213456789101112131415161718192021222334567891011121314151617[[#This Row],[Target Quantity]],0)</f>
        <v>9467</v>
      </c>
      <c r="J14" s="40">
        <f t="shared" si="0"/>
        <v>482</v>
      </c>
      <c r="K14" s="41">
        <f>'Nov 23'!$F14*'Nov 23'!$I14</f>
        <v>2638453.4268224845</v>
      </c>
      <c r="L14" s="42">
        <f>'Nov 23'!$K14/$K$2</f>
        <v>1.254791509493438E-2</v>
      </c>
      <c r="M14" s="36"/>
    </row>
    <row r="15" spans="1:17" s="47" customFormat="1" ht="12.75" customHeight="1" x14ac:dyDescent="0.25">
      <c r="A15" s="36" t="s">
        <v>140</v>
      </c>
      <c r="B15" s="36" t="s">
        <v>29</v>
      </c>
      <c r="C15" s="36" t="s">
        <v>30</v>
      </c>
      <c r="D15" s="37">
        <v>1.2E-2</v>
      </c>
      <c r="E15" s="38">
        <f>'Nov 23'!$D15*$C$6*$C$2</f>
        <v>2638431.7554180003</v>
      </c>
      <c r="F15" s="38">
        <v>21.380002691654202</v>
      </c>
      <c r="G15" s="39">
        <f>'Nov 23'!$E15/'Nov 23'!$F15</f>
        <v>123406.52119973428</v>
      </c>
      <c r="H15" s="36">
        <v>118886</v>
      </c>
      <c r="I15" s="36">
        <f>ROUND(Table1389584567991011121314456267891011121314151617181920213456789101112131415161718192021222334567891011121314151617[[#This Row],[Target Quantity]],0)</f>
        <v>123407</v>
      </c>
      <c r="J15" s="40">
        <f t="shared" si="0"/>
        <v>4521</v>
      </c>
      <c r="K15" s="41">
        <f>'Nov 23'!$F15*'Nov 23'!$I15</f>
        <v>2638441.9921689699</v>
      </c>
      <c r="L15" s="42">
        <f>'Nov 23'!$K15/$K$2</f>
        <v>1.254786071418997E-2</v>
      </c>
      <c r="M15" s="36"/>
    </row>
    <row r="16" spans="1:17" s="47" customFormat="1" ht="12.75" customHeight="1" x14ac:dyDescent="0.25">
      <c r="A16" s="36" t="s">
        <v>140</v>
      </c>
      <c r="B16" s="36" t="s">
        <v>39</v>
      </c>
      <c r="C16" s="36" t="s">
        <v>40</v>
      </c>
      <c r="D16" s="37">
        <v>6.0000000000000001E-3</v>
      </c>
      <c r="E16" s="38">
        <f>'Nov 23'!$D16*$C$6*$C$2</f>
        <v>1319215.8777090001</v>
      </c>
      <c r="F16" s="38">
        <v>39.969988674971702</v>
      </c>
      <c r="G16" s="39">
        <f>'Nov 23'!$E16/'Nov 23'!$F16</f>
        <v>33005.16015745241</v>
      </c>
      <c r="H16" s="36">
        <v>31788</v>
      </c>
      <c r="I16" s="36">
        <f>ROUND(Table1389584567991011121314456267891011121314151617181920213456789101112131415161718192021222334567891011121314151617[[#This Row],[Target Quantity]],0)</f>
        <v>33005</v>
      </c>
      <c r="J16" s="40">
        <f t="shared" si="0"/>
        <v>1217</v>
      </c>
      <c r="K16" s="41">
        <f>'Nov 23'!$F16*'Nov 23'!$I16</f>
        <v>1319209.476217441</v>
      </c>
      <c r="L16" s="42">
        <f>'Nov 23'!$K16/$K$2</f>
        <v>6.273875571093419E-3</v>
      </c>
      <c r="M16" s="36"/>
    </row>
    <row r="17" spans="1:15" s="47" customFormat="1" ht="12.75" customHeight="1" x14ac:dyDescent="0.25">
      <c r="A17" s="36" t="s">
        <v>140</v>
      </c>
      <c r="B17" s="36" t="s">
        <v>19</v>
      </c>
      <c r="C17" s="36" t="s">
        <v>20</v>
      </c>
      <c r="D17" s="37">
        <v>1.2E-2</v>
      </c>
      <c r="E17" s="38">
        <f>'Nov 23'!$D17*$C$6*$C$2</f>
        <v>2638431.7554180003</v>
      </c>
      <c r="F17" s="38">
        <v>453.309987712831</v>
      </c>
      <c r="G17" s="39">
        <f>'Nov 23'!$E17/'Nov 23'!$F17</f>
        <v>5820.3697843283126</v>
      </c>
      <c r="H17" s="36">
        <v>5697</v>
      </c>
      <c r="I17" s="36">
        <f>ROUND(Table1389584567991011121314456267891011121314151617181920213456789101112131415161718192021222334567891011121314151617[[#This Row],[Target Quantity]],0)</f>
        <v>5820</v>
      </c>
      <c r="J17" s="40">
        <f t="shared" si="0"/>
        <v>123</v>
      </c>
      <c r="K17" s="41">
        <f>'Nov 23'!$F17*'Nov 23'!$I17</f>
        <v>2638264.1284886766</v>
      </c>
      <c r="L17" s="42">
        <f>'Nov 23'!$K17/$K$2</f>
        <v>1.2547014832911147E-2</v>
      </c>
      <c r="M17" s="36"/>
    </row>
    <row r="18" spans="1:15" s="47" customFormat="1" ht="12.75" customHeight="1" x14ac:dyDescent="0.25">
      <c r="A18" s="36" t="s">
        <v>140</v>
      </c>
      <c r="B18" s="36" t="s">
        <v>33</v>
      </c>
      <c r="C18" s="36" t="s">
        <v>34</v>
      </c>
      <c r="D18" s="37">
        <v>6.0000000000000001E-3</v>
      </c>
      <c r="E18" s="38">
        <f>'Nov 23'!$D18*$C$6*$C$2</f>
        <v>1319215.8777090001</v>
      </c>
      <c r="F18" s="38">
        <v>24.7500048520136</v>
      </c>
      <c r="G18" s="39">
        <f>'Nov 23'!$E18/'Nov 23'!$F18</f>
        <v>53301.641175301505</v>
      </c>
      <c r="H18" s="36">
        <v>51525</v>
      </c>
      <c r="I18" s="36">
        <f>ROUND(Table1389584567991011121314456267891011121314151617181920213456789101112131415161718192021222334567891011121314151617[[#This Row],[Target Quantity]],0)</f>
        <v>53302</v>
      </c>
      <c r="J18" s="40">
        <f t="shared" si="0"/>
        <v>1777</v>
      </c>
      <c r="K18" s="41">
        <f>'Nov 23'!$F18*'Nov 23'!$I18</f>
        <v>1319224.7586220289</v>
      </c>
      <c r="L18" s="42">
        <f>'Nov 23'!$K18/$K$2</f>
        <v>6.2739482509115525E-3</v>
      </c>
      <c r="M18" s="36"/>
    </row>
    <row r="19" spans="1:15" s="47" customFormat="1" ht="12.75" customHeight="1" x14ac:dyDescent="0.25">
      <c r="A19" s="36" t="s">
        <v>140</v>
      </c>
      <c r="B19" s="36" t="s">
        <v>21</v>
      </c>
      <c r="C19" s="36" t="s">
        <v>22</v>
      </c>
      <c r="D19" s="37">
        <v>1.2E-2</v>
      </c>
      <c r="E19" s="38">
        <f>'Nov 23'!$D19*$C$6*$C$2</f>
        <v>2638431.7554180003</v>
      </c>
      <c r="F19" s="38">
        <v>39.500007781011199</v>
      </c>
      <c r="G19" s="39">
        <f>'Nov 23'!$E19/'Nov 23'!$F19</f>
        <v>66795.727485561947</v>
      </c>
      <c r="H19" s="36">
        <v>64259</v>
      </c>
      <c r="I19" s="36">
        <f>ROUND(Table1389584567991011121314456267891011121314151617181920213456789101112131415161718192021222334567891011121314151617[[#This Row],[Target Quantity]],0)</f>
        <v>66796</v>
      </c>
      <c r="J19" s="40">
        <f t="shared" si="0"/>
        <v>2537</v>
      </c>
      <c r="K19" s="41">
        <f>'Nov 23'!$F19*'Nov 23'!$I19</f>
        <v>2638442.5197404241</v>
      </c>
      <c r="L19" s="42">
        <f>'Nov 23'!$K19/$K$2</f>
        <v>1.2547863223205951E-2</v>
      </c>
      <c r="M19" s="36"/>
    </row>
    <row r="20" spans="1:15" s="47" customFormat="1" ht="12.75" customHeight="1" x14ac:dyDescent="0.25">
      <c r="A20" s="36" t="s">
        <v>140</v>
      </c>
      <c r="B20" s="36" t="s">
        <v>45</v>
      </c>
      <c r="C20" s="36" t="s">
        <v>46</v>
      </c>
      <c r="D20" s="37">
        <v>6.0000000000000001E-3</v>
      </c>
      <c r="E20" s="38">
        <f>'Nov 23'!$D20*$C$6*$C$2</f>
        <v>1319215.8777090001</v>
      </c>
      <c r="F20" s="38">
        <v>66.879971783601903</v>
      </c>
      <c r="G20" s="39">
        <f>'Nov 23'!$E20/'Nov 23'!$F20</f>
        <v>19725.126110661051</v>
      </c>
      <c r="H20" s="36">
        <v>18429</v>
      </c>
      <c r="I20" s="36">
        <f>ROUND(Table1389584567991011121314456267891011121314151617181920213456789101112131415161718192021222334567891011121314151617[[#This Row],[Target Quantity]],0)</f>
        <v>19725</v>
      </c>
      <c r="J20" s="40">
        <f t="shared" si="0"/>
        <v>1296</v>
      </c>
      <c r="K20" s="41">
        <f>'Nov 23'!$F20*'Nov 23'!$I20</f>
        <v>1319207.4434315476</v>
      </c>
      <c r="L20" s="42">
        <f>'Nov 23'!$K20/$K$2</f>
        <v>6.2738659036024047E-3</v>
      </c>
      <c r="M20" s="36"/>
    </row>
    <row r="21" spans="1:15" s="47" customFormat="1" ht="12.75" customHeight="1" x14ac:dyDescent="0.25">
      <c r="A21" s="36" t="s">
        <v>140</v>
      </c>
      <c r="B21" s="36" t="s">
        <v>23</v>
      </c>
      <c r="C21" s="36" t="s">
        <v>24</v>
      </c>
      <c r="D21" s="37">
        <v>1.2E-2</v>
      </c>
      <c r="E21" s="38">
        <f>'Nov 23'!$D21*$C$6*$C$2</f>
        <v>2638431.7554180003</v>
      </c>
      <c r="F21" s="38">
        <v>258.55997153893099</v>
      </c>
      <c r="G21" s="39">
        <f>'Nov 23'!$E21/'Nov 23'!$F21</f>
        <v>10204.33186047414</v>
      </c>
      <c r="H21" s="36">
        <v>9838</v>
      </c>
      <c r="I21" s="36">
        <f>ROUND(Table1389584567991011121314456267891011121314151617181920213456789101112131415161718192021222334567891011121314151617[[#This Row],[Target Quantity]],0)</f>
        <v>10204</v>
      </c>
      <c r="J21" s="40">
        <f t="shared" si="0"/>
        <v>366</v>
      </c>
      <c r="K21" s="41">
        <f>'Nov 23'!$F21*'Nov 23'!$I21</f>
        <v>2638345.949583252</v>
      </c>
      <c r="L21" s="42">
        <f>'Nov 23'!$K21/$K$2</f>
        <v>1.2547403956379186E-2</v>
      </c>
      <c r="M21" s="36"/>
    </row>
    <row r="22" spans="1:15" s="47" customFormat="1" ht="12.75" customHeight="1" x14ac:dyDescent="0.25">
      <c r="A22" s="36" t="s">
        <v>140</v>
      </c>
      <c r="B22" s="36" t="s">
        <v>47</v>
      </c>
      <c r="C22" s="36" t="s">
        <v>48</v>
      </c>
      <c r="D22" s="37">
        <v>6.0000000000000001E-3</v>
      </c>
      <c r="E22" s="38">
        <f>'Nov 23'!$D22*$C$6*$C$2</f>
        <v>1319215.8777090001</v>
      </c>
      <c r="F22" s="38">
        <v>356.93991537376598</v>
      </c>
      <c r="G22" s="39">
        <f>'Nov 23'!$E22/'Nov 23'!$F22</f>
        <v>3695.9046071594339</v>
      </c>
      <c r="H22" s="36">
        <v>3545</v>
      </c>
      <c r="I22" s="36">
        <f>ROUND(Table1389584567991011121314456267891011121314151617181920213456789101112131415161718192021222334567891011121314151617[[#This Row],[Target Quantity]],0)</f>
        <v>3696</v>
      </c>
      <c r="J22" s="40">
        <f t="shared" si="0"/>
        <v>151</v>
      </c>
      <c r="K22" s="41">
        <f>'Nov 23'!$F22*'Nov 23'!$I22</f>
        <v>1319249.9272214391</v>
      </c>
      <c r="L22" s="42">
        <f>'Nov 23'!$K22/$K$2</f>
        <v>6.2740679473387278E-3</v>
      </c>
      <c r="M22" s="36"/>
    </row>
    <row r="23" spans="1:15" s="47" customFormat="1" ht="12.75" customHeight="1" x14ac:dyDescent="0.25">
      <c r="A23" s="36" t="s">
        <v>140</v>
      </c>
      <c r="B23" s="36" t="s">
        <v>15</v>
      </c>
      <c r="C23" s="36" t="s">
        <v>16</v>
      </c>
      <c r="D23" s="37">
        <v>6.0000000000000001E-3</v>
      </c>
      <c r="E23" s="38">
        <f>'Nov 23'!$D23*$C$6*$C$2</f>
        <v>1319215.8777090001</v>
      </c>
      <c r="F23" s="38">
        <v>128.089953972383</v>
      </c>
      <c r="G23" s="39">
        <f>'Nov 23'!$E23/'Nov 23'!$F23</f>
        <v>10299.136167957648</v>
      </c>
      <c r="H23" s="36">
        <v>9994</v>
      </c>
      <c r="I23" s="36">
        <f>ROUND(Table1389584567991011121314456267891011121314151617181920213456789101112131415161718192021222334567891011121314151617[[#This Row],[Target Quantity]],0)</f>
        <v>10299</v>
      </c>
      <c r="J23" s="40">
        <f t="shared" si="0"/>
        <v>305</v>
      </c>
      <c r="K23" s="41">
        <f>'Nov 23'!$F23*'Nov 23'!$I23</f>
        <v>1319198.4359615725</v>
      </c>
      <c r="L23" s="42">
        <f>'Nov 23'!$K23/$K$2</f>
        <v>6.2738230660190995E-3</v>
      </c>
      <c r="M23" s="36"/>
    </row>
    <row r="24" spans="1:15" s="47" customFormat="1" ht="12.75" customHeight="1" x14ac:dyDescent="0.25">
      <c r="A24" s="36" t="s">
        <v>140</v>
      </c>
      <c r="B24" s="36" t="s">
        <v>43</v>
      </c>
      <c r="C24" s="36" t="s">
        <v>44</v>
      </c>
      <c r="D24" s="37">
        <v>1.2E-2</v>
      </c>
      <c r="E24" s="38">
        <f>'Nov 23'!$D24*$C$6*$C$2</f>
        <v>2638431.7554180003</v>
      </c>
      <c r="F24" s="38">
        <v>267.11996150967599</v>
      </c>
      <c r="G24" s="39">
        <f>'Nov 23'!$E24/'Nov 23'!$F24</f>
        <v>9877.3290491149892</v>
      </c>
      <c r="H24" s="36">
        <v>9353</v>
      </c>
      <c r="I24" s="36">
        <f>ROUND(Table1389584567991011121314456267891011121314151617181920213456789101112131415161718192021222334567891011121314151617[[#This Row],[Target Quantity]],0)</f>
        <v>9877</v>
      </c>
      <c r="J24" s="40">
        <f t="shared" si="0"/>
        <v>524</v>
      </c>
      <c r="K24" s="41">
        <f>'Nov 23'!$F24*'Nov 23'!$I24</f>
        <v>2638343.8598310696</v>
      </c>
      <c r="L24" s="42">
        <f>'Nov 23'!$K24/$K$2</f>
        <v>1.2547394017968796E-2</v>
      </c>
      <c r="M24" s="36"/>
    </row>
    <row r="25" spans="1:15" s="47" customFormat="1" ht="12.75" customHeight="1" x14ac:dyDescent="0.25">
      <c r="A25" s="36" t="s">
        <v>140</v>
      </c>
      <c r="B25" s="36" t="s">
        <v>25</v>
      </c>
      <c r="C25" s="36" t="s">
        <v>26</v>
      </c>
      <c r="D25" s="37">
        <v>6.0000000000000001E-3</v>
      </c>
      <c r="E25" s="38">
        <f>'Nov 23'!$D25*$C$6*$C$2</f>
        <v>1319215.8777090001</v>
      </c>
      <c r="F25" s="38">
        <v>75.899993894621204</v>
      </c>
      <c r="G25" s="39">
        <f>'Nov 23'!$E25/'Nov 23'!$F25</f>
        <v>17380.974753971474</v>
      </c>
      <c r="H25" s="36">
        <v>16379</v>
      </c>
      <c r="I25" s="36">
        <f>ROUND(Table1389584567991011121314456267891011121314151617181920213456789101112131415161718192021222334567891011121314151617[[#This Row],[Target Quantity]],0)</f>
        <v>17381</v>
      </c>
      <c r="J25" s="40">
        <f t="shared" si="0"/>
        <v>1002</v>
      </c>
      <c r="K25" s="41">
        <f>'Nov 23'!$F25*'Nov 23'!$I25</f>
        <v>1319217.7938824112</v>
      </c>
      <c r="L25" s="42">
        <f>'Nov 23'!$K25/$K$2</f>
        <v>6.2739151281129869E-3</v>
      </c>
      <c r="M25" s="36"/>
    </row>
    <row r="26" spans="1:15" s="47" customFormat="1" ht="12.75" customHeight="1" x14ac:dyDescent="0.25">
      <c r="A26" s="36" t="s">
        <v>140</v>
      </c>
      <c r="B26" s="47" t="s">
        <v>11</v>
      </c>
      <c r="C26" s="36" t="s">
        <v>12</v>
      </c>
      <c r="D26" s="37">
        <v>1.2E-2</v>
      </c>
      <c r="E26" s="38">
        <f>'Nov 23'!$D26*$C$6*$C$2</f>
        <v>2638431.7554180003</v>
      </c>
      <c r="F26" s="38">
        <v>2.4792480620155</v>
      </c>
      <c r="G26" s="39">
        <f>'Nov 23'!$E26/'Nov 23'!$F26</f>
        <v>1064206.4405903346</v>
      </c>
      <c r="H26" s="36">
        <v>1032000</v>
      </c>
      <c r="I26" s="36">
        <f>ROUND(Table1389584567991011121314456267891011121314151617181920213456789101112131415161718192021222334567891011121314151617[[#This Row],[Target Quantity]],-2)</f>
        <v>1064200</v>
      </c>
      <c r="J26" s="40">
        <f t="shared" si="0"/>
        <v>32200</v>
      </c>
      <c r="K26" s="41">
        <f>'Nov 23'!$F26*'Nov 23'!$I26</f>
        <v>2638415.7875968949</v>
      </c>
      <c r="L26" s="42">
        <f>'Nov 23'!$K26/$K$2</f>
        <v>1.2547736090900373E-2</v>
      </c>
      <c r="M26" s="36"/>
    </row>
    <row r="27" spans="1:15" s="47" customFormat="1" ht="12.75" customHeight="1" x14ac:dyDescent="0.25">
      <c r="A27" s="36"/>
      <c r="B27" s="36"/>
      <c r="C27" s="36"/>
      <c r="D27" s="37"/>
      <c r="E27" s="38"/>
      <c r="F27" s="38"/>
      <c r="G27" s="39"/>
      <c r="H27" s="36"/>
      <c r="I27" s="36"/>
      <c r="J27" s="48"/>
      <c r="K27" s="38"/>
      <c r="L27" s="49"/>
      <c r="M27" s="36"/>
    </row>
    <row r="28" spans="1:15" s="56" customFormat="1" ht="12.75" customHeight="1" x14ac:dyDescent="0.25">
      <c r="A28" s="50" t="s">
        <v>149</v>
      </c>
      <c r="B28" s="50"/>
      <c r="C28" s="50"/>
      <c r="D28" s="51">
        <f>SUM(D9:D27)</f>
        <v>0.18000000000000005</v>
      </c>
      <c r="E28" s="52">
        <f>'Nov 23'!$D28*$C$6*$C$2</f>
        <v>39576476.331270009</v>
      </c>
      <c r="F28" s="53"/>
      <c r="G28" s="53"/>
      <c r="H28" s="50"/>
      <c r="I28" s="50"/>
      <c r="J28" s="54"/>
      <c r="K28" s="52">
        <f>SUM(K9:K27)</f>
        <v>39576141.857315958</v>
      </c>
      <c r="L28" s="55">
        <f>'Nov 23'!$K28/$K$2</f>
        <v>0.18821558977023034</v>
      </c>
      <c r="M28" s="50"/>
    </row>
    <row r="29" spans="1:15" s="47" customFormat="1" ht="12.75" customHeight="1" x14ac:dyDescent="0.25">
      <c r="A29" s="36"/>
      <c r="B29" s="36"/>
      <c r="C29" s="36"/>
      <c r="D29" s="37"/>
      <c r="E29" s="38"/>
      <c r="F29" s="38"/>
      <c r="G29" s="39"/>
      <c r="H29" s="36"/>
      <c r="I29" s="36"/>
      <c r="J29" s="48"/>
      <c r="K29" s="38"/>
      <c r="L29" s="42"/>
      <c r="M29" s="36"/>
    </row>
    <row r="30" spans="1:15" s="46" customFormat="1" ht="12.75" customHeight="1" x14ac:dyDescent="0.25">
      <c r="A30" s="57"/>
      <c r="B30" s="50" t="s">
        <v>35</v>
      </c>
      <c r="C30" s="57" t="s">
        <v>36</v>
      </c>
      <c r="D30" s="58">
        <v>0.02</v>
      </c>
      <c r="E30" s="59">
        <f>'Nov 23'!$D30*$C$6*$C$2</f>
        <v>4397386.2590300003</v>
      </c>
      <c r="F30" s="53">
        <v>17.829999574775702</v>
      </c>
      <c r="G30" s="60">
        <f>'Nov 23'!$E30/'Nov 23'!$F30</f>
        <v>246628.51171634527</v>
      </c>
      <c r="H30" s="57">
        <v>235170</v>
      </c>
      <c r="I30" s="57">
        <f>ROUND(Table1389584567991011121314456267891011121314151617181920213456789101112131415161718192021222334567891011121314151617[[#This Row],[Target Quantity]],0)</f>
        <v>246629</v>
      </c>
      <c r="J30" s="61">
        <f>I30-H30</f>
        <v>11459</v>
      </c>
      <c r="K30" s="62">
        <f>'Nov 23'!$F30*'Nov 23'!$I30</f>
        <v>4397394.9651273564</v>
      </c>
      <c r="L30" s="55">
        <f>'Nov 23'!$K30/$K$2</f>
        <v>2.0913061455006075E-2</v>
      </c>
      <c r="M30" s="50"/>
      <c r="O30" s="44"/>
    </row>
    <row r="31" spans="1:15" s="46" customFormat="1" ht="12.75" customHeight="1" x14ac:dyDescent="0.25">
      <c r="A31" s="36"/>
      <c r="B31" s="36"/>
      <c r="C31" s="36"/>
      <c r="D31" s="37"/>
      <c r="E31" s="38"/>
      <c r="F31" s="38"/>
      <c r="G31" s="39"/>
      <c r="H31" s="36"/>
      <c r="I31" s="36"/>
      <c r="J31" s="48"/>
      <c r="K31" s="41"/>
      <c r="L31" s="42"/>
      <c r="M31" s="36"/>
      <c r="O31" s="44"/>
    </row>
    <row r="32" spans="1:15" s="4" customFormat="1" ht="25.5" x14ac:dyDescent="0.2">
      <c r="A32" s="36" t="s">
        <v>150</v>
      </c>
      <c r="B32" s="63" t="s">
        <v>98</v>
      </c>
      <c r="C32" s="64" t="s">
        <v>99</v>
      </c>
      <c r="D32" s="37">
        <v>2.9000000000000001E-2</v>
      </c>
      <c r="E32" s="38">
        <f>'Nov 23'!$D32*$C$6*$C$2</f>
        <v>6376210.0755935004</v>
      </c>
      <c r="F32" s="38">
        <v>157544.025641026</v>
      </c>
      <c r="G32" s="39">
        <f>'Nov 23'!$E32/'Nov 23'!$F32</f>
        <v>40.472560286875598</v>
      </c>
      <c r="H32" s="36">
        <v>39</v>
      </c>
      <c r="I32" s="36">
        <f>ROUND(Table1389584567991011121314456267891011121314151617181920213456789101112131415161718192021222334567891011121314151617[[#This Row],[Target Quantity]],0)</f>
        <v>40</v>
      </c>
      <c r="J32" s="40">
        <f t="shared" ref="J32:J41" si="1">I32-H32</f>
        <v>1</v>
      </c>
      <c r="K32" s="41">
        <f>'Nov 23'!$F32*'Nov 23'!$I32</f>
        <v>6301761.0256410399</v>
      </c>
      <c r="L32" s="42">
        <f>'Nov 23'!$K32/$K$2</f>
        <v>2.9969815458724968E-2</v>
      </c>
      <c r="M32" s="65"/>
    </row>
    <row r="33" spans="1:15" s="4" customFormat="1" ht="25.5" x14ac:dyDescent="0.2">
      <c r="A33" s="36" t="s">
        <v>150</v>
      </c>
      <c r="B33" s="63" t="s">
        <v>102</v>
      </c>
      <c r="C33" s="64" t="s">
        <v>103</v>
      </c>
      <c r="D33" s="37">
        <v>2.9000000000000001E-2</v>
      </c>
      <c r="E33" s="38">
        <f>'Nov 23'!$D33*$C$6*$C$2</f>
        <v>6376210.0755935004</v>
      </c>
      <c r="F33" s="38">
        <v>218473.57142857101</v>
      </c>
      <c r="G33" s="39">
        <f>'Nov 23'!$E33/'Nov 23'!$F33</f>
        <v>29.185269567848735</v>
      </c>
      <c r="H33" s="36">
        <v>28</v>
      </c>
      <c r="I33" s="36">
        <f>ROUND(Table1389584567991011121314456267891011121314151617181920213456789101112131415161718192021222334567891011121314151617[[#This Row],[Target Quantity]],0)</f>
        <v>29</v>
      </c>
      <c r="J33" s="40">
        <f t="shared" si="1"/>
        <v>1</v>
      </c>
      <c r="K33" s="41">
        <f>'Nov 23'!$F33*'Nov 23'!$I33</f>
        <v>6335733.5714285597</v>
      </c>
      <c r="L33" s="42">
        <f>'Nov 23'!$K33/$K$2</f>
        <v>3.0131381554895916E-2</v>
      </c>
      <c r="M33" s="65"/>
    </row>
    <row r="34" spans="1:15" s="4" customFormat="1" ht="25.5" x14ac:dyDescent="0.2">
      <c r="A34" s="36" t="s">
        <v>150</v>
      </c>
      <c r="B34" s="63" t="s">
        <v>104</v>
      </c>
      <c r="C34" s="64" t="s">
        <v>105</v>
      </c>
      <c r="D34" s="37">
        <v>2.9000000000000001E-2</v>
      </c>
      <c r="E34" s="38">
        <f>'Nov 23'!$D34*$C$6*$C$2</f>
        <v>6376210.0755935004</v>
      </c>
      <c r="F34" s="38">
        <v>173619.285714286</v>
      </c>
      <c r="G34" s="39">
        <f>'Nov 23'!$E34/'Nov 23'!$F34</f>
        <v>36.725240801223059</v>
      </c>
      <c r="H34" s="36">
        <v>35</v>
      </c>
      <c r="I34" s="36">
        <f>ROUND(Table1389584567991011121314456267891011121314151617181920213456789101112131415161718192021222334567891011121314151617[[#This Row],[Target Quantity]],0)</f>
        <v>37</v>
      </c>
      <c r="J34" s="40">
        <f t="shared" si="1"/>
        <v>2</v>
      </c>
      <c r="K34" s="41">
        <f>'Nov 23'!$F34*'Nov 23'!$I34</f>
        <v>6423913.5714285821</v>
      </c>
      <c r="L34" s="42">
        <f>'Nov 23'!$K34/$K$2</f>
        <v>3.0550746604823719E-2</v>
      </c>
      <c r="M34" s="65"/>
    </row>
    <row r="35" spans="1:15" s="4" customFormat="1" ht="25.5" x14ac:dyDescent="0.2">
      <c r="A35" s="36" t="s">
        <v>150</v>
      </c>
      <c r="B35" s="63" t="s">
        <v>106</v>
      </c>
      <c r="C35" s="64" t="s">
        <v>107</v>
      </c>
      <c r="D35" s="37">
        <v>2.9000000000000001E-2</v>
      </c>
      <c r="E35" s="38">
        <f>'Nov 23'!$D35*$C$6*$C$2</f>
        <v>6376210.0755935004</v>
      </c>
      <c r="F35" s="38">
        <v>125550.5</v>
      </c>
      <c r="G35" s="39">
        <f>'Nov 23'!$E35/'Nov 23'!$F35</f>
        <v>50.786018977172539</v>
      </c>
      <c r="H35" s="36">
        <v>48</v>
      </c>
      <c r="I35" s="36">
        <f>ROUND(Table1389584567991011121314456267891011121314151617181920213456789101112131415161718192021222334567891011121314151617[[#This Row],[Target Quantity]],0)</f>
        <v>51</v>
      </c>
      <c r="J35" s="40">
        <f t="shared" si="1"/>
        <v>3</v>
      </c>
      <c r="K35" s="41">
        <f>'Nov 23'!$F35*'Nov 23'!$I35</f>
        <v>6403075.5</v>
      </c>
      <c r="L35" s="42">
        <f>'Nov 23'!$K35/$K$2</f>
        <v>3.0451645234160937E-2</v>
      </c>
      <c r="M35" s="65"/>
    </row>
    <row r="36" spans="1:15" s="4" customFormat="1" ht="25.5" x14ac:dyDescent="0.2">
      <c r="A36" s="36" t="s">
        <v>150</v>
      </c>
      <c r="B36" s="63" t="s">
        <v>108</v>
      </c>
      <c r="C36" s="64" t="s">
        <v>109</v>
      </c>
      <c r="D36" s="37">
        <v>2.9000000000000001E-2</v>
      </c>
      <c r="E36" s="38">
        <f>'Nov 23'!$D36*$C$6*$C$2</f>
        <v>6376210.0755935004</v>
      </c>
      <c r="F36" s="38">
        <v>138345.25</v>
      </c>
      <c r="G36" s="39">
        <f>'Nov 23'!$E36/'Nov 23'!$F36</f>
        <v>46.089114556470136</v>
      </c>
      <c r="H36" s="36">
        <v>44</v>
      </c>
      <c r="I36" s="36">
        <f>ROUND(Table1389584567991011121314456267891011121314151617181920213456789101112131415161718192021222334567891011121314151617[[#This Row],[Target Quantity]],0)</f>
        <v>46</v>
      </c>
      <c r="J36" s="40">
        <f t="shared" si="1"/>
        <v>2</v>
      </c>
      <c r="K36" s="41">
        <f>'Nov 23'!$F36*'Nov 23'!$I36</f>
        <v>6363881.5</v>
      </c>
      <c r="L36" s="42">
        <f>'Nov 23'!$K36/$K$2</f>
        <v>3.0265247028594296E-2</v>
      </c>
      <c r="M36" s="65"/>
    </row>
    <row r="37" spans="1:15" s="4" customFormat="1" ht="25.5" x14ac:dyDescent="0.2">
      <c r="A37" s="36" t="s">
        <v>150</v>
      </c>
      <c r="B37" s="63" t="s">
        <v>114</v>
      </c>
      <c r="C37" s="64" t="s">
        <v>115</v>
      </c>
      <c r="D37" s="37">
        <v>2.9000000000000001E-2</v>
      </c>
      <c r="E37" s="38">
        <f>'Nov 23'!$D37*$C$6*$C$2</f>
        <v>6376210.0755935004</v>
      </c>
      <c r="F37" s="38">
        <v>220773.42857142899</v>
      </c>
      <c r="G37" s="39">
        <f>'Nov 23'!$E37/'Nov 23'!$F37</f>
        <v>28.881238638419489</v>
      </c>
      <c r="H37" s="36">
        <v>28</v>
      </c>
      <c r="I37" s="36">
        <f>ROUND(Table1389584567991011121314456267891011121314151617181920213456789101112131415161718192021222334567891011121314151617[[#This Row],[Target Quantity]],0)</f>
        <v>29</v>
      </c>
      <c r="J37" s="40">
        <f t="shared" si="1"/>
        <v>1</v>
      </c>
      <c r="K37" s="41">
        <f>'Nov 23'!$F37*'Nov 23'!$I37</f>
        <v>6402429.4285714403</v>
      </c>
      <c r="L37" s="42">
        <f>'Nov 23'!$K37/$K$2</f>
        <v>3.0448572657874987E-2</v>
      </c>
      <c r="M37" s="65"/>
    </row>
    <row r="38" spans="1:15" s="46" customFormat="1" ht="25.5" customHeight="1" x14ac:dyDescent="0.2">
      <c r="A38" s="36" t="s">
        <v>151</v>
      </c>
      <c r="B38" s="36" t="s">
        <v>62</v>
      </c>
      <c r="C38" s="36" t="s">
        <v>63</v>
      </c>
      <c r="D38" s="37">
        <v>2.9000000000000001E-2</v>
      </c>
      <c r="E38" s="38">
        <f>'Nov 23'!$D38*$C$6*$C$2</f>
        <v>6376210.0755935004</v>
      </c>
      <c r="F38" s="38">
        <v>114018.849056604</v>
      </c>
      <c r="G38" s="39">
        <f>'Nov 23'!$E38/'Nov 23'!$F38</f>
        <v>55.922420971185808</v>
      </c>
      <c r="H38" s="36">
        <v>53</v>
      </c>
      <c r="I38" s="36">
        <f>ROUND(Table1389584567991011121314456267891011121314151617181920213456789101112131415161718192021222334567891011121314151617[[#This Row],[Target Quantity]],0)</f>
        <v>56</v>
      </c>
      <c r="J38" s="40">
        <f t="shared" si="1"/>
        <v>3</v>
      </c>
      <c r="K38" s="41">
        <f>'Nov 23'!$F38*'Nov 23'!$I38</f>
        <v>6385055.5471698241</v>
      </c>
      <c r="L38" s="42">
        <f>'Nov 23'!$K38/$K$2</f>
        <v>3.0365946227375706E-2</v>
      </c>
      <c r="M38" s="43"/>
      <c r="O38" s="4"/>
    </row>
    <row r="39" spans="1:15" s="46" customFormat="1" ht="25.5" x14ac:dyDescent="0.2">
      <c r="A39" s="36" t="s">
        <v>151</v>
      </c>
      <c r="B39" s="36" t="s">
        <v>60</v>
      </c>
      <c r="C39" s="36" t="s">
        <v>61</v>
      </c>
      <c r="D39" s="37">
        <v>2.9000000000000001E-2</v>
      </c>
      <c r="E39" s="38">
        <f>'Nov 23'!$D39*$C$6*$C$2</f>
        <v>6376210.0755935004</v>
      </c>
      <c r="F39" s="38">
        <v>135430.20000000001</v>
      </c>
      <c r="G39" s="39">
        <f>'Nov 23'!$E39/'Nov 23'!$F39</f>
        <v>47.081153801688984</v>
      </c>
      <c r="H39" s="36">
        <v>45</v>
      </c>
      <c r="I39" s="36">
        <f>ROUND(Table1389584567991011121314456267891011121314151617181920213456789101112131415161718192021222334567891011121314151617[[#This Row],[Target Quantity]],0)</f>
        <v>47</v>
      </c>
      <c r="J39" s="40">
        <f t="shared" si="1"/>
        <v>2</v>
      </c>
      <c r="K39" s="41">
        <f>'Nov 23'!$F39*'Nov 23'!$I39</f>
        <v>6365219.4000000004</v>
      </c>
      <c r="L39" s="42">
        <f>'Nov 23'!$K39/$K$2</f>
        <v>3.0271609792262913E-2</v>
      </c>
      <c r="M39" s="43"/>
      <c r="O39" s="4"/>
    </row>
    <row r="40" spans="1:15" s="46" customFormat="1" ht="25.5" x14ac:dyDescent="0.2">
      <c r="A40" s="36" t="s">
        <v>151</v>
      </c>
      <c r="B40" s="36" t="s">
        <v>56</v>
      </c>
      <c r="C40" s="36" t="s">
        <v>57</v>
      </c>
      <c r="D40" s="37">
        <v>2.9000000000000001E-2</v>
      </c>
      <c r="E40" s="38">
        <f>'Nov 23'!$D40*$C$6*$C$2</f>
        <v>6376210.0755935004</v>
      </c>
      <c r="F40" s="38">
        <v>179583.70588235301</v>
      </c>
      <c r="G40" s="39">
        <f>'Nov 23'!$E40/'Nov 23'!$F40</f>
        <v>35.505504490316156</v>
      </c>
      <c r="H40" s="36">
        <v>34</v>
      </c>
      <c r="I40" s="36">
        <f>ROUND(Table1389584567991011121314456267891011121314151617181920213456789101112131415161718192021222334567891011121314151617[[#This Row],[Target Quantity]],0)</f>
        <v>36</v>
      </c>
      <c r="J40" s="40">
        <f t="shared" si="1"/>
        <v>2</v>
      </c>
      <c r="K40" s="41">
        <f>'Nov 23'!$F40*'Nov 23'!$I40</f>
        <v>6465013.4117647083</v>
      </c>
      <c r="L40" s="42">
        <f>'Nov 23'!$K40/$K$2</f>
        <v>3.0746208575730728E-2</v>
      </c>
      <c r="M40" s="43"/>
      <c r="O40" s="4"/>
    </row>
    <row r="41" spans="1:15" s="46" customFormat="1" ht="25.5" x14ac:dyDescent="0.2">
      <c r="A41" s="36" t="s">
        <v>151</v>
      </c>
      <c r="B41" s="36" t="s">
        <v>66</v>
      </c>
      <c r="C41" s="36" t="s">
        <v>67</v>
      </c>
      <c r="D41" s="37">
        <v>2.9000000000000001E-2</v>
      </c>
      <c r="E41" s="38">
        <f>'Nov 23'!$D41*$C$6*$C$2</f>
        <v>6376210.0755935004</v>
      </c>
      <c r="F41" s="38">
        <v>269317.43478260899</v>
      </c>
      <c r="G41" s="39">
        <f>'Nov 23'!$E41/'Nov 23'!$F41</f>
        <v>23.675444854657588</v>
      </c>
      <c r="H41" s="36">
        <v>23</v>
      </c>
      <c r="I41" s="36">
        <f>ROUND(Table1389584567991011121314456267891011121314151617181920213456789101112131415161718192021222334567891011121314151617[[#This Row],[Target Quantity]],0)</f>
        <v>24</v>
      </c>
      <c r="J41" s="40">
        <f t="shared" si="1"/>
        <v>1</v>
      </c>
      <c r="K41" s="41">
        <f>'Nov 23'!$F41*'Nov 23'!$I41</f>
        <v>6463618.4347826159</v>
      </c>
      <c r="L41" s="42">
        <f>'Nov 23'!$K41/$K$2</f>
        <v>3.073957436625303E-2</v>
      </c>
      <c r="M41" s="43"/>
      <c r="O41" s="4"/>
    </row>
    <row r="42" spans="1:15" s="67" customFormat="1" ht="12.75" x14ac:dyDescent="0.2">
      <c r="A42" s="36"/>
      <c r="B42" s="64"/>
      <c r="C42" s="64"/>
      <c r="D42" s="37"/>
      <c r="E42" s="66"/>
      <c r="F42" s="38"/>
      <c r="G42" s="39"/>
      <c r="H42" s="36"/>
      <c r="I42" s="36"/>
      <c r="J42" s="48"/>
      <c r="K42" s="38"/>
      <c r="L42" s="49"/>
      <c r="M42" s="65"/>
    </row>
    <row r="43" spans="1:15" s="17" customFormat="1" ht="12.75" x14ac:dyDescent="0.2">
      <c r="A43" s="50" t="s">
        <v>153</v>
      </c>
      <c r="B43" s="68"/>
      <c r="C43" s="68"/>
      <c r="D43" s="58">
        <f>SUBTOTAL(9,D32:D42)</f>
        <v>0.29000000000000004</v>
      </c>
      <c r="E43" s="69">
        <f>'Nov 23'!$D43*$C$6*$C$2</f>
        <v>63762100.755935006</v>
      </c>
      <c r="F43" s="70"/>
      <c r="G43" s="71"/>
      <c r="H43" s="57"/>
      <c r="I43" s="57"/>
      <c r="J43" s="61"/>
      <c r="K43" s="69">
        <f>SUM(K32:K42)</f>
        <v>63909701.390786774</v>
      </c>
      <c r="L43" s="72">
        <f>'Nov 23'!$K43/$K$2</f>
        <v>0.30394074750069722</v>
      </c>
      <c r="M43" s="73"/>
    </row>
    <row r="44" spans="1:15" s="67" customFormat="1" ht="12.75" x14ac:dyDescent="0.2">
      <c r="A44" s="36"/>
      <c r="B44" s="64"/>
      <c r="C44" s="64"/>
      <c r="D44" s="37"/>
      <c r="E44" s="66"/>
      <c r="F44" s="38"/>
      <c r="G44" s="39"/>
      <c r="H44" s="36"/>
      <c r="I44" s="36"/>
      <c r="J44" s="48"/>
      <c r="K44" s="38"/>
      <c r="L44" s="42"/>
      <c r="M44" s="65"/>
    </row>
    <row r="45" spans="1:15" s="4" customFormat="1" ht="24.75" customHeight="1" x14ac:dyDescent="0.2">
      <c r="A45" s="36" t="s">
        <v>150</v>
      </c>
      <c r="B45" s="64" t="s">
        <v>110</v>
      </c>
      <c r="C45" s="64" t="s">
        <v>111</v>
      </c>
      <c r="D45" s="37">
        <v>0.1</v>
      </c>
      <c r="E45" s="38">
        <f>'Nov 23'!$D45*$C$6*$C$2</f>
        <v>21986931.295150001</v>
      </c>
      <c r="F45" s="38">
        <v>416332.45833333302</v>
      </c>
      <c r="G45" s="39">
        <f>'Nov 23'!$E45/'Nov 23'!$F45</f>
        <v>52.810994807294975</v>
      </c>
      <c r="H45" s="36">
        <v>48</v>
      </c>
      <c r="I45" s="36">
        <v>48</v>
      </c>
      <c r="J45" s="40">
        <f>I45-H45</f>
        <v>0</v>
      </c>
      <c r="K45" s="41">
        <f>'Nov 23'!$F45*'Nov 23'!$I45</f>
        <v>19983957.999999985</v>
      </c>
      <c r="L45" s="42">
        <f>'Nov 23'!$K45/$K$2</f>
        <v>9.5039391522147729E-2</v>
      </c>
      <c r="M45" s="65"/>
    </row>
    <row r="46" spans="1:15" s="46" customFormat="1" ht="25.5" x14ac:dyDescent="0.25">
      <c r="A46" s="36" t="s">
        <v>151</v>
      </c>
      <c r="B46" s="36" t="s">
        <v>68</v>
      </c>
      <c r="C46" s="36" t="s">
        <v>69</v>
      </c>
      <c r="D46" s="37">
        <v>0.1</v>
      </c>
      <c r="E46" s="38">
        <f>'Nov 23'!$D46*$C$6*$C$2</f>
        <v>21986931.295150001</v>
      </c>
      <c r="F46" s="38">
        <v>249381.25</v>
      </c>
      <c r="G46" s="39">
        <f>'Nov 23'!$E46/'Nov 23'!$F46</f>
        <v>88.165935871882908</v>
      </c>
      <c r="H46" s="36">
        <v>80</v>
      </c>
      <c r="I46" s="36">
        <v>80</v>
      </c>
      <c r="J46" s="40">
        <f>I46-H46</f>
        <v>0</v>
      </c>
      <c r="K46" s="41">
        <f>'Nov 23'!$F46*'Nov 23'!$I46</f>
        <v>19950500</v>
      </c>
      <c r="L46" s="42">
        <f>'Nov 23'!$K46/$K$2</f>
        <v>9.4880272494698478E-2</v>
      </c>
      <c r="M46" s="43"/>
    </row>
    <row r="47" spans="1:15" s="46" customFormat="1" ht="25.5" x14ac:dyDescent="0.25">
      <c r="A47" s="36" t="s">
        <v>151</v>
      </c>
      <c r="B47" s="36" t="s">
        <v>92</v>
      </c>
      <c r="C47" s="36" t="s">
        <v>93</v>
      </c>
      <c r="D47" s="37">
        <v>0.1</v>
      </c>
      <c r="E47" s="38">
        <f>'Nov 23'!$D47*$C$6*$C$2</f>
        <v>21986931.295150001</v>
      </c>
      <c r="F47" s="38">
        <v>416340.66666666698</v>
      </c>
      <c r="G47" s="39">
        <f>'Nov 23'!$E47/'Nov 23'!$F47</f>
        <v>52.809953616069173</v>
      </c>
      <c r="H47" s="36">
        <v>48</v>
      </c>
      <c r="I47" s="36">
        <v>48</v>
      </c>
      <c r="J47" s="40">
        <f>I47-H47</f>
        <v>0</v>
      </c>
      <c r="K47" s="41">
        <f>'Nov 23'!$F47*'Nov 23'!$I47</f>
        <v>19984352.000000015</v>
      </c>
      <c r="L47" s="42">
        <f>'Nov 23'!$K47/$K$2</f>
        <v>9.5041265301118977E-2</v>
      </c>
      <c r="M47" s="43"/>
    </row>
    <row r="48" spans="1:15" s="46" customFormat="1" ht="25.5" x14ac:dyDescent="0.25">
      <c r="A48" s="36" t="s">
        <v>151</v>
      </c>
      <c r="B48" s="36" t="s">
        <v>95</v>
      </c>
      <c r="C48" s="36" t="s">
        <v>96</v>
      </c>
      <c r="D48" s="37">
        <v>0.1</v>
      </c>
      <c r="E48" s="38">
        <f>'Nov 23'!$D48*$C$6*$C$2</f>
        <v>21986931.295150001</v>
      </c>
      <c r="F48" s="38">
        <v>249793.76250000001</v>
      </c>
      <c r="G48" s="39">
        <f>'Nov 23'!$E48/'Nov 23'!$F48</f>
        <v>88.020337558068533</v>
      </c>
      <c r="H48" s="36">
        <v>80</v>
      </c>
      <c r="I48" s="36">
        <v>80</v>
      </c>
      <c r="J48" s="40">
        <f>I48-H48</f>
        <v>0</v>
      </c>
      <c r="K48" s="41">
        <f>'Nov 23'!$F48*'Nov 23'!$I48</f>
        <v>19983501</v>
      </c>
      <c r="L48" s="42">
        <f>'Nov 23'!$K48/$K$2</f>
        <v>9.5037218128772694E-2</v>
      </c>
      <c r="M48" s="43"/>
    </row>
    <row r="49" spans="1:16" s="46" customFormat="1" ht="25.5" x14ac:dyDescent="0.25">
      <c r="A49" s="36" t="s">
        <v>151</v>
      </c>
      <c r="B49" s="36" t="s">
        <v>77</v>
      </c>
      <c r="C49" s="36" t="s">
        <v>78</v>
      </c>
      <c r="D49" s="37">
        <v>0.1</v>
      </c>
      <c r="E49" s="38">
        <f>'Nov 23'!$D49*$C$6*$C$2</f>
        <v>21986931.295150001</v>
      </c>
      <c r="F49" s="38">
        <v>167093.90983606601</v>
      </c>
      <c r="G49" s="39">
        <f>'Nov 23'!$E49/'Nov 23'!$F49</f>
        <v>131.58427686994179</v>
      </c>
      <c r="H49" s="36">
        <v>122</v>
      </c>
      <c r="I49" s="36">
        <v>122</v>
      </c>
      <c r="J49" s="40">
        <f>I49-H49</f>
        <v>0</v>
      </c>
      <c r="K49" s="41">
        <f>'Nov 23'!$F49*'Nov 23'!$I49</f>
        <v>20385457.000000052</v>
      </c>
      <c r="L49" s="42">
        <f>'Nov 23'!$K49/$K$2</f>
        <v>9.6948834118892435E-2</v>
      </c>
      <c r="M49" s="43"/>
    </row>
    <row r="50" spans="1:16" s="47" customFormat="1" ht="12.75" x14ac:dyDescent="0.25">
      <c r="A50" s="36"/>
      <c r="B50" s="36"/>
      <c r="C50" s="36"/>
      <c r="D50" s="37"/>
      <c r="E50" s="38"/>
      <c r="F50" s="38"/>
      <c r="G50" s="39"/>
      <c r="H50" s="36"/>
      <c r="I50" s="36"/>
      <c r="J50" s="48"/>
      <c r="K50" s="38"/>
      <c r="L50" s="42"/>
      <c r="M50" s="36"/>
    </row>
    <row r="51" spans="1:16" s="56" customFormat="1" ht="25.5" x14ac:dyDescent="0.25">
      <c r="A51" s="50" t="s">
        <v>154</v>
      </c>
      <c r="B51" s="50"/>
      <c r="C51" s="50"/>
      <c r="D51" s="58">
        <f>SUBTOTAL(9,D45:D50)</f>
        <v>0.5</v>
      </c>
      <c r="E51" s="52">
        <f>'Nov 23'!$D51*$C$6*$C$2</f>
        <v>109934656.47575</v>
      </c>
      <c r="F51" s="71"/>
      <c r="G51" s="71"/>
      <c r="H51" s="57"/>
      <c r="I51" s="57"/>
      <c r="J51" s="61"/>
      <c r="K51" s="52">
        <f>SUM(K45:K50)</f>
        <v>100287768.00000006</v>
      </c>
      <c r="L51" s="74">
        <f>'Nov 23'!$K51/$K$2</f>
        <v>0.47694698156563037</v>
      </c>
      <c r="M51" s="50"/>
    </row>
    <row r="52" spans="1:16" s="47" customFormat="1" ht="12.75" x14ac:dyDescent="0.25">
      <c r="A52" s="36"/>
      <c r="B52" s="36"/>
      <c r="C52" s="36"/>
      <c r="D52" s="37"/>
      <c r="E52" s="38"/>
      <c r="F52" s="38"/>
      <c r="G52" s="39"/>
      <c r="H52" s="36"/>
      <c r="I52" s="36"/>
      <c r="J52" s="48"/>
      <c r="K52" s="38"/>
      <c r="L52" s="42"/>
      <c r="M52" s="36"/>
    </row>
    <row r="53" spans="1:16" s="46" customFormat="1" ht="12.75" x14ac:dyDescent="0.25">
      <c r="A53" s="36"/>
      <c r="B53" s="36"/>
      <c r="C53" s="36"/>
      <c r="D53" s="37"/>
      <c r="E53" s="38"/>
      <c r="F53" s="38"/>
      <c r="G53" s="75"/>
      <c r="H53" s="36"/>
      <c r="I53" s="36"/>
      <c r="J53" s="40"/>
      <c r="K53" s="41"/>
      <c r="L53" s="42"/>
      <c r="M53" s="43"/>
    </row>
    <row r="54" spans="1:16" s="46" customFormat="1" ht="25.5" x14ac:dyDescent="0.25">
      <c r="A54" s="36" t="s">
        <v>155</v>
      </c>
      <c r="B54" s="36" t="s">
        <v>53</v>
      </c>
      <c r="C54" s="36" t="s">
        <v>54</v>
      </c>
      <c r="D54" s="37">
        <v>1E-3</v>
      </c>
      <c r="E54" s="38">
        <f>'Nov 23'!$D54*$C$6*$C$2</f>
        <v>219869.3129515</v>
      </c>
      <c r="F54" s="38">
        <v>49641</v>
      </c>
      <c r="G54" s="75">
        <f>'Nov 23'!$E54/'Nov 23'!$F54</f>
        <v>4.4291878276324006</v>
      </c>
      <c r="H54" s="36">
        <v>4</v>
      </c>
      <c r="I54" s="36">
        <v>4</v>
      </c>
      <c r="J54" s="40">
        <f t="shared" ref="J54:J63" si="2">I54-H54</f>
        <v>0</v>
      </c>
      <c r="K54" s="41">
        <f>'Nov 23'!$F54*'Nov 23'!$I54</f>
        <v>198564</v>
      </c>
      <c r="L54" s="42">
        <f>'Nov 23'!$K54/$K$2</f>
        <v>9.4432753202362395E-4</v>
      </c>
      <c r="M54" s="43"/>
    </row>
    <row r="55" spans="1:16" s="46" customFormat="1" ht="25.5" x14ac:dyDescent="0.25">
      <c r="A55" s="36" t="s">
        <v>155</v>
      </c>
      <c r="B55" s="36" t="s">
        <v>71</v>
      </c>
      <c r="C55" s="36" t="s">
        <v>72</v>
      </c>
      <c r="D55" s="37">
        <v>1E-3</v>
      </c>
      <c r="E55" s="38">
        <f>'Nov 23'!$D55*$C$6*$C$2</f>
        <v>219869.3129515</v>
      </c>
      <c r="F55" s="38">
        <v>81883.333333333299</v>
      </c>
      <c r="G55" s="75">
        <f>'Nov 23'!$E55/'Nov 23'!$F55</f>
        <v>2.6851534250132314</v>
      </c>
      <c r="H55" s="36">
        <v>3</v>
      </c>
      <c r="I55" s="36">
        <v>3</v>
      </c>
      <c r="J55" s="40">
        <f t="shared" si="2"/>
        <v>0</v>
      </c>
      <c r="K55" s="41">
        <f>'Nov 23'!$F55*'Nov 23'!$I55</f>
        <v>245649.99999999988</v>
      </c>
      <c r="L55" s="42">
        <f>'Nov 23'!$K55/$K$2</f>
        <v>1.1682583864225293E-3</v>
      </c>
      <c r="M55" s="43"/>
      <c r="P55" s="46" t="s">
        <v>159</v>
      </c>
    </row>
    <row r="56" spans="1:16" s="46" customFormat="1" ht="25.5" x14ac:dyDescent="0.25">
      <c r="A56" s="36" t="s">
        <v>155</v>
      </c>
      <c r="B56" s="36" t="s">
        <v>83</v>
      </c>
      <c r="C56" s="36" t="s">
        <v>84</v>
      </c>
      <c r="D56" s="37">
        <v>1E-3</v>
      </c>
      <c r="E56" s="38">
        <f>'Nov 23'!$D56*$C$6*$C$2</f>
        <v>219869.3129515</v>
      </c>
      <c r="F56" s="38">
        <v>96689.5</v>
      </c>
      <c r="G56" s="75">
        <f>'Nov 23'!$E56/'Nov 23'!$F56</f>
        <v>2.2739730058744745</v>
      </c>
      <c r="H56" s="36">
        <v>2</v>
      </c>
      <c r="I56" s="36">
        <v>2</v>
      </c>
      <c r="J56" s="40">
        <f t="shared" si="2"/>
        <v>0</v>
      </c>
      <c r="K56" s="41">
        <f>'Nov 23'!$F56*'Nov 23'!$I56</f>
        <v>193379</v>
      </c>
      <c r="L56" s="42">
        <f>'Nov 23'!$K56/$K$2</f>
        <v>9.1966879099532838E-4</v>
      </c>
      <c r="M56" s="43"/>
    </row>
    <row r="57" spans="1:16" s="46" customFormat="1" ht="25.5" x14ac:dyDescent="0.25">
      <c r="A57" s="36" t="s">
        <v>155</v>
      </c>
      <c r="B57" s="36" t="s">
        <v>161</v>
      </c>
      <c r="C57" s="36" t="s">
        <v>86</v>
      </c>
      <c r="D57" s="37">
        <v>1E-3</v>
      </c>
      <c r="E57" s="38">
        <f>'Nov 23'!$D57*$C$6*$C$2</f>
        <v>219869.3129515</v>
      </c>
      <c r="F57" s="38">
        <v>233236</v>
      </c>
      <c r="G57" s="75">
        <f>'Nov 23'!$E57/'Nov 23'!$F57</f>
        <v>0.94269029202824606</v>
      </c>
      <c r="H57" s="36">
        <v>1</v>
      </c>
      <c r="I57" s="36">
        <v>1</v>
      </c>
      <c r="J57" s="40">
        <f t="shared" si="2"/>
        <v>0</v>
      </c>
      <c r="K57" s="41">
        <f>'Nov 23'!$F57*'Nov 23'!$I57</f>
        <v>233236</v>
      </c>
      <c r="L57" s="42">
        <f>'Nov 23'!$K57/$K$2</f>
        <v>1.1092200814803387E-3</v>
      </c>
      <c r="M57" s="43"/>
    </row>
    <row r="58" spans="1:16" s="46" customFormat="1" ht="25.5" x14ac:dyDescent="0.25">
      <c r="A58" s="36" t="s">
        <v>155</v>
      </c>
      <c r="B58" s="36" t="s">
        <v>87</v>
      </c>
      <c r="C58" s="36" t="s">
        <v>88</v>
      </c>
      <c r="D58" s="37">
        <v>1E-3</v>
      </c>
      <c r="E58" s="38">
        <f>'Nov 23'!$D58*$C$6*$C$2</f>
        <v>219869.3129515</v>
      </c>
      <c r="F58" s="38">
        <v>12349.588235294101</v>
      </c>
      <c r="G58" s="75">
        <f>'Nov 23'!$E58/'Nov 23'!$F58</f>
        <v>17.803776835500614</v>
      </c>
      <c r="H58" s="36">
        <v>17</v>
      </c>
      <c r="I58" s="36">
        <v>18</v>
      </c>
      <c r="J58" s="40">
        <f t="shared" si="2"/>
        <v>1</v>
      </c>
      <c r="K58" s="41">
        <f>'Nov 23'!$F58*'Nov 23'!$I58</f>
        <v>222292.58823529381</v>
      </c>
      <c r="L58" s="42">
        <f>'Nov 23'!$K58/$K$2</f>
        <v>1.0571755768184498E-3</v>
      </c>
      <c r="M58" s="43"/>
    </row>
    <row r="59" spans="1:16" s="46" customFormat="1" ht="25.5" x14ac:dyDescent="0.25">
      <c r="A59" s="36" t="s">
        <v>155</v>
      </c>
      <c r="B59" s="36" t="s">
        <v>90</v>
      </c>
      <c r="C59" s="36" t="s">
        <v>91</v>
      </c>
      <c r="D59" s="37">
        <v>1E-3</v>
      </c>
      <c r="E59" s="38">
        <f>'Nov 23'!$D59*$C$6*$C$2</f>
        <v>219869.3129515</v>
      </c>
      <c r="F59" s="38">
        <v>93383</v>
      </c>
      <c r="G59" s="75">
        <f>'Nov 23'!$E59/'Nov 23'!$F59</f>
        <v>2.3544897138826126</v>
      </c>
      <c r="H59" s="36">
        <v>2</v>
      </c>
      <c r="I59" s="36">
        <v>2</v>
      </c>
      <c r="J59" s="40">
        <f t="shared" si="2"/>
        <v>0</v>
      </c>
      <c r="K59" s="41">
        <f>'Nov 23'!$F59*'Nov 23'!$I59</f>
        <v>186766</v>
      </c>
      <c r="L59" s="42">
        <f>'Nov 23'!$K59/$K$2</f>
        <v>8.8821879014284641E-4</v>
      </c>
      <c r="M59" s="43"/>
    </row>
    <row r="60" spans="1:16" s="4" customFormat="1" ht="25.5" x14ac:dyDescent="0.2">
      <c r="A60" s="36" t="s">
        <v>155</v>
      </c>
      <c r="B60" s="64" t="s">
        <v>112</v>
      </c>
      <c r="C60" s="64" t="s">
        <v>113</v>
      </c>
      <c r="D60" s="37">
        <v>1E-3</v>
      </c>
      <c r="E60" s="38">
        <f>'Nov 23'!$D60*$C$6*$C$2</f>
        <v>219869.3129515</v>
      </c>
      <c r="F60" s="38">
        <v>69072</v>
      </c>
      <c r="G60" s="75">
        <f>'Nov 23'!$E60/'Nov 23'!$F60</f>
        <v>3.1831901921400858</v>
      </c>
      <c r="H60" s="36">
        <v>3</v>
      </c>
      <c r="I60" s="36">
        <v>3</v>
      </c>
      <c r="J60" s="40">
        <f t="shared" si="2"/>
        <v>0</v>
      </c>
      <c r="K60" s="41">
        <f>'Nov 23'!$F60*'Nov 23'!$I60</f>
        <v>207216</v>
      </c>
      <c r="L60" s="42">
        <f>'Nov 23'!$K60/$K$2</f>
        <v>9.8547457684075297E-4</v>
      </c>
      <c r="M60" s="65"/>
    </row>
    <row r="61" spans="1:16" s="46" customFormat="1" ht="25.5" x14ac:dyDescent="0.25">
      <c r="A61" s="36" t="s">
        <v>155</v>
      </c>
      <c r="B61" s="36" t="s">
        <v>81</v>
      </c>
      <c r="C61" s="36" t="s">
        <v>82</v>
      </c>
      <c r="D61" s="37">
        <v>1E-3</v>
      </c>
      <c r="E61" s="38">
        <f>'Nov 23'!$D61*$C$6*$C$2</f>
        <v>219869.3129515</v>
      </c>
      <c r="F61" s="38">
        <v>28280</v>
      </c>
      <c r="G61" s="75">
        <f>'Nov 23'!$E61/'Nov 23'!$F61</f>
        <v>7.7747281807461102</v>
      </c>
      <c r="H61" s="36">
        <v>7</v>
      </c>
      <c r="I61" s="36">
        <v>7</v>
      </c>
      <c r="J61" s="40">
        <f t="shared" si="2"/>
        <v>0</v>
      </c>
      <c r="K61" s="41">
        <f>'Nov 23'!$F61*'Nov 23'!$I61</f>
        <v>197960</v>
      </c>
      <c r="L61" s="42">
        <f>'Nov 23'!$K61/$K$2</f>
        <v>9.4145503837249757E-4</v>
      </c>
      <c r="M61" s="43"/>
    </row>
    <row r="62" spans="1:16" s="46" customFormat="1" ht="25.5" x14ac:dyDescent="0.25">
      <c r="A62" s="36" t="s">
        <v>155</v>
      </c>
      <c r="B62" s="36" t="s">
        <v>100</v>
      </c>
      <c r="C62" s="36" t="s">
        <v>101</v>
      </c>
      <c r="D62" s="37">
        <v>1E-3</v>
      </c>
      <c r="E62" s="38">
        <f>'Nov 23'!$D62*$C$6*$C$2</f>
        <v>219869.3129515</v>
      </c>
      <c r="F62" s="38">
        <v>7865.8846153846198</v>
      </c>
      <c r="G62" s="75">
        <f>'Nov 23'!$E62/'Nov 23'!$F62</f>
        <v>27.952267761653278</v>
      </c>
      <c r="H62" s="36">
        <v>26</v>
      </c>
      <c r="I62" s="36">
        <v>28</v>
      </c>
      <c r="J62" s="40">
        <f t="shared" si="2"/>
        <v>2</v>
      </c>
      <c r="K62" s="41">
        <f>'Nov 23'!$F62*'Nov 23'!$I62</f>
        <v>220244.76923076937</v>
      </c>
      <c r="L62" s="42">
        <f>'Nov 23'!$K62/$K$2</f>
        <v>1.0474365915715085E-3</v>
      </c>
      <c r="M62" s="43"/>
    </row>
    <row r="63" spans="1:16" s="46" customFormat="1" ht="25.5" x14ac:dyDescent="0.25">
      <c r="A63" s="36" t="s">
        <v>155</v>
      </c>
      <c r="B63" s="36" t="s">
        <v>174</v>
      </c>
      <c r="C63" s="36" t="s">
        <v>75</v>
      </c>
      <c r="D63" s="37">
        <v>1E-3</v>
      </c>
      <c r="E63" s="38">
        <f>'Nov 23'!$D63*$C$6*$C$2</f>
        <v>219869.3129515</v>
      </c>
      <c r="F63" s="38">
        <v>27707.142857142899</v>
      </c>
      <c r="G63" s="75">
        <f>'Nov 23'!$E63/'Nov 23'!$F63</f>
        <v>7.935474043106459</v>
      </c>
      <c r="H63" s="36">
        <v>7</v>
      </c>
      <c r="I63" s="36">
        <v>7</v>
      </c>
      <c r="J63" s="40">
        <f t="shared" si="2"/>
        <v>0</v>
      </c>
      <c r="K63" s="41">
        <f>'Nov 23'!$F63*'Nov 23'!$I63</f>
        <v>193950.00000000029</v>
      </c>
      <c r="L63" s="42">
        <f>'Nov 23'!$K63/$K$2</f>
        <v>9.2238434376816611E-4</v>
      </c>
      <c r="M63" s="43"/>
    </row>
    <row r="64" spans="1:16" s="46" customFormat="1" ht="12.75" x14ac:dyDescent="0.25">
      <c r="A64" s="36"/>
      <c r="B64" s="36"/>
      <c r="C64" s="36"/>
      <c r="D64" s="37"/>
      <c r="E64" s="38"/>
      <c r="F64" s="38"/>
      <c r="G64" s="39"/>
      <c r="H64" s="36"/>
      <c r="I64" s="36"/>
      <c r="J64" s="43"/>
      <c r="K64" s="41"/>
      <c r="L64" s="42"/>
      <c r="M64" s="43"/>
    </row>
    <row r="65" spans="1:13" s="46" customFormat="1" ht="12.75" x14ac:dyDescent="0.25">
      <c r="A65" s="36"/>
      <c r="B65" s="36"/>
      <c r="C65" s="36"/>
      <c r="D65" s="37"/>
      <c r="E65" s="38"/>
      <c r="F65" s="38"/>
      <c r="G65" s="39"/>
      <c r="H65" s="36"/>
      <c r="I65" s="36"/>
      <c r="J65" s="43"/>
      <c r="K65" s="41"/>
      <c r="L65" s="42"/>
      <c r="M65" s="43"/>
    </row>
    <row r="66" spans="1:13" s="17" customFormat="1" ht="12.75" x14ac:dyDescent="0.2">
      <c r="A66" s="50" t="s">
        <v>167</v>
      </c>
      <c r="B66" s="68"/>
      <c r="C66" s="68"/>
      <c r="D66" s="76">
        <f>SUM(D54:D65)</f>
        <v>1.0000000000000002E-2</v>
      </c>
      <c r="E66" s="52">
        <f>SUM(E53:E65)</f>
        <v>2198693.1295150002</v>
      </c>
      <c r="F66" s="71"/>
      <c r="G66" s="71"/>
      <c r="H66" s="68"/>
      <c r="I66" s="68"/>
      <c r="J66" s="50"/>
      <c r="K66" s="52">
        <f>SUM(K53:K65)</f>
        <v>2099258.3574660635</v>
      </c>
      <c r="L66" s="55">
        <f>'Nov 23'!$K66/$K$2</f>
        <v>9.9836197084360416E-3</v>
      </c>
      <c r="M66" s="62"/>
    </row>
    <row r="67" spans="1:13" s="4" customFormat="1" ht="12.75" x14ac:dyDescent="0.2">
      <c r="A67" s="36"/>
      <c r="B67" s="64"/>
      <c r="C67" s="64"/>
      <c r="D67" s="77"/>
      <c r="E67" s="38"/>
      <c r="F67" s="38"/>
      <c r="G67" s="39"/>
      <c r="H67" s="64"/>
      <c r="I67" s="64"/>
      <c r="J67" s="36"/>
      <c r="K67" s="36"/>
      <c r="L67" s="42"/>
      <c r="M67" s="65"/>
    </row>
    <row r="68" spans="1:13" s="46" customFormat="1" ht="25.5" x14ac:dyDescent="0.25">
      <c r="A68" s="50" t="s">
        <v>168</v>
      </c>
      <c r="B68" s="57" t="s">
        <v>169</v>
      </c>
      <c r="C68" s="57" t="s">
        <v>170</v>
      </c>
      <c r="D68" s="58">
        <v>0</v>
      </c>
      <c r="E68" s="59">
        <f>'Nov 23'!$D68*$C$6*$C$2</f>
        <v>0</v>
      </c>
      <c r="F68" s="59">
        <v>0</v>
      </c>
      <c r="G68" s="60" t="s">
        <v>175</v>
      </c>
      <c r="H68" s="57">
        <v>0</v>
      </c>
      <c r="I68" s="57">
        <v>0</v>
      </c>
      <c r="J68" s="78">
        <f>I68-H68</f>
        <v>0</v>
      </c>
      <c r="K68" s="59">
        <f>'Nov 23'!$F68*'Nov 23'!$I68</f>
        <v>0</v>
      </c>
      <c r="L68" s="79">
        <f>'Nov 23'!$K68/$K$2</f>
        <v>0</v>
      </c>
      <c r="M68" s="57"/>
    </row>
    <row r="69" spans="1:13" s="4" customFormat="1" ht="12.75" x14ac:dyDescent="0.2">
      <c r="A69" s="36"/>
      <c r="B69" s="64"/>
      <c r="C69" s="64"/>
      <c r="D69" s="77"/>
      <c r="E69" s="38"/>
      <c r="F69" s="38"/>
      <c r="G69" s="39"/>
      <c r="H69" s="64"/>
      <c r="I69" s="64"/>
      <c r="J69" s="36"/>
      <c r="K69" s="36"/>
      <c r="L69" s="42"/>
      <c r="M69" s="65"/>
    </row>
    <row r="70" spans="1:13" s="4" customFormat="1" ht="12.75" x14ac:dyDescent="0.2">
      <c r="A70" s="36"/>
      <c r="B70" s="64"/>
      <c r="C70" s="64"/>
      <c r="D70" s="80"/>
      <c r="E70" s="66"/>
      <c r="F70" s="38"/>
      <c r="G70" s="39"/>
      <c r="H70" s="64"/>
      <c r="I70" s="64"/>
      <c r="J70" s="36"/>
      <c r="K70" s="36"/>
      <c r="L70" s="42"/>
      <c r="M70" s="65"/>
    </row>
    <row r="71" spans="1:13" s="17" customFormat="1" ht="12.75" x14ac:dyDescent="0.2">
      <c r="A71" s="50" t="s">
        <v>171</v>
      </c>
      <c r="B71" s="68"/>
      <c r="C71" s="68"/>
      <c r="D71" s="68"/>
      <c r="E71" s="81"/>
      <c r="F71" s="81"/>
      <c r="G71" s="50"/>
      <c r="H71" s="68"/>
      <c r="I71" s="68"/>
      <c r="J71" s="68"/>
      <c r="K71" s="81">
        <f>SUM(K28,K30,K43,K51,K66,K68:K68)</f>
        <v>210270264.5706962</v>
      </c>
      <c r="L71" s="55">
        <f>'Nov 23'!$K71/$K$2</f>
        <v>1</v>
      </c>
      <c r="M71" s="68"/>
    </row>
    <row r="72" spans="1:13" s="4" customFormat="1" ht="12.75" x14ac:dyDescent="0.2">
      <c r="A72" s="65"/>
      <c r="B72" s="65"/>
      <c r="C72" s="65"/>
      <c r="D72" s="82"/>
      <c r="E72" s="83"/>
      <c r="F72" s="38"/>
      <c r="G72" s="84"/>
      <c r="H72" s="65"/>
      <c r="I72" s="65"/>
      <c r="J72" s="65"/>
      <c r="K72" s="65"/>
      <c r="L72" s="42"/>
      <c r="M72" s="65"/>
    </row>
    <row r="73" spans="1:13" s="4" customFormat="1" ht="12.75" x14ac:dyDescent="0.2">
      <c r="A73" s="65"/>
      <c r="B73" s="65"/>
      <c r="C73" s="65"/>
      <c r="D73" s="82"/>
      <c r="E73" s="83"/>
      <c r="F73" s="38"/>
      <c r="G73" s="84"/>
      <c r="H73" s="65"/>
      <c r="I73" s="65"/>
      <c r="J73" s="65"/>
      <c r="K73" s="65"/>
      <c r="L73" s="42"/>
      <c r="M73" s="65"/>
    </row>
    <row r="74" spans="1:13" s="4" customFormat="1" ht="12.75" x14ac:dyDescent="0.2">
      <c r="A74" s="65"/>
      <c r="B74" s="65"/>
      <c r="C74" s="65"/>
      <c r="D74" s="82"/>
      <c r="E74" s="83"/>
      <c r="F74" s="38"/>
      <c r="G74" s="84"/>
      <c r="H74" s="65"/>
      <c r="I74" s="65"/>
      <c r="J74" s="65"/>
      <c r="K74" s="65"/>
      <c r="L74" s="42"/>
      <c r="M74" s="65"/>
    </row>
    <row r="75" spans="1:13" s="4" customFormat="1" ht="12.75" x14ac:dyDescent="0.2">
      <c r="A75" s="65"/>
      <c r="B75" s="65"/>
      <c r="C75" s="65"/>
      <c r="D75" s="82"/>
      <c r="E75" s="83"/>
      <c r="F75" s="38"/>
      <c r="G75" s="84"/>
      <c r="H75" s="65"/>
      <c r="I75" s="65"/>
      <c r="J75" s="65"/>
      <c r="K75" s="65"/>
      <c r="L75" s="42"/>
      <c r="M75" s="65"/>
    </row>
    <row r="76" spans="1:13" s="4" customFormat="1" ht="12.75" x14ac:dyDescent="0.2">
      <c r="A76" s="65"/>
      <c r="B76" s="65"/>
      <c r="C76" s="65"/>
      <c r="D76" s="82"/>
      <c r="E76" s="83"/>
      <c r="F76" s="38"/>
      <c r="G76" s="84"/>
      <c r="H76" s="65"/>
      <c r="I76" s="65"/>
      <c r="J76" s="65"/>
      <c r="K76" s="65"/>
      <c r="L76" s="42"/>
      <c r="M76" s="65"/>
    </row>
    <row r="77" spans="1:13" s="4" customFormat="1" ht="12.75" x14ac:dyDescent="0.2">
      <c r="A77" s="65"/>
      <c r="B77" s="65"/>
      <c r="C77" s="65"/>
      <c r="D77" s="82"/>
      <c r="E77" s="83"/>
      <c r="F77" s="38"/>
      <c r="G77" s="84"/>
      <c r="H77" s="65"/>
      <c r="I77" s="65"/>
      <c r="J77" s="65"/>
      <c r="K77" s="65"/>
      <c r="L77" s="42"/>
      <c r="M77" s="65"/>
    </row>
    <row r="78" spans="1:13" s="4" customFormat="1" ht="12.75" x14ac:dyDescent="0.2">
      <c r="A78" s="65"/>
      <c r="B78" s="65"/>
      <c r="C78" s="65"/>
      <c r="D78" s="82"/>
      <c r="E78" s="83"/>
      <c r="F78" s="38"/>
      <c r="G78" s="84"/>
      <c r="H78" s="65"/>
      <c r="I78" s="65"/>
      <c r="J78" s="65"/>
      <c r="K78" s="65"/>
      <c r="L78" s="42"/>
      <c r="M78" s="65"/>
    </row>
    <row r="79" spans="1:13" s="4" customFormat="1" ht="12.75" x14ac:dyDescent="0.2">
      <c r="A79" s="65"/>
      <c r="B79" s="65"/>
      <c r="C79" s="65"/>
      <c r="D79" s="82"/>
      <c r="E79" s="83"/>
      <c r="F79" s="38"/>
      <c r="G79" s="84"/>
      <c r="H79" s="65"/>
      <c r="I79" s="65"/>
      <c r="J79" s="65"/>
      <c r="K79" s="65"/>
      <c r="L79" s="42"/>
      <c r="M79" s="65"/>
    </row>
    <row r="80" spans="1:13" s="4" customFormat="1" ht="12.75" x14ac:dyDescent="0.2">
      <c r="A80" s="65"/>
      <c r="B80" s="65"/>
      <c r="C80" s="65"/>
      <c r="D80" s="82"/>
      <c r="E80" s="83"/>
      <c r="F80" s="38"/>
      <c r="G80" s="84"/>
      <c r="H80" s="65"/>
      <c r="I80" s="65"/>
      <c r="J80" s="65"/>
      <c r="K80" s="65"/>
      <c r="L80" s="42"/>
      <c r="M80" s="65"/>
    </row>
    <row r="81" spans="1:13" s="4" customFormat="1" ht="12.75" x14ac:dyDescent="0.2"/>
    <row r="82" spans="1:13" s="4" customFormat="1" ht="12.75" x14ac:dyDescent="0.2"/>
    <row r="84" spans="1:13" s="4" customFormat="1" ht="12.75" x14ac:dyDescent="0.2">
      <c r="A84" s="85"/>
      <c r="B84" s="85"/>
      <c r="E84" s="85"/>
      <c r="F84" s="85"/>
      <c r="G84" s="85"/>
      <c r="H84" s="86"/>
      <c r="M84" s="85"/>
    </row>
    <row r="85" spans="1:13" s="4" customFormat="1" ht="12.75" x14ac:dyDescent="0.2">
      <c r="A85" s="85"/>
      <c r="B85" s="85"/>
      <c r="E85" s="85"/>
      <c r="F85" s="85"/>
      <c r="G85" s="85"/>
      <c r="H85" s="86"/>
      <c r="M85" s="85"/>
    </row>
    <row r="86" spans="1:13" s="4" customFormat="1" ht="12.75" x14ac:dyDescent="0.2">
      <c r="A86" s="87"/>
      <c r="B86" s="87"/>
    </row>
    <row r="87" spans="1:13" s="4" customFormat="1" ht="12.75" x14ac:dyDescent="0.2">
      <c r="A87" s="88"/>
      <c r="B87" s="88"/>
      <c r="E87" s="88"/>
      <c r="F87" s="87"/>
      <c r="G87" s="87"/>
      <c r="M87" s="89"/>
    </row>
    <row r="88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H88"/>
  <sheetViews>
    <sheetView zoomScale="140" zoomScaleNormal="140" workbookViewId="0">
      <pane xSplit="2" topLeftCell="C1" activePane="topRight" state="frozen"/>
      <selection pane="topRight" activeCell="H11" sqref="H11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116</v>
      </c>
      <c r="C1" s="6">
        <v>44159</v>
      </c>
      <c r="D1" s="7"/>
      <c r="E1" s="8" t="s">
        <v>117</v>
      </c>
      <c r="F1" s="9"/>
      <c r="G1" s="10"/>
      <c r="K1" s="11" t="s">
        <v>118</v>
      </c>
      <c r="L1" s="11" t="s">
        <v>119</v>
      </c>
      <c r="M1" s="12" t="s">
        <v>120</v>
      </c>
    </row>
    <row r="2" spans="1:17" x14ac:dyDescent="0.25">
      <c r="A2" s="5"/>
      <c r="B2" s="5" t="s">
        <v>121</v>
      </c>
      <c r="C2" s="13">
        <v>7.95</v>
      </c>
      <c r="D2" s="14"/>
      <c r="E2" s="15">
        <f>SUM(E28,E43,E51,E66,E30,E68)</f>
        <v>219485008.50150001</v>
      </c>
      <c r="F2" s="16"/>
      <c r="G2" s="17"/>
      <c r="H2" s="14"/>
      <c r="I2" s="14"/>
      <c r="J2" s="14"/>
      <c r="K2" s="15">
        <f>SUM(K28,K43,K51,K66,K30,K68:K68)</f>
        <v>210162604.4088029</v>
      </c>
      <c r="L2" s="18">
        <f>SUM(L51,L66,L43,L28,L30,L68)</f>
        <v>0.99999999999999978</v>
      </c>
      <c r="M2" s="19">
        <f>K2/$C$6</f>
        <v>7.6123317781795761</v>
      </c>
      <c r="N2" s="20"/>
    </row>
    <row r="3" spans="1:17" ht="26.25" x14ac:dyDescent="0.25">
      <c r="A3" s="5"/>
      <c r="B3" s="5" t="s">
        <v>122</v>
      </c>
      <c r="C3" s="21">
        <v>27608177.170000002</v>
      </c>
      <c r="D3" s="22"/>
      <c r="E3" s="8" t="s">
        <v>123</v>
      </c>
      <c r="F3" s="16"/>
      <c r="H3" s="14"/>
      <c r="I3" s="14"/>
      <c r="J3" s="14"/>
      <c r="K3" s="8" t="s">
        <v>123</v>
      </c>
      <c r="L3" s="14"/>
      <c r="M3" s="12" t="s">
        <v>124</v>
      </c>
      <c r="N3" s="23"/>
    </row>
    <row r="4" spans="1:17" x14ac:dyDescent="0.25">
      <c r="A4" s="5"/>
      <c r="B4" s="5" t="s">
        <v>125</v>
      </c>
      <c r="C4" s="21">
        <v>0</v>
      </c>
      <c r="D4" s="22"/>
      <c r="E4" s="15">
        <f>SUM(E28,E66,E30)</f>
        <v>46091851.785315007</v>
      </c>
      <c r="F4" s="16"/>
      <c r="G4" s="17"/>
      <c r="H4" s="14"/>
      <c r="I4" s="14"/>
      <c r="J4" s="14"/>
      <c r="K4" s="15">
        <f>SUM(K28,K30,K66)</f>
        <v>46002191.408802874</v>
      </c>
      <c r="L4" s="14"/>
      <c r="M4" s="19">
        <f>K4/$C$6</f>
        <v>1.6662523978146027</v>
      </c>
      <c r="N4" s="23"/>
    </row>
    <row r="5" spans="1:17" x14ac:dyDescent="0.25">
      <c r="A5" s="5"/>
      <c r="B5" s="5" t="s">
        <v>126</v>
      </c>
      <c r="C5" s="21">
        <v>0</v>
      </c>
      <c r="D5" s="22"/>
      <c r="E5" s="16"/>
      <c r="F5" s="16"/>
      <c r="G5" s="24">
        <f>SUM(D28,D30,D43,D51,D66,D68:D68)</f>
        <v>1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127</v>
      </c>
      <c r="C6" s="21">
        <f>C3+C4-C5</f>
        <v>27608177.170000002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128</v>
      </c>
      <c r="B8" s="30" t="s">
        <v>129</v>
      </c>
      <c r="C8" s="31" t="s">
        <v>1</v>
      </c>
      <c r="D8" s="31" t="s">
        <v>176</v>
      </c>
      <c r="E8" s="31" t="s">
        <v>131</v>
      </c>
      <c r="F8" s="31" t="s">
        <v>132</v>
      </c>
      <c r="G8" s="31" t="s">
        <v>133</v>
      </c>
      <c r="H8" s="31" t="s">
        <v>134</v>
      </c>
      <c r="I8" s="31" t="s">
        <v>135</v>
      </c>
      <c r="J8" s="31" t="s">
        <v>136</v>
      </c>
      <c r="K8" s="32" t="s">
        <v>137</v>
      </c>
      <c r="L8" s="32" t="s">
        <v>138</v>
      </c>
      <c r="M8" s="32" t="s">
        <v>139</v>
      </c>
      <c r="N8" s="33"/>
      <c r="Q8" s="35"/>
    </row>
    <row r="9" spans="1:17" s="46" customFormat="1" ht="12.75" customHeight="1" x14ac:dyDescent="0.25">
      <c r="A9" s="36" t="s">
        <v>140</v>
      </c>
      <c r="B9" s="36" t="s">
        <v>49</v>
      </c>
      <c r="C9" s="36" t="s">
        <v>50</v>
      </c>
      <c r="D9" s="37">
        <v>1.2E-2</v>
      </c>
      <c r="E9" s="38">
        <f>'Nov 24'!$D9*$C$6*$C$2</f>
        <v>2633820.1020180001</v>
      </c>
      <c r="F9" s="38">
        <v>533.6</v>
      </c>
      <c r="G9" s="39">
        <f>'Nov 24'!$E9/'Nov 24'!$F9</f>
        <v>4935.9447189242874</v>
      </c>
      <c r="H9" s="36">
        <v>5290</v>
      </c>
      <c r="I9" s="36">
        <f>ROUND(Table138958456799101112131445626789101112131415161718192021345678910111213141516171819202122233456789101112131415161718[[#This Row],[Target Quantity]],0)</f>
        <v>4936</v>
      </c>
      <c r="J9" s="40">
        <f t="shared" ref="J9:J26" si="0">I9-H9</f>
        <v>-354</v>
      </c>
      <c r="K9" s="41">
        <f>'Nov 24'!$F9*'Nov 24'!$I9</f>
        <v>2633849.6</v>
      </c>
      <c r="L9" s="42">
        <f>'Nov 24'!$K9/$K$2</f>
        <v>1.2532437002335124E-2</v>
      </c>
      <c r="M9" s="43"/>
    </row>
    <row r="10" spans="1:17" s="46" customFormat="1" ht="12.75" customHeight="1" x14ac:dyDescent="0.25">
      <c r="A10" s="36" t="s">
        <v>140</v>
      </c>
      <c r="B10" s="36" t="s">
        <v>37</v>
      </c>
      <c r="C10" s="36" t="s">
        <v>38</v>
      </c>
      <c r="D10" s="37">
        <v>1.2E-2</v>
      </c>
      <c r="E10" s="38">
        <f>'Nov 24'!$D10*$C$6*$C$2</f>
        <v>2633820.1020180001</v>
      </c>
      <c r="F10" s="38">
        <v>88.959982439551496</v>
      </c>
      <c r="G10" s="39">
        <f>'Nov 24'!$E10/'Nov 24'!$F10</f>
        <v>29606.796559427006</v>
      </c>
      <c r="H10" s="36">
        <v>29612</v>
      </c>
      <c r="I10" s="36">
        <f>ROUND(Table138958456799101112131445626789101112131415161718192021345678910111213141516171819202122233456789101112131415161718[[#This Row],[Target Quantity]],0)</f>
        <v>29607</v>
      </c>
      <c r="J10" s="40">
        <f t="shared" si="0"/>
        <v>-5</v>
      </c>
      <c r="K10" s="41">
        <f>'Nov 24'!$F10*'Nov 24'!$I10</f>
        <v>2633838.2000878011</v>
      </c>
      <c r="L10" s="42">
        <f>'Nov 24'!$K10/$K$2</f>
        <v>1.2532382759039885E-2</v>
      </c>
      <c r="M10" s="43"/>
    </row>
    <row r="11" spans="1:17" s="47" customFormat="1" ht="12.75" customHeight="1" x14ac:dyDescent="0.25">
      <c r="A11" s="36" t="s">
        <v>140</v>
      </c>
      <c r="B11" s="36" t="s">
        <v>27</v>
      </c>
      <c r="C11" s="36" t="s">
        <v>28</v>
      </c>
      <c r="D11" s="37">
        <v>1.2E-2</v>
      </c>
      <c r="E11" s="38">
        <f>'Nov 24'!$D11*$C$6*$C$2</f>
        <v>2633820.1020180001</v>
      </c>
      <c r="F11" s="38">
        <v>217.17001766635801</v>
      </c>
      <c r="G11" s="39">
        <f>'Nov 24'!$E11/'Nov 24'!$F11</f>
        <v>12127.917703927173</v>
      </c>
      <c r="H11" s="36">
        <v>11887</v>
      </c>
      <c r="I11" s="36">
        <f>ROUND(Table138958456799101112131445626789101112131415161718192021345678910111213141516171819202122233456789101112131415161718[[#This Row],[Target Quantity]],0)</f>
        <v>12128</v>
      </c>
      <c r="J11" s="40">
        <f t="shared" si="0"/>
        <v>241</v>
      </c>
      <c r="K11" s="41">
        <f>'Nov 24'!$F11*'Nov 24'!$I11</f>
        <v>2633837.9742575898</v>
      </c>
      <c r="L11" s="42">
        <f>'Nov 24'!$K11/$K$2</f>
        <v>1.2532381684489958E-2</v>
      </c>
      <c r="M11" s="36"/>
    </row>
    <row r="12" spans="1:17" s="47" customFormat="1" ht="12.75" customHeight="1" x14ac:dyDescent="0.25">
      <c r="A12" s="36" t="s">
        <v>140</v>
      </c>
      <c r="B12" s="36" t="s">
        <v>51</v>
      </c>
      <c r="C12" s="36" t="s">
        <v>52</v>
      </c>
      <c r="D12" s="37">
        <v>1.2E-2</v>
      </c>
      <c r="E12" s="38">
        <f>'Nov 24'!$D12*$C$6*$C$2</f>
        <v>2633820.1020180001</v>
      </c>
      <c r="F12" s="38">
        <v>424.39996717544699</v>
      </c>
      <c r="G12" s="39">
        <f>'Nov 24'!$E12/'Nov 24'!$F12</f>
        <v>6205.9856402608502</v>
      </c>
      <c r="H12" s="36">
        <v>6093</v>
      </c>
      <c r="I12" s="36">
        <f>ROUND(Table138958456799101112131445626789101112131415161718192021345678910111213141516171819202122233456789101112131415161718[[#This Row],[Target Quantity]],0)</f>
        <v>6206</v>
      </c>
      <c r="J12" s="40">
        <f t="shared" si="0"/>
        <v>113</v>
      </c>
      <c r="K12" s="41">
        <f>'Nov 24'!$F12*'Nov 24'!$I12</f>
        <v>2633826.1962908241</v>
      </c>
      <c r="L12" s="42">
        <f>'Nov 24'!$K12/$K$2</f>
        <v>1.2532325642327752E-2</v>
      </c>
      <c r="M12" s="36"/>
    </row>
    <row r="13" spans="1:17" s="47" customFormat="1" ht="12.75" customHeight="1" x14ac:dyDescent="0.25">
      <c r="A13" s="36" t="s">
        <v>140</v>
      </c>
      <c r="B13" s="36" t="s">
        <v>41</v>
      </c>
      <c r="C13" s="36" t="s">
        <v>42</v>
      </c>
      <c r="D13" s="37">
        <v>1.2E-2</v>
      </c>
      <c r="E13" s="38">
        <f>'Nov 24'!$D13*$C$6*$C$2</f>
        <v>2633820.1020180001</v>
      </c>
      <c r="F13" s="38">
        <v>1451.7701396348</v>
      </c>
      <c r="G13" s="39">
        <f>'Nov 24'!$E13/'Nov 24'!$F13</f>
        <v>1814.2128909474268</v>
      </c>
      <c r="H13" s="36">
        <v>1862</v>
      </c>
      <c r="I13" s="36">
        <f>ROUND(Table138958456799101112131445626789101112131415161718192021345678910111213141516171819202122233456789101112131415161718[[#This Row],[Target Quantity]],0)</f>
        <v>1814</v>
      </c>
      <c r="J13" s="40">
        <f t="shared" si="0"/>
        <v>-48</v>
      </c>
      <c r="K13" s="41">
        <f>'Nov 24'!$F13*'Nov 24'!$I13</f>
        <v>2633511.0332975271</v>
      </c>
      <c r="L13" s="42">
        <f>'Nov 24'!$K13/$K$2</f>
        <v>1.2530826027331148E-2</v>
      </c>
      <c r="M13" s="36"/>
    </row>
    <row r="14" spans="1:17" s="47" customFormat="1" ht="12.75" customHeight="1" x14ac:dyDescent="0.25">
      <c r="A14" s="36" t="s">
        <v>140</v>
      </c>
      <c r="B14" s="36" t="s">
        <v>31</v>
      </c>
      <c r="C14" s="36" t="s">
        <v>32</v>
      </c>
      <c r="D14" s="37">
        <v>1.2E-2</v>
      </c>
      <c r="E14" s="38">
        <f>'Nov 24'!$D14*$C$6*$C$2</f>
        <v>2633820.1020180001</v>
      </c>
      <c r="F14" s="38">
        <v>288.75007922256299</v>
      </c>
      <c r="G14" s="39">
        <f>'Nov 24'!$E14/'Nov 24'!$F14</f>
        <v>9121.4523961667983</v>
      </c>
      <c r="H14" s="36">
        <v>9467</v>
      </c>
      <c r="I14" s="36">
        <f>ROUND(Table138958456799101112131445626789101112131415161718192021345678910111213141516171819202122233456789101112131415161718[[#This Row],[Target Quantity]],0)</f>
        <v>9121</v>
      </c>
      <c r="J14" s="40">
        <f t="shared" si="0"/>
        <v>-346</v>
      </c>
      <c r="K14" s="41">
        <f>'Nov 24'!$F14*'Nov 24'!$I14</f>
        <v>2633689.4725889969</v>
      </c>
      <c r="L14" s="42">
        <f>'Nov 24'!$K14/$K$2</f>
        <v>1.25316750808151E-2</v>
      </c>
      <c r="M14" s="36"/>
    </row>
    <row r="15" spans="1:17" s="47" customFormat="1" ht="12.75" customHeight="1" x14ac:dyDescent="0.25">
      <c r="A15" s="36" t="s">
        <v>140</v>
      </c>
      <c r="B15" s="36" t="s">
        <v>29</v>
      </c>
      <c r="C15" s="36" t="s">
        <v>30</v>
      </c>
      <c r="D15" s="37">
        <v>1.2E-2</v>
      </c>
      <c r="E15" s="38">
        <f>'Nov 24'!$D15*$C$6*$C$2</f>
        <v>2633820.1020180001</v>
      </c>
      <c r="F15" s="38">
        <v>22.209996191464001</v>
      </c>
      <c r="G15" s="39">
        <f>'Nov 24'!$E15/'Nov 24'!$F15</f>
        <v>118587.14784607932</v>
      </c>
      <c r="H15" s="36">
        <v>123407</v>
      </c>
      <c r="I15" s="36">
        <f>ROUND(Table138958456799101112131445626789101112131415161718192021345678910111213141516171819202122233456789101112131415161718[[#This Row],[Target Quantity]],0)</f>
        <v>118587</v>
      </c>
      <c r="J15" s="40">
        <f t="shared" si="0"/>
        <v>-4820</v>
      </c>
      <c r="K15" s="41">
        <f>'Nov 24'!$F15*'Nov 24'!$I15</f>
        <v>2633816.8183571412</v>
      </c>
      <c r="L15" s="42">
        <f>'Nov 24'!$K15/$K$2</f>
        <v>1.2532281020052018E-2</v>
      </c>
      <c r="M15" s="36"/>
    </row>
    <row r="16" spans="1:17" s="47" customFormat="1" ht="12.75" customHeight="1" x14ac:dyDescent="0.25">
      <c r="A16" s="36" t="s">
        <v>140</v>
      </c>
      <c r="B16" s="36" t="s">
        <v>39</v>
      </c>
      <c r="C16" s="36" t="s">
        <v>40</v>
      </c>
      <c r="D16" s="37">
        <v>6.0000000000000001E-3</v>
      </c>
      <c r="E16" s="38">
        <f>'Nov 24'!$D16*$C$6*$C$2</f>
        <v>1316910.051009</v>
      </c>
      <c r="F16" s="38">
        <v>40</v>
      </c>
      <c r="G16" s="39">
        <f>'Nov 24'!$E16/'Nov 24'!$F16</f>
        <v>32922.751275225004</v>
      </c>
      <c r="H16" s="36">
        <v>33005</v>
      </c>
      <c r="I16" s="36">
        <f>ROUND(Table138958456799101112131445626789101112131415161718192021345678910111213141516171819202122233456789101112131415161718[[#This Row],[Target Quantity]],0)</f>
        <v>32923</v>
      </c>
      <c r="J16" s="40">
        <f t="shared" si="0"/>
        <v>-82</v>
      </c>
      <c r="K16" s="41">
        <f>'Nov 24'!$F16*'Nov 24'!$I16</f>
        <v>1316920</v>
      </c>
      <c r="L16" s="42">
        <f>'Nov 24'!$K16/$K$2</f>
        <v>6.2661956617094498E-3</v>
      </c>
      <c r="M16" s="36"/>
    </row>
    <row r="17" spans="1:15" s="47" customFormat="1" ht="12.75" customHeight="1" x14ac:dyDescent="0.25">
      <c r="A17" s="36" t="s">
        <v>140</v>
      </c>
      <c r="B17" s="36" t="s">
        <v>19</v>
      </c>
      <c r="C17" s="36" t="s">
        <v>20</v>
      </c>
      <c r="D17" s="37">
        <v>1.2E-2</v>
      </c>
      <c r="E17" s="38">
        <f>'Nov 24'!$D17*$C$6*$C$2</f>
        <v>2633820.1020180001</v>
      </c>
      <c r="F17" s="38">
        <v>476.58006872852201</v>
      </c>
      <c r="G17" s="39">
        <f>'Nov 24'!$E17/'Nov 24'!$F17</f>
        <v>5526.5007389940247</v>
      </c>
      <c r="H17" s="36">
        <v>5820</v>
      </c>
      <c r="I17" s="36">
        <f>ROUND(Table138958456799101112131445626789101112131415161718192021345678910111213141516171819202122233456789101112131415161718[[#This Row],[Target Quantity]],0)</f>
        <v>5527</v>
      </c>
      <c r="J17" s="40">
        <f t="shared" si="0"/>
        <v>-293</v>
      </c>
      <c r="K17" s="41">
        <f>'Nov 24'!$F17*'Nov 24'!$I17</f>
        <v>2634058.039862541</v>
      </c>
      <c r="L17" s="42">
        <f>'Nov 24'!$K17/$K$2</f>
        <v>1.2533428805149554E-2</v>
      </c>
      <c r="M17" s="36"/>
    </row>
    <row r="18" spans="1:15" s="47" customFormat="1" ht="12.75" customHeight="1" x14ac:dyDescent="0.25">
      <c r="A18" s="36" t="s">
        <v>140</v>
      </c>
      <c r="B18" s="36" t="s">
        <v>33</v>
      </c>
      <c r="C18" s="36" t="s">
        <v>34</v>
      </c>
      <c r="D18" s="37">
        <v>6.0000000000000001E-3</v>
      </c>
      <c r="E18" s="38">
        <f>'Nov 24'!$D18*$C$6*$C$2</f>
        <v>1316910.051009</v>
      </c>
      <c r="F18" s="38">
        <v>27</v>
      </c>
      <c r="G18" s="39">
        <f>'Nov 24'!$E18/'Nov 24'!$F18</f>
        <v>48774.446333666667</v>
      </c>
      <c r="H18" s="36">
        <v>53302</v>
      </c>
      <c r="I18" s="36">
        <f>ROUND(Table138958456799101112131445626789101112131415161718192021345678910111213141516171819202122233456789101112131415161718[[#This Row],[Target Quantity]],0)</f>
        <v>48774</v>
      </c>
      <c r="J18" s="40">
        <f t="shared" si="0"/>
        <v>-4528</v>
      </c>
      <c r="K18" s="41">
        <f>'Nov 24'!$F18*'Nov 24'!$I18</f>
        <v>1316898</v>
      </c>
      <c r="L18" s="42">
        <f>'Nov 24'!$K18/$K$2</f>
        <v>6.2660909808597721E-3</v>
      </c>
      <c r="M18" s="36"/>
    </row>
    <row r="19" spans="1:15" s="47" customFormat="1" ht="12.75" customHeight="1" x14ac:dyDescent="0.25">
      <c r="A19" s="36" t="s">
        <v>140</v>
      </c>
      <c r="B19" s="36" t="s">
        <v>21</v>
      </c>
      <c r="C19" s="36" t="s">
        <v>22</v>
      </c>
      <c r="D19" s="37">
        <v>1.2E-2</v>
      </c>
      <c r="E19" s="38">
        <f>'Nov 24'!$D19*$C$6*$C$2</f>
        <v>2633820.1020180001</v>
      </c>
      <c r="F19" s="38">
        <v>38.7700011976765</v>
      </c>
      <c r="G19" s="39">
        <f>'Nov 24'!$E19/'Nov 24'!$F19</f>
        <v>67934.48595961988</v>
      </c>
      <c r="H19" s="36">
        <v>66796</v>
      </c>
      <c r="I19" s="36">
        <f>ROUND(Table138958456799101112131445626789101112131415161718192021345678910111213141516171819202122233456789101112131415161718[[#This Row],[Target Quantity]],0)</f>
        <v>67934</v>
      </c>
      <c r="J19" s="40">
        <f t="shared" si="0"/>
        <v>1138</v>
      </c>
      <c r="K19" s="41">
        <f>'Nov 24'!$F19*'Nov 24'!$I19</f>
        <v>2633801.2613629554</v>
      </c>
      <c r="L19" s="42">
        <f>'Nov 24'!$K19/$K$2</f>
        <v>1.2532206996444301E-2</v>
      </c>
      <c r="M19" s="36"/>
    </row>
    <row r="20" spans="1:15" s="47" customFormat="1" ht="12.75" customHeight="1" x14ac:dyDescent="0.25">
      <c r="A20" s="36" t="s">
        <v>140</v>
      </c>
      <c r="B20" s="36" t="s">
        <v>45</v>
      </c>
      <c r="C20" s="36" t="s">
        <v>46</v>
      </c>
      <c r="D20" s="37">
        <v>6.0000000000000001E-3</v>
      </c>
      <c r="E20" s="38">
        <f>'Nov 24'!$D20*$C$6*$C$2</f>
        <v>1316910.051009</v>
      </c>
      <c r="F20" s="38">
        <v>68.910012674271201</v>
      </c>
      <c r="G20" s="39">
        <f>'Nov 24'!$E20/'Nov 24'!$F20</f>
        <v>19110.576241421768</v>
      </c>
      <c r="H20" s="36">
        <v>19725</v>
      </c>
      <c r="I20" s="36">
        <f>ROUND(Table138958456799101112131445626789101112131415161718192021345678910111213141516171819202122233456789101112131415161718[[#This Row],[Target Quantity]],0)</f>
        <v>19111</v>
      </c>
      <c r="J20" s="40">
        <f t="shared" si="0"/>
        <v>-614</v>
      </c>
      <c r="K20" s="41">
        <f>'Nov 24'!$F20*'Nov 24'!$I20</f>
        <v>1316939.2522179969</v>
      </c>
      <c r="L20" s="42">
        <f>'Nov 24'!$K20/$K$2</f>
        <v>6.2662872680066357E-3</v>
      </c>
      <c r="M20" s="36"/>
    </row>
    <row r="21" spans="1:15" s="47" customFormat="1" ht="12.75" customHeight="1" x14ac:dyDescent="0.25">
      <c r="A21" s="36" t="s">
        <v>140</v>
      </c>
      <c r="B21" s="36" t="s">
        <v>23</v>
      </c>
      <c r="C21" s="36" t="s">
        <v>24</v>
      </c>
      <c r="D21" s="37">
        <v>1.2E-2</v>
      </c>
      <c r="E21" s="38">
        <f>'Nov 24'!$D21*$C$6*$C$2</f>
        <v>2633820.1020180001</v>
      </c>
      <c r="F21" s="38">
        <v>262</v>
      </c>
      <c r="G21" s="39">
        <f>'Nov 24'!$E21/'Nov 24'!$F21</f>
        <v>10052.748480984734</v>
      </c>
      <c r="H21" s="36">
        <v>10204</v>
      </c>
      <c r="I21" s="36">
        <f>ROUND(Table138958456799101112131445626789101112131415161718192021345678910111213141516171819202122233456789101112131415161718[[#This Row],[Target Quantity]],0)</f>
        <v>10053</v>
      </c>
      <c r="J21" s="40">
        <f t="shared" si="0"/>
        <v>-151</v>
      </c>
      <c r="K21" s="41">
        <f>'Nov 24'!$F21*'Nov 24'!$I21</f>
        <v>2633886</v>
      </c>
      <c r="L21" s="42">
        <f>'Nov 24'!$K21/$K$2</f>
        <v>1.2532610201559135E-2</v>
      </c>
      <c r="M21" s="36"/>
    </row>
    <row r="22" spans="1:15" s="47" customFormat="1" ht="12.75" customHeight="1" x14ac:dyDescent="0.25">
      <c r="A22" s="36" t="s">
        <v>140</v>
      </c>
      <c r="B22" s="36" t="s">
        <v>47</v>
      </c>
      <c r="C22" s="36" t="s">
        <v>48</v>
      </c>
      <c r="D22" s="37">
        <v>6.0000000000000001E-3</v>
      </c>
      <c r="E22" s="38">
        <f>'Nov 24'!$D22*$C$6*$C$2</f>
        <v>1316910.051009</v>
      </c>
      <c r="F22" s="38">
        <v>348.81006493506499</v>
      </c>
      <c r="G22" s="39">
        <f>'Nov 24'!$E22/'Nov 24'!$F22</f>
        <v>3775.4359274413655</v>
      </c>
      <c r="H22" s="36">
        <v>3696</v>
      </c>
      <c r="I22" s="36">
        <f>ROUND(Table138958456799101112131445626789101112131415161718192021345678910111213141516171819202122233456789101112131415161718[[#This Row],[Target Quantity]],0)</f>
        <v>3775</v>
      </c>
      <c r="J22" s="40">
        <f t="shared" si="0"/>
        <v>79</v>
      </c>
      <c r="K22" s="41">
        <f>'Nov 24'!$F22*'Nov 24'!$I22</f>
        <v>1316757.9951298703</v>
      </c>
      <c r="L22" s="42">
        <f>'Nov 24'!$K22/$K$2</f>
        <v>6.2654248068250359E-3</v>
      </c>
      <c r="M22" s="36"/>
    </row>
    <row r="23" spans="1:15" s="47" customFormat="1" ht="12.75" customHeight="1" x14ac:dyDescent="0.25">
      <c r="A23" s="36" t="s">
        <v>140</v>
      </c>
      <c r="B23" s="36" t="s">
        <v>15</v>
      </c>
      <c r="C23" s="36" t="s">
        <v>16</v>
      </c>
      <c r="D23" s="37">
        <v>6.0000000000000001E-3</v>
      </c>
      <c r="E23" s="38">
        <f>'Nov 24'!$D23*$C$6*$C$2</f>
        <v>1316910.051009</v>
      </c>
      <c r="F23" s="38">
        <v>135.54995630643799</v>
      </c>
      <c r="G23" s="39">
        <f>'Nov 24'!$E23/'Nov 24'!$F23</f>
        <v>9715.3115123981261</v>
      </c>
      <c r="H23" s="36">
        <v>10299</v>
      </c>
      <c r="I23" s="36">
        <f>ROUND(Table138958456799101112131445626789101112131415161718192021345678910111213141516171819202122233456789101112131415161718[[#This Row],[Target Quantity]],0)</f>
        <v>9715</v>
      </c>
      <c r="J23" s="40">
        <f t="shared" si="0"/>
        <v>-584</v>
      </c>
      <c r="K23" s="41">
        <f>'Nov 24'!$F23*'Nov 24'!$I23</f>
        <v>1316867.8255170451</v>
      </c>
      <c r="L23" s="42">
        <f>'Nov 24'!$K23/$K$2</f>
        <v>6.265947404018213E-3</v>
      </c>
      <c r="M23" s="36"/>
    </row>
    <row r="24" spans="1:15" s="47" customFormat="1" ht="12.75" customHeight="1" x14ac:dyDescent="0.25">
      <c r="A24" s="36" t="s">
        <v>140</v>
      </c>
      <c r="B24" s="36" t="s">
        <v>43</v>
      </c>
      <c r="C24" s="36" t="s">
        <v>44</v>
      </c>
      <c r="D24" s="37">
        <v>1.2E-2</v>
      </c>
      <c r="E24" s="38">
        <f>'Nov 24'!$D24*$C$6*$C$2</f>
        <v>2633820.1020180001</v>
      </c>
      <c r="F24" s="38">
        <v>271.90999291282799</v>
      </c>
      <c r="G24" s="39">
        <f>'Nov 24'!$E24/'Nov 24'!$F24</f>
        <v>9686.3674402079814</v>
      </c>
      <c r="H24" s="36">
        <v>9877</v>
      </c>
      <c r="I24" s="36">
        <f>ROUND(Table138958456799101112131445626789101112131415161718192021345678910111213141516171819202122233456789101112131415161718[[#This Row],[Target Quantity]],0)</f>
        <v>9686</v>
      </c>
      <c r="J24" s="40">
        <f t="shared" si="0"/>
        <v>-191</v>
      </c>
      <c r="K24" s="41">
        <f>'Nov 24'!$F24*'Nov 24'!$I24</f>
        <v>2633720.1913536517</v>
      </c>
      <c r="L24" s="42">
        <f>'Nov 24'!$K24/$K$2</f>
        <v>1.2531821247468969E-2</v>
      </c>
      <c r="M24" s="36"/>
    </row>
    <row r="25" spans="1:15" s="47" customFormat="1" ht="12.75" customHeight="1" x14ac:dyDescent="0.25">
      <c r="A25" s="36" t="s">
        <v>140</v>
      </c>
      <c r="B25" s="36" t="s">
        <v>25</v>
      </c>
      <c r="C25" s="36" t="s">
        <v>26</v>
      </c>
      <c r="D25" s="37">
        <v>6.0000000000000001E-3</v>
      </c>
      <c r="E25" s="38">
        <f>'Nov 24'!$D25*$C$6*$C$2</f>
        <v>1316910.051009</v>
      </c>
      <c r="F25" s="38">
        <v>79.199988493182204</v>
      </c>
      <c r="G25" s="39">
        <f>'Nov 24'!$E25/'Nov 24'!$F25</f>
        <v>16627.654575004944</v>
      </c>
      <c r="H25" s="36">
        <v>17381</v>
      </c>
      <c r="I25" s="36">
        <f>ROUND(Table138958456799101112131445626789101112131415161718192021345678910111213141516171819202122233456789101112131415161718[[#This Row],[Target Quantity]],0)</f>
        <v>16628</v>
      </c>
      <c r="J25" s="40">
        <f t="shared" si="0"/>
        <v>-753</v>
      </c>
      <c r="K25" s="41">
        <f>'Nov 24'!$F25*'Nov 24'!$I25</f>
        <v>1316937.4086646338</v>
      </c>
      <c r="L25" s="42">
        <f>'Nov 24'!$K25/$K$2</f>
        <v>6.2662784959733415E-3</v>
      </c>
      <c r="M25" s="36"/>
    </row>
    <row r="26" spans="1:15" s="47" customFormat="1" ht="12.75" customHeight="1" x14ac:dyDescent="0.25">
      <c r="A26" s="36" t="s">
        <v>140</v>
      </c>
      <c r="B26" s="47" t="s">
        <v>11</v>
      </c>
      <c r="C26" s="36" t="s">
        <v>12</v>
      </c>
      <c r="D26" s="37">
        <v>1.2E-2</v>
      </c>
      <c r="E26" s="38">
        <f>'Nov 24'!$D26*$C$6*$C$2</f>
        <v>2633820.1020180001</v>
      </c>
      <c r="F26" s="38">
        <v>2.4510439766961101</v>
      </c>
      <c r="G26" s="39">
        <f>'Nov 24'!$E26/'Nov 24'!$F26</f>
        <v>1074570.7245809042</v>
      </c>
      <c r="H26" s="36">
        <v>1064200</v>
      </c>
      <c r="I26" s="36">
        <f>ROUND(Table138958456799101112131445626789101112131415161718192021345678910111213141516171819202122233456789101112131415161718[[#This Row],[Target Quantity]],-2)</f>
        <v>1074600</v>
      </c>
      <c r="J26" s="40">
        <f t="shared" si="0"/>
        <v>10400</v>
      </c>
      <c r="K26" s="41">
        <f>'Nov 24'!$F26*'Nov 24'!$I26</f>
        <v>2633891.8573576398</v>
      </c>
      <c r="L26" s="42">
        <f>'Nov 24'!$K26/$K$2</f>
        <v>1.253263807215798E-2</v>
      </c>
      <c r="M26" s="36"/>
    </row>
    <row r="27" spans="1:15" s="47" customFormat="1" ht="12.75" customHeight="1" x14ac:dyDescent="0.25">
      <c r="A27" s="36"/>
      <c r="B27" s="36"/>
      <c r="C27" s="36"/>
      <c r="D27" s="37"/>
      <c r="E27" s="38"/>
      <c r="F27" s="38"/>
      <c r="G27" s="39"/>
      <c r="H27" s="36"/>
      <c r="I27" s="36"/>
      <c r="J27" s="48"/>
      <c r="K27" s="38"/>
      <c r="L27" s="49"/>
      <c r="M27" s="36"/>
    </row>
    <row r="28" spans="1:15" s="56" customFormat="1" ht="12.75" customHeight="1" x14ac:dyDescent="0.25">
      <c r="A28" s="50" t="s">
        <v>149</v>
      </c>
      <c r="B28" s="50"/>
      <c r="C28" s="50"/>
      <c r="D28" s="51">
        <f>SUM(D9:D27)</f>
        <v>0.18000000000000005</v>
      </c>
      <c r="E28" s="52">
        <f>'Nov 24'!$D28*$C$6*$C$2</f>
        <v>39507301.53027001</v>
      </c>
      <c r="F28" s="53"/>
      <c r="G28" s="53"/>
      <c r="H28" s="50"/>
      <c r="I28" s="50"/>
      <c r="J28" s="54"/>
      <c r="K28" s="52">
        <f>SUM(K9:K27)</f>
        <v>39507047.126346216</v>
      </c>
      <c r="L28" s="55">
        <f>'Nov 24'!$K28/$K$2</f>
        <v>0.18798323915656337</v>
      </c>
      <c r="M28" s="50"/>
    </row>
    <row r="29" spans="1:15" s="47" customFormat="1" ht="12.75" customHeight="1" x14ac:dyDescent="0.25">
      <c r="A29" s="36"/>
      <c r="B29" s="36"/>
      <c r="C29" s="36"/>
      <c r="D29" s="37"/>
      <c r="E29" s="38"/>
      <c r="F29" s="38"/>
      <c r="G29" s="39"/>
      <c r="H29" s="36"/>
      <c r="I29" s="36"/>
      <c r="J29" s="48"/>
      <c r="K29" s="38"/>
      <c r="L29" s="42"/>
      <c r="M29" s="36"/>
    </row>
    <row r="30" spans="1:15" s="46" customFormat="1" ht="12.75" customHeight="1" x14ac:dyDescent="0.25">
      <c r="A30" s="57"/>
      <c r="B30" s="50" t="s">
        <v>35</v>
      </c>
      <c r="C30" s="57" t="s">
        <v>36</v>
      </c>
      <c r="D30" s="58">
        <v>0.02</v>
      </c>
      <c r="E30" s="59">
        <f>'Nov 24'!$D30*$C$6*$C$2</f>
        <v>4389700.1700300006</v>
      </c>
      <c r="F30" s="53">
        <v>17.410000446014099</v>
      </c>
      <c r="G30" s="60">
        <f>'Nov 24'!$E30/'Nov 24'!$F30</f>
        <v>252136.70635114732</v>
      </c>
      <c r="H30" s="57">
        <v>246629</v>
      </c>
      <c r="I30" s="57">
        <f>ROUND(Table138958456799101112131445626789101112131415161718192021345678910111213141516171819202122233456789101112131415161718[[#This Row],[Target Quantity]],0)</f>
        <v>252137</v>
      </c>
      <c r="J30" s="61">
        <f>I30-H30</f>
        <v>5508</v>
      </c>
      <c r="K30" s="62">
        <f>'Nov 24'!$F30*'Nov 24'!$I30</f>
        <v>4389705.2824566569</v>
      </c>
      <c r="L30" s="55">
        <f>'Nov 24'!$K30/$K$2</f>
        <v>2.0887185400110073E-2</v>
      </c>
      <c r="M30" s="50"/>
      <c r="O30" s="44"/>
    </row>
    <row r="31" spans="1:15" s="46" customFormat="1" ht="12.75" customHeight="1" x14ac:dyDescent="0.25">
      <c r="A31" s="36"/>
      <c r="B31" s="36"/>
      <c r="C31" s="36"/>
      <c r="D31" s="37"/>
      <c r="E31" s="38"/>
      <c r="F31" s="38"/>
      <c r="G31" s="39"/>
      <c r="H31" s="36"/>
      <c r="I31" s="36"/>
      <c r="J31" s="48"/>
      <c r="K31" s="41"/>
      <c r="L31" s="42"/>
      <c r="M31" s="36"/>
      <c r="O31" s="44"/>
    </row>
    <row r="32" spans="1:15" s="4" customFormat="1" ht="25.5" x14ac:dyDescent="0.2">
      <c r="A32" s="36" t="s">
        <v>150</v>
      </c>
      <c r="B32" s="63" t="s">
        <v>98</v>
      </c>
      <c r="C32" s="64" t="s">
        <v>99</v>
      </c>
      <c r="D32" s="37">
        <v>2.9000000000000001E-2</v>
      </c>
      <c r="E32" s="38">
        <f>'Nov 24'!$D32*$C$6*$C$2</f>
        <v>6365065.2465435006</v>
      </c>
      <c r="F32" s="38">
        <v>157437.82500000001</v>
      </c>
      <c r="G32" s="39">
        <f>'Nov 24'!$E32/'Nov 24'!$F32</f>
        <v>40.429072534148006</v>
      </c>
      <c r="H32" s="36">
        <v>40</v>
      </c>
      <c r="I32" s="36">
        <f>ROUND(Table138958456799101112131445626789101112131415161718192021345678910111213141516171819202122233456789101112131415161718[[#This Row],[Target Quantity]],0)</f>
        <v>40</v>
      </c>
      <c r="J32" s="40">
        <f t="shared" ref="J32:J41" si="1">I32-H32</f>
        <v>0</v>
      </c>
      <c r="K32" s="41">
        <f>'Nov 24'!$F32*'Nov 24'!$I32</f>
        <v>6297513</v>
      </c>
      <c r="L32" s="42">
        <f>'Nov 24'!$K32/$K$2</f>
        <v>2.9964955077118476E-2</v>
      </c>
      <c r="M32" s="65"/>
    </row>
    <row r="33" spans="1:15" s="4" customFormat="1" ht="25.5" x14ac:dyDescent="0.2">
      <c r="A33" s="36" t="s">
        <v>150</v>
      </c>
      <c r="B33" s="63" t="s">
        <v>102</v>
      </c>
      <c r="C33" s="64" t="s">
        <v>103</v>
      </c>
      <c r="D33" s="37">
        <v>2.9000000000000001E-2</v>
      </c>
      <c r="E33" s="38">
        <f>'Nov 24'!$D33*$C$6*$C$2</f>
        <v>6365065.2465435006</v>
      </c>
      <c r="F33" s="38">
        <v>218158.137931034</v>
      </c>
      <c r="G33" s="39">
        <f>'Nov 24'!$E33/'Nov 24'!$F33</f>
        <v>29.176382356892315</v>
      </c>
      <c r="H33" s="36">
        <v>29</v>
      </c>
      <c r="I33" s="36">
        <f>ROUND(Table138958456799101112131445626789101112131415161718192021345678910111213141516171819202122233456789101112131415161718[[#This Row],[Target Quantity]],0)</f>
        <v>29</v>
      </c>
      <c r="J33" s="40">
        <f t="shared" si="1"/>
        <v>0</v>
      </c>
      <c r="K33" s="41">
        <f>'Nov 24'!$F33*'Nov 24'!$I33</f>
        <v>6326585.999999986</v>
      </c>
      <c r="L33" s="42">
        <f>'Nov 24'!$K33/$K$2</f>
        <v>3.010329081996754E-2</v>
      </c>
      <c r="M33" s="65"/>
    </row>
    <row r="34" spans="1:15" s="4" customFormat="1" ht="25.5" x14ac:dyDescent="0.2">
      <c r="A34" s="36" t="s">
        <v>150</v>
      </c>
      <c r="B34" s="63" t="s">
        <v>104</v>
      </c>
      <c r="C34" s="64" t="s">
        <v>105</v>
      </c>
      <c r="D34" s="37">
        <v>2.9000000000000001E-2</v>
      </c>
      <c r="E34" s="38">
        <f>'Nov 24'!$D34*$C$6*$C$2</f>
        <v>6365065.2465435006</v>
      </c>
      <c r="F34" s="38">
        <v>173416.40540540501</v>
      </c>
      <c r="G34" s="39">
        <f>'Nov 24'!$E34/'Nov 24'!$F34</f>
        <v>36.703939466762328</v>
      </c>
      <c r="H34" s="36">
        <v>37</v>
      </c>
      <c r="I34" s="36">
        <f>ROUND(Table138958456799101112131445626789101112131415161718192021345678910111213141516171819202122233456789101112131415161718[[#This Row],[Target Quantity]],0)</f>
        <v>37</v>
      </c>
      <c r="J34" s="40">
        <f t="shared" si="1"/>
        <v>0</v>
      </c>
      <c r="K34" s="41">
        <f>'Nov 24'!$F34*'Nov 24'!$I34</f>
        <v>6416406.9999999851</v>
      </c>
      <c r="L34" s="42">
        <f>'Nov 24'!$K34/$K$2</f>
        <v>3.0530678938099545E-2</v>
      </c>
      <c r="M34" s="65"/>
    </row>
    <row r="35" spans="1:15" s="4" customFormat="1" ht="25.5" x14ac:dyDescent="0.2">
      <c r="A35" s="36" t="s">
        <v>150</v>
      </c>
      <c r="B35" s="63" t="s">
        <v>106</v>
      </c>
      <c r="C35" s="64" t="s">
        <v>107</v>
      </c>
      <c r="D35" s="37">
        <v>2.9000000000000001E-2</v>
      </c>
      <c r="E35" s="38">
        <f>'Nov 24'!$D35*$C$6*$C$2</f>
        <v>6365065.2465435006</v>
      </c>
      <c r="F35" s="38">
        <v>125577.80392156899</v>
      </c>
      <c r="G35" s="39">
        <f>'Nov 24'!$E35/'Nov 24'!$F35</f>
        <v>50.686228360219395</v>
      </c>
      <c r="H35" s="36">
        <v>51</v>
      </c>
      <c r="I35" s="36">
        <f>ROUND(Table138958456799101112131445626789101112131415161718192021345678910111213141516171819202122233456789101112131415161718[[#This Row],[Target Quantity]],0)</f>
        <v>51</v>
      </c>
      <c r="J35" s="40">
        <f t="shared" si="1"/>
        <v>0</v>
      </c>
      <c r="K35" s="41">
        <f>'Nov 24'!$F35*'Nov 24'!$I35</f>
        <v>6404468.0000000186</v>
      </c>
      <c r="L35" s="42">
        <f>'Nov 24'!$K35/$K$2</f>
        <v>3.047387054426777E-2</v>
      </c>
      <c r="M35" s="65"/>
    </row>
    <row r="36" spans="1:15" s="4" customFormat="1" ht="25.5" x14ac:dyDescent="0.2">
      <c r="A36" s="36" t="s">
        <v>150</v>
      </c>
      <c r="B36" s="63" t="s">
        <v>108</v>
      </c>
      <c r="C36" s="64" t="s">
        <v>109</v>
      </c>
      <c r="D36" s="37">
        <v>2.9000000000000001E-2</v>
      </c>
      <c r="E36" s="38">
        <f>'Nov 24'!$D36*$C$6*$C$2</f>
        <v>6365065.2465435006</v>
      </c>
      <c r="F36" s="38">
        <v>138332.58695652199</v>
      </c>
      <c r="G36" s="39">
        <f>'Nov 24'!$E36/'Nov 24'!$F36</f>
        <v>46.012768116192639</v>
      </c>
      <c r="H36" s="36">
        <v>46</v>
      </c>
      <c r="I36" s="36">
        <f>ROUND(Table138958456799101112131445626789101112131415161718192021345678910111213141516171819202122233456789101112131415161718[[#This Row],[Target Quantity]],0)</f>
        <v>46</v>
      </c>
      <c r="J36" s="40">
        <f t="shared" si="1"/>
        <v>0</v>
      </c>
      <c r="K36" s="41">
        <f>'Nov 24'!$F36*'Nov 24'!$I36</f>
        <v>6363299.0000000112</v>
      </c>
      <c r="L36" s="42">
        <f>'Nov 24'!$K36/$K$2</f>
        <v>3.0277979366977608E-2</v>
      </c>
      <c r="M36" s="65"/>
    </row>
    <row r="37" spans="1:15" s="4" customFormat="1" ht="25.5" x14ac:dyDescent="0.2">
      <c r="A37" s="36" t="s">
        <v>150</v>
      </c>
      <c r="B37" s="63" t="s">
        <v>114</v>
      </c>
      <c r="C37" s="64" t="s">
        <v>115</v>
      </c>
      <c r="D37" s="37">
        <v>2.9000000000000001E-2</v>
      </c>
      <c r="E37" s="38">
        <f>'Nov 24'!$D37*$C$6*$C$2</f>
        <v>6365065.2465435006</v>
      </c>
      <c r="F37" s="38">
        <v>220789.06896551701</v>
      </c>
      <c r="G37" s="39">
        <f>'Nov 24'!$E37/'Nov 24'!$F37</f>
        <v>28.828715462981553</v>
      </c>
      <c r="H37" s="36">
        <v>29</v>
      </c>
      <c r="I37" s="36">
        <f>ROUND(Table138958456799101112131445626789101112131415161718192021345678910111213141516171819202122233456789101112131415161718[[#This Row],[Target Quantity]],0)</f>
        <v>29</v>
      </c>
      <c r="J37" s="40">
        <f t="shared" si="1"/>
        <v>0</v>
      </c>
      <c r="K37" s="41">
        <f>'Nov 24'!$F37*'Nov 24'!$I37</f>
        <v>6402882.9999999935</v>
      </c>
      <c r="L37" s="42">
        <f>'Nov 24'!$K37/$K$2</f>
        <v>3.0466328764870414E-2</v>
      </c>
      <c r="M37" s="65"/>
    </row>
    <row r="38" spans="1:15" s="46" customFormat="1" ht="25.5" customHeight="1" x14ac:dyDescent="0.2">
      <c r="A38" s="36" t="s">
        <v>151</v>
      </c>
      <c r="B38" s="36" t="s">
        <v>62</v>
      </c>
      <c r="C38" s="36" t="s">
        <v>63</v>
      </c>
      <c r="D38" s="37">
        <v>2.9000000000000001E-2</v>
      </c>
      <c r="E38" s="38">
        <f>'Nov 24'!$D38*$C$6*$C$2</f>
        <v>6365065.2465435006</v>
      </c>
      <c r="F38" s="38">
        <v>114048.482142857</v>
      </c>
      <c r="G38" s="39">
        <f>'Nov 24'!$E38/'Nov 24'!$F38</f>
        <v>55.810170612973408</v>
      </c>
      <c r="H38" s="36">
        <v>56</v>
      </c>
      <c r="I38" s="36">
        <f>ROUND(Table138958456799101112131445626789101112131415161718192021345678910111213141516171819202122233456789101112131415161718[[#This Row],[Target Quantity]],0)</f>
        <v>56</v>
      </c>
      <c r="J38" s="40">
        <f t="shared" si="1"/>
        <v>0</v>
      </c>
      <c r="K38" s="41">
        <f>'Nov 24'!$F38*'Nov 24'!$I38</f>
        <v>6386714.9999999916</v>
      </c>
      <c r="L38" s="42">
        <f>'Nov 24'!$K38/$K$2</f>
        <v>3.0389397856798148E-2</v>
      </c>
      <c r="M38" s="43"/>
      <c r="O38" s="4"/>
    </row>
    <row r="39" spans="1:15" s="46" customFormat="1" ht="25.5" x14ac:dyDescent="0.2">
      <c r="A39" s="36" t="s">
        <v>151</v>
      </c>
      <c r="B39" s="36" t="s">
        <v>60</v>
      </c>
      <c r="C39" s="36" t="s">
        <v>61</v>
      </c>
      <c r="D39" s="37">
        <v>2.9000000000000001E-2</v>
      </c>
      <c r="E39" s="38">
        <f>'Nov 24'!$D39*$C$6*$C$2</f>
        <v>6365065.2465435006</v>
      </c>
      <c r="F39" s="38">
        <v>135475.489361702</v>
      </c>
      <c r="G39" s="39">
        <f>'Nov 24'!$E39/'Nov 24'!$F39</f>
        <v>46.983150063031708</v>
      </c>
      <c r="H39" s="36">
        <v>47</v>
      </c>
      <c r="I39" s="36">
        <f>ROUND(Table138958456799101112131445626789101112131415161718192021345678910111213141516171819202122233456789101112131415161718[[#This Row],[Target Quantity]],0)</f>
        <v>47</v>
      </c>
      <c r="J39" s="40">
        <f t="shared" si="1"/>
        <v>0</v>
      </c>
      <c r="K39" s="41">
        <f>'Nov 24'!$F39*'Nov 24'!$I39</f>
        <v>6367347.9999999944</v>
      </c>
      <c r="L39" s="42">
        <f>'Nov 24'!$K39/$K$2</f>
        <v>3.0297245401538671E-2</v>
      </c>
      <c r="M39" s="43"/>
      <c r="O39" s="4"/>
    </row>
    <row r="40" spans="1:15" s="46" customFormat="1" ht="25.5" x14ac:dyDescent="0.2">
      <c r="A40" s="36" t="s">
        <v>151</v>
      </c>
      <c r="B40" s="36" t="s">
        <v>56</v>
      </c>
      <c r="C40" s="36" t="s">
        <v>57</v>
      </c>
      <c r="D40" s="37">
        <v>2.9000000000000001E-2</v>
      </c>
      <c r="E40" s="38">
        <f>'Nov 24'!$D40*$C$6*$C$2</f>
        <v>6365065.2465435006</v>
      </c>
      <c r="F40" s="38">
        <v>179740.52777777801</v>
      </c>
      <c r="G40" s="39">
        <f>'Nov 24'!$E40/'Nov 24'!$F40</f>
        <v>35.41252117837854</v>
      </c>
      <c r="H40" s="36">
        <v>36</v>
      </c>
      <c r="I40" s="36">
        <v>36</v>
      </c>
      <c r="J40" s="40">
        <f t="shared" si="1"/>
        <v>0</v>
      </c>
      <c r="K40" s="41">
        <f>'Nov 24'!$F40*'Nov 24'!$I40</f>
        <v>6470659.0000000084</v>
      </c>
      <c r="L40" s="42">
        <f>'Nov 24'!$K40/$K$2</f>
        <v>3.078882191340496E-2</v>
      </c>
      <c r="M40" s="43"/>
      <c r="O40" s="4"/>
    </row>
    <row r="41" spans="1:15" s="46" customFormat="1" ht="25.5" x14ac:dyDescent="0.2">
      <c r="A41" s="36" t="s">
        <v>151</v>
      </c>
      <c r="B41" s="36" t="s">
        <v>66</v>
      </c>
      <c r="C41" s="36" t="s">
        <v>67</v>
      </c>
      <c r="D41" s="37">
        <v>2.9000000000000001E-2</v>
      </c>
      <c r="E41" s="38">
        <f>'Nov 24'!$D41*$C$6*$C$2</f>
        <v>6365065.2465435006</v>
      </c>
      <c r="F41" s="38">
        <v>268820.625</v>
      </c>
      <c r="G41" s="39">
        <f>'Nov 24'!$E41/'Nov 24'!$F41</f>
        <v>23.677741417882281</v>
      </c>
      <c r="H41" s="36">
        <v>24</v>
      </c>
      <c r="I41" s="36">
        <f>ROUND(Table138958456799101112131445626789101112131415161718192021345678910111213141516171819202122233456789101112131415161718[[#This Row],[Target Quantity]],0)</f>
        <v>24</v>
      </c>
      <c r="J41" s="40">
        <f t="shared" si="1"/>
        <v>0</v>
      </c>
      <c r="K41" s="41">
        <f>'Nov 24'!$F41*'Nov 24'!$I41</f>
        <v>6451695</v>
      </c>
      <c r="L41" s="42">
        <f>'Nov 24'!$K41/$K$2</f>
        <v>3.0698587020982708E-2</v>
      </c>
      <c r="M41" s="43"/>
      <c r="O41" s="4"/>
    </row>
    <row r="42" spans="1:15" s="67" customFormat="1" ht="12.75" x14ac:dyDescent="0.2">
      <c r="A42" s="36"/>
      <c r="B42" s="64"/>
      <c r="C42" s="64"/>
      <c r="D42" s="37"/>
      <c r="E42" s="66"/>
      <c r="F42" s="38"/>
      <c r="G42" s="39"/>
      <c r="H42" s="36"/>
      <c r="I42" s="36"/>
      <c r="J42" s="48"/>
      <c r="K42" s="38"/>
      <c r="L42" s="49"/>
      <c r="M42" s="65"/>
    </row>
    <row r="43" spans="1:15" s="17" customFormat="1" ht="12.75" x14ac:dyDescent="0.2">
      <c r="A43" s="50" t="s">
        <v>153</v>
      </c>
      <c r="B43" s="68"/>
      <c r="C43" s="68"/>
      <c r="D43" s="58">
        <f>SUBTOTAL(9,D32:D42)</f>
        <v>0.29000000000000004</v>
      </c>
      <c r="E43" s="69">
        <f>'Nov 24'!$D43*$C$6*$C$2</f>
        <v>63650652.465435013</v>
      </c>
      <c r="F43" s="70"/>
      <c r="G43" s="71"/>
      <c r="H43" s="57"/>
      <c r="I43" s="57"/>
      <c r="J43" s="61"/>
      <c r="K43" s="69">
        <f>SUM(K32:K42)</f>
        <v>63887572.999999985</v>
      </c>
      <c r="L43" s="72">
        <f>'Nov 24'!$K43/$K$2</f>
        <v>0.3039911557040258</v>
      </c>
      <c r="M43" s="73"/>
    </row>
    <row r="44" spans="1:15" s="67" customFormat="1" ht="12.75" x14ac:dyDescent="0.2">
      <c r="A44" s="36"/>
      <c r="B44" s="64"/>
      <c r="C44" s="64"/>
      <c r="D44" s="37"/>
      <c r="E44" s="66"/>
      <c r="F44" s="38"/>
      <c r="G44" s="39"/>
      <c r="H44" s="36"/>
      <c r="I44" s="36"/>
      <c r="J44" s="48"/>
      <c r="K44" s="38"/>
      <c r="L44" s="42"/>
      <c r="M44" s="65"/>
    </row>
    <row r="45" spans="1:15" s="4" customFormat="1" ht="24.75" customHeight="1" x14ac:dyDescent="0.2">
      <c r="A45" s="36" t="s">
        <v>150</v>
      </c>
      <c r="B45" s="64" t="s">
        <v>110</v>
      </c>
      <c r="C45" s="64" t="s">
        <v>111</v>
      </c>
      <c r="D45" s="37">
        <v>0.1</v>
      </c>
      <c r="E45" s="38">
        <f>'Nov 24'!$D45*$C$6*$C$2</f>
        <v>21948500.85015</v>
      </c>
      <c r="F45" s="38">
        <v>416335.375</v>
      </c>
      <c r="G45" s="39">
        <f>'Nov 24'!$E45/'Nov 24'!$F45</f>
        <v>52.7183183753002</v>
      </c>
      <c r="H45" s="36">
        <v>48</v>
      </c>
      <c r="I45" s="36">
        <v>48</v>
      </c>
      <c r="J45" s="40">
        <f>I45-H45</f>
        <v>0</v>
      </c>
      <c r="K45" s="41">
        <f>'Nov 24'!$F45*'Nov 24'!$I45</f>
        <v>19984098</v>
      </c>
      <c r="L45" s="42">
        <f>'Nov 24'!$K45/$K$2</f>
        <v>9.5088743576509191E-2</v>
      </c>
      <c r="M45" s="65"/>
    </row>
    <row r="46" spans="1:15" s="46" customFormat="1" ht="25.5" x14ac:dyDescent="0.25">
      <c r="A46" s="36" t="s">
        <v>151</v>
      </c>
      <c r="B46" s="36" t="s">
        <v>68</v>
      </c>
      <c r="C46" s="36" t="s">
        <v>69</v>
      </c>
      <c r="D46" s="37">
        <v>0.1</v>
      </c>
      <c r="E46" s="38">
        <f>'Nov 24'!$D46*$C$6*$C$2</f>
        <v>21948500.85015</v>
      </c>
      <c r="F46" s="38">
        <v>249387.48749999999</v>
      </c>
      <c r="G46" s="39">
        <f>'Nov 24'!$E46/'Nov 24'!$F46</f>
        <v>88.00963139800669</v>
      </c>
      <c r="H46" s="36">
        <v>80</v>
      </c>
      <c r="I46" s="36">
        <v>80</v>
      </c>
      <c r="J46" s="40">
        <f>I46-H46</f>
        <v>0</v>
      </c>
      <c r="K46" s="41">
        <f>'Nov 24'!$F46*'Nov 24'!$I46</f>
        <v>19950999</v>
      </c>
      <c r="L46" s="42">
        <f>'Nov 24'!$K46/$K$2</f>
        <v>9.4931251238169034E-2</v>
      </c>
      <c r="M46" s="43"/>
    </row>
    <row r="47" spans="1:15" s="46" customFormat="1" ht="25.5" x14ac:dyDescent="0.25">
      <c r="A47" s="36" t="s">
        <v>151</v>
      </c>
      <c r="B47" s="36" t="s">
        <v>92</v>
      </c>
      <c r="C47" s="36" t="s">
        <v>93</v>
      </c>
      <c r="D47" s="37">
        <v>0.1</v>
      </c>
      <c r="E47" s="38">
        <f>'Nov 24'!$D47*$C$6*$C$2</f>
        <v>21948500.85015</v>
      </c>
      <c r="F47" s="38">
        <v>416350.58333333302</v>
      </c>
      <c r="G47" s="39">
        <f>'Nov 24'!$E47/'Nov 24'!$F47</f>
        <v>52.71639269585912</v>
      </c>
      <c r="H47" s="36">
        <v>48</v>
      </c>
      <c r="I47" s="36">
        <v>48</v>
      </c>
      <c r="J47" s="40">
        <f>I47-H47</f>
        <v>0</v>
      </c>
      <c r="K47" s="41">
        <f>'Nov 24'!$F47*'Nov 24'!$I47</f>
        <v>19984827.999999985</v>
      </c>
      <c r="L47" s="42">
        <f>'Nov 24'!$K47/$K$2</f>
        <v>9.5092217077430249E-2</v>
      </c>
      <c r="M47" s="43"/>
    </row>
    <row r="48" spans="1:15" s="46" customFormat="1" ht="25.5" x14ac:dyDescent="0.25">
      <c r="A48" s="36" t="s">
        <v>151</v>
      </c>
      <c r="B48" s="36" t="s">
        <v>95</v>
      </c>
      <c r="C48" s="36" t="s">
        <v>96</v>
      </c>
      <c r="D48" s="37">
        <v>0.1</v>
      </c>
      <c r="E48" s="38">
        <f>'Nov 24'!$D48*$C$6*$C$2</f>
        <v>21948500.85015</v>
      </c>
      <c r="F48" s="38">
        <v>249795.76250000001</v>
      </c>
      <c r="G48" s="39">
        <f>'Nov 24'!$E48/'Nov 24'!$F48</f>
        <v>87.865785353944901</v>
      </c>
      <c r="H48" s="36">
        <v>80</v>
      </c>
      <c r="I48" s="36">
        <v>80</v>
      </c>
      <c r="J48" s="40">
        <f>I48-H48</f>
        <v>0</v>
      </c>
      <c r="K48" s="41">
        <f>'Nov 24'!$F48*'Nov 24'!$I48</f>
        <v>19983661</v>
      </c>
      <c r="L48" s="42">
        <f>'Nov 24'!$K48/$K$2</f>
        <v>9.5086664234176957E-2</v>
      </c>
      <c r="M48" s="43"/>
    </row>
    <row r="49" spans="1:16" s="46" customFormat="1" ht="25.5" x14ac:dyDescent="0.25">
      <c r="A49" s="36" t="s">
        <v>151</v>
      </c>
      <c r="B49" s="36" t="s">
        <v>77</v>
      </c>
      <c r="C49" s="36" t="s">
        <v>78</v>
      </c>
      <c r="D49" s="37">
        <v>0.1</v>
      </c>
      <c r="E49" s="38">
        <f>'Nov 24'!$D49*$C$6*$C$2</f>
        <v>21948500.85015</v>
      </c>
      <c r="F49" s="38">
        <v>166961.098360656</v>
      </c>
      <c r="G49" s="39">
        <f>'Nov 24'!$E49/'Nov 24'!$F49</f>
        <v>131.45877132850794</v>
      </c>
      <c r="H49" s="36">
        <v>122</v>
      </c>
      <c r="I49" s="36">
        <v>122</v>
      </c>
      <c r="J49" s="40">
        <f>I49-H49</f>
        <v>0</v>
      </c>
      <c r="K49" s="41">
        <f>'Nov 24'!$F49*'Nov 24'!$I49</f>
        <v>20369254.000000034</v>
      </c>
      <c r="L49" s="42">
        <f>'Nov 24'!$K49/$K$2</f>
        <v>9.6921400728258417E-2</v>
      </c>
      <c r="M49" s="43"/>
    </row>
    <row r="50" spans="1:16" s="47" customFormat="1" ht="12.75" x14ac:dyDescent="0.25">
      <c r="A50" s="36"/>
      <c r="B50" s="36"/>
      <c r="C50" s="36"/>
      <c r="D50" s="37"/>
      <c r="E50" s="38"/>
      <c r="F50" s="38"/>
      <c r="G50" s="39"/>
      <c r="H50" s="36"/>
      <c r="I50" s="36"/>
      <c r="J50" s="48"/>
      <c r="K50" s="38"/>
      <c r="L50" s="42"/>
      <c r="M50" s="36"/>
    </row>
    <row r="51" spans="1:16" s="56" customFormat="1" ht="25.5" x14ac:dyDescent="0.25">
      <c r="A51" s="50" t="s">
        <v>154</v>
      </c>
      <c r="B51" s="50"/>
      <c r="C51" s="50"/>
      <c r="D51" s="58">
        <f>SUBTOTAL(9,D45:D50)</f>
        <v>0.5</v>
      </c>
      <c r="E51" s="52">
        <f>'Nov 24'!$D51*$C$6*$C$2</f>
        <v>109742504.25075001</v>
      </c>
      <c r="F51" s="71"/>
      <c r="G51" s="71"/>
      <c r="H51" s="57"/>
      <c r="I51" s="57"/>
      <c r="J51" s="61"/>
      <c r="K51" s="52">
        <f>SUM(K45:K50)</f>
        <v>100272840.00000001</v>
      </c>
      <c r="L51" s="74">
        <f>'Nov 24'!$K51/$K$2</f>
        <v>0.47712027685454383</v>
      </c>
      <c r="M51" s="50"/>
    </row>
    <row r="52" spans="1:16" s="47" customFormat="1" ht="12.75" x14ac:dyDescent="0.25">
      <c r="A52" s="36"/>
      <c r="B52" s="36"/>
      <c r="C52" s="36"/>
      <c r="D52" s="37"/>
      <c r="E52" s="38"/>
      <c r="F52" s="38"/>
      <c r="G52" s="39"/>
      <c r="H52" s="36"/>
      <c r="I52" s="36"/>
      <c r="J52" s="48"/>
      <c r="K52" s="38"/>
      <c r="L52" s="42"/>
      <c r="M52" s="36"/>
    </row>
    <row r="53" spans="1:16" s="46" customFormat="1" ht="12.75" x14ac:dyDescent="0.25">
      <c r="A53" s="36"/>
      <c r="B53" s="36"/>
      <c r="C53" s="36"/>
      <c r="D53" s="37"/>
      <c r="E53" s="38"/>
      <c r="F53" s="38"/>
      <c r="G53" s="75"/>
      <c r="H53" s="36"/>
      <c r="I53" s="36"/>
      <c r="J53" s="40"/>
      <c r="K53" s="41"/>
      <c r="L53" s="42"/>
      <c r="M53" s="43"/>
    </row>
    <row r="54" spans="1:16" s="46" customFormat="1" ht="25.5" x14ac:dyDescent="0.25">
      <c r="A54" s="36" t="s">
        <v>155</v>
      </c>
      <c r="B54" s="36" t="s">
        <v>53</v>
      </c>
      <c r="C54" s="36" t="s">
        <v>54</v>
      </c>
      <c r="D54" s="37">
        <v>1E-3</v>
      </c>
      <c r="E54" s="38">
        <f>'Nov 24'!$D54*$C$6*$C$2</f>
        <v>219485.00850150004</v>
      </c>
      <c r="F54" s="38">
        <v>49268.5</v>
      </c>
      <c r="G54" s="75">
        <f>'Nov 24'!$E54/'Nov 24'!$F54</f>
        <v>4.4548749911505334</v>
      </c>
      <c r="H54" s="36">
        <v>4</v>
      </c>
      <c r="I54" s="36">
        <v>4</v>
      </c>
      <c r="J54" s="40">
        <f t="shared" ref="J54:J63" si="2">I54-H54</f>
        <v>0</v>
      </c>
      <c r="K54" s="41">
        <f>'Nov 24'!$F54*'Nov 24'!$I54</f>
        <v>197074</v>
      </c>
      <c r="L54" s="42">
        <f>'Nov 24'!$K54/$K$2</f>
        <v>9.3772153497230515E-4</v>
      </c>
      <c r="M54" s="43"/>
    </row>
    <row r="55" spans="1:16" s="46" customFormat="1" ht="25.5" x14ac:dyDescent="0.25">
      <c r="A55" s="36" t="s">
        <v>155</v>
      </c>
      <c r="B55" s="36" t="s">
        <v>71</v>
      </c>
      <c r="C55" s="36" t="s">
        <v>72</v>
      </c>
      <c r="D55" s="37">
        <v>1E-3</v>
      </c>
      <c r="E55" s="38">
        <f>'Nov 24'!$D55*$C$6*$C$2</f>
        <v>219485.00850150004</v>
      </c>
      <c r="F55" s="38">
        <v>82812.666666666701</v>
      </c>
      <c r="G55" s="75">
        <f>'Nov 24'!$E55/'Nov 24'!$F55</f>
        <v>2.6503796742225418</v>
      </c>
      <c r="H55" s="36">
        <v>3</v>
      </c>
      <c r="I55" s="36">
        <v>3</v>
      </c>
      <c r="J55" s="40">
        <f t="shared" si="2"/>
        <v>0</v>
      </c>
      <c r="K55" s="41">
        <f>'Nov 24'!$F55*'Nov 24'!$I55</f>
        <v>248438.00000000012</v>
      </c>
      <c r="L55" s="42">
        <f>'Nov 24'!$K55/$K$2</f>
        <v>1.1821227696471866E-3</v>
      </c>
      <c r="M55" s="43"/>
      <c r="P55" s="46" t="s">
        <v>159</v>
      </c>
    </row>
    <row r="56" spans="1:16" s="46" customFormat="1" ht="25.5" x14ac:dyDescent="0.25">
      <c r="A56" s="36" t="s">
        <v>155</v>
      </c>
      <c r="B56" s="36" t="s">
        <v>83</v>
      </c>
      <c r="C56" s="36" t="s">
        <v>84</v>
      </c>
      <c r="D56" s="37">
        <v>1E-3</v>
      </c>
      <c r="E56" s="38">
        <f>'Nov 24'!$D56*$C$6*$C$2</f>
        <v>219485.00850150004</v>
      </c>
      <c r="F56" s="38">
        <v>97119</v>
      </c>
      <c r="G56" s="75">
        <f>'Nov 24'!$E56/'Nov 24'!$F56</f>
        <v>2.2599595187501933</v>
      </c>
      <c r="H56" s="36">
        <v>2</v>
      </c>
      <c r="I56" s="36">
        <v>2</v>
      </c>
      <c r="J56" s="40">
        <f t="shared" si="2"/>
        <v>0</v>
      </c>
      <c r="K56" s="41">
        <f>'Nov 24'!$F56*'Nov 24'!$I56</f>
        <v>194238</v>
      </c>
      <c r="L56" s="42">
        <f>'Nov 24'!$K56/$K$2</f>
        <v>9.2422722180475665E-4</v>
      </c>
      <c r="M56" s="43"/>
    </row>
    <row r="57" spans="1:16" s="46" customFormat="1" ht="25.5" x14ac:dyDescent="0.25">
      <c r="A57" s="36" t="s">
        <v>155</v>
      </c>
      <c r="B57" s="36" t="s">
        <v>85</v>
      </c>
      <c r="C57" s="36" t="s">
        <v>86</v>
      </c>
      <c r="D57" s="37">
        <v>1E-3</v>
      </c>
      <c r="E57" s="38">
        <f>'Nov 24'!$D57*$C$6*$C$2</f>
        <v>219485.00850150004</v>
      </c>
      <c r="F57" s="38">
        <v>234982</v>
      </c>
      <c r="G57" s="75">
        <f>'Nov 24'!$E57/'Nov 24'!$F57</f>
        <v>0.93405030385944476</v>
      </c>
      <c r="H57" s="36">
        <v>1</v>
      </c>
      <c r="I57" s="36">
        <v>1</v>
      </c>
      <c r="J57" s="40">
        <f t="shared" si="2"/>
        <v>0</v>
      </c>
      <c r="K57" s="41">
        <f>'Nov 24'!$F57*'Nov 24'!$I57</f>
        <v>234982</v>
      </c>
      <c r="L57" s="42">
        <f>'Nov 24'!$K57/$K$2</f>
        <v>1.118096155407929E-3</v>
      </c>
      <c r="M57" s="43"/>
    </row>
    <row r="58" spans="1:16" s="46" customFormat="1" ht="25.5" x14ac:dyDescent="0.25">
      <c r="A58" s="36" t="s">
        <v>155</v>
      </c>
      <c r="B58" s="36" t="s">
        <v>87</v>
      </c>
      <c r="C58" s="36" t="s">
        <v>88</v>
      </c>
      <c r="D58" s="37">
        <v>1E-3</v>
      </c>
      <c r="E58" s="38">
        <f>'Nov 24'!$D58*$C$6*$C$2</f>
        <v>219485.00850150004</v>
      </c>
      <c r="F58" s="38">
        <v>12460.222222222201</v>
      </c>
      <c r="G58" s="75">
        <f>'Nov 24'!$E58/'Nov 24'!$F58</f>
        <v>17.614855063343828</v>
      </c>
      <c r="H58" s="36">
        <v>18</v>
      </c>
      <c r="I58" s="36">
        <v>18</v>
      </c>
      <c r="J58" s="40">
        <f t="shared" si="2"/>
        <v>0</v>
      </c>
      <c r="K58" s="41">
        <f>'Nov 24'!$F58*'Nov 24'!$I58</f>
        <v>224283.99999999962</v>
      </c>
      <c r="L58" s="42">
        <f>'Nov 24'!$K58/$K$2</f>
        <v>1.0671927131419069E-3</v>
      </c>
      <c r="M58" s="43"/>
    </row>
    <row r="59" spans="1:16" s="46" customFormat="1" ht="25.5" x14ac:dyDescent="0.25">
      <c r="A59" s="36" t="s">
        <v>155</v>
      </c>
      <c r="B59" s="36" t="s">
        <v>90</v>
      </c>
      <c r="C59" s="36" t="s">
        <v>91</v>
      </c>
      <c r="D59" s="37">
        <v>1E-3</v>
      </c>
      <c r="E59" s="38">
        <f>'Nov 24'!$D59*$C$6*$C$2</f>
        <v>219485.00850150004</v>
      </c>
      <c r="F59" s="38">
        <v>93631.5</v>
      </c>
      <c r="G59" s="75">
        <f>'Nov 24'!$E59/'Nov 24'!$F59</f>
        <v>2.3441364124413262</v>
      </c>
      <c r="H59" s="36">
        <v>2</v>
      </c>
      <c r="I59" s="36">
        <v>2</v>
      </c>
      <c r="J59" s="40">
        <f t="shared" si="2"/>
        <v>0</v>
      </c>
      <c r="K59" s="41">
        <f>'Nov 24'!$F59*'Nov 24'!$I59</f>
        <v>187263</v>
      </c>
      <c r="L59" s="42">
        <f>'Nov 24'!$K59/$K$2</f>
        <v>8.9103863423647348E-4</v>
      </c>
      <c r="M59" s="43"/>
    </row>
    <row r="60" spans="1:16" s="4" customFormat="1" ht="25.5" x14ac:dyDescent="0.2">
      <c r="A60" s="36" t="s">
        <v>155</v>
      </c>
      <c r="B60" s="64" t="s">
        <v>112</v>
      </c>
      <c r="C60" s="64" t="s">
        <v>113</v>
      </c>
      <c r="D60" s="37">
        <v>1E-3</v>
      </c>
      <c r="E60" s="38">
        <f>'Nov 24'!$D60*$C$6*$C$2</f>
        <v>219485.00850150004</v>
      </c>
      <c r="F60" s="38">
        <v>68251</v>
      </c>
      <c r="G60" s="75">
        <f>'Nov 24'!$E60/'Nov 24'!$F60</f>
        <v>3.2158504417737475</v>
      </c>
      <c r="H60" s="36">
        <v>3</v>
      </c>
      <c r="I60" s="36">
        <v>3</v>
      </c>
      <c r="J60" s="40">
        <f t="shared" si="2"/>
        <v>0</v>
      </c>
      <c r="K60" s="41">
        <f>'Nov 24'!$F60*'Nov 24'!$I60</f>
        <v>204753</v>
      </c>
      <c r="L60" s="42">
        <f>'Nov 24'!$K60/$K$2</f>
        <v>9.7425990973027592E-4</v>
      </c>
      <c r="M60" s="65"/>
    </row>
    <row r="61" spans="1:16" s="46" customFormat="1" ht="25.5" x14ac:dyDescent="0.25">
      <c r="A61" s="36" t="s">
        <v>155</v>
      </c>
      <c r="B61" s="36" t="s">
        <v>81</v>
      </c>
      <c r="C61" s="36" t="s">
        <v>82</v>
      </c>
      <c r="D61" s="37">
        <v>1E-3</v>
      </c>
      <c r="E61" s="38">
        <f>'Nov 24'!$D61*$C$6*$C$2</f>
        <v>219485.00850150004</v>
      </c>
      <c r="F61" s="38">
        <v>28390</v>
      </c>
      <c r="G61" s="75">
        <f>'Nov 24'!$E61/'Nov 24'!$F61</f>
        <v>7.7310675766643193</v>
      </c>
      <c r="H61" s="36">
        <v>7</v>
      </c>
      <c r="I61" s="36">
        <v>7</v>
      </c>
      <c r="J61" s="40">
        <f t="shared" si="2"/>
        <v>0</v>
      </c>
      <c r="K61" s="41">
        <f>'Nov 24'!$F61*'Nov 24'!$I61</f>
        <v>198730</v>
      </c>
      <c r="L61" s="42">
        <f>'Nov 24'!$K61/$K$2</f>
        <v>9.4560114802077491E-4</v>
      </c>
      <c r="M61" s="43"/>
    </row>
    <row r="62" spans="1:16" s="46" customFormat="1" ht="25.5" x14ac:dyDescent="0.25">
      <c r="A62" s="36" t="s">
        <v>155</v>
      </c>
      <c r="B62" s="36" t="s">
        <v>100</v>
      </c>
      <c r="C62" s="36" t="s">
        <v>101</v>
      </c>
      <c r="D62" s="37">
        <v>1E-3</v>
      </c>
      <c r="E62" s="38">
        <f>'Nov 24'!$D62*$C$6*$C$2</f>
        <v>219485.00850150004</v>
      </c>
      <c r="F62" s="38">
        <v>7900.75</v>
      </c>
      <c r="G62" s="75">
        <f>'Nov 24'!$E62/'Nov 24'!$F62</f>
        <v>27.780275100655007</v>
      </c>
      <c r="H62" s="36">
        <v>28</v>
      </c>
      <c r="I62" s="36">
        <v>28</v>
      </c>
      <c r="J62" s="40">
        <f t="shared" si="2"/>
        <v>0</v>
      </c>
      <c r="K62" s="41">
        <f>'Nov 24'!$F62*'Nov 24'!$I62</f>
        <v>221221</v>
      </c>
      <c r="L62" s="42">
        <f>'Nov 24'!$K62/$K$2</f>
        <v>1.0526182839345035E-3</v>
      </c>
      <c r="M62" s="43"/>
    </row>
    <row r="63" spans="1:16" s="46" customFormat="1" ht="25.5" x14ac:dyDescent="0.25">
      <c r="A63" s="36" t="s">
        <v>155</v>
      </c>
      <c r="B63" s="36" t="s">
        <v>74</v>
      </c>
      <c r="C63" s="36" t="s">
        <v>75</v>
      </c>
      <c r="D63" s="37">
        <v>1E-3</v>
      </c>
      <c r="E63" s="38">
        <f>'Nov 24'!$D63*$C$6*$C$2</f>
        <v>219485.00850150004</v>
      </c>
      <c r="F63" s="38">
        <v>27779.428571428602</v>
      </c>
      <c r="G63" s="75">
        <f>'Nov 24'!$E63/'Nov 24'!$F63</f>
        <v>7.9009907614601689</v>
      </c>
      <c r="H63" s="36">
        <v>7</v>
      </c>
      <c r="I63" s="36">
        <v>7</v>
      </c>
      <c r="J63" s="40">
        <f t="shared" si="2"/>
        <v>0</v>
      </c>
      <c r="K63" s="41">
        <f>'Nov 24'!$F63*'Nov 24'!$I63</f>
        <v>194456.0000000002</v>
      </c>
      <c r="L63" s="42">
        <f>'Nov 24'!$K63/$K$2</f>
        <v>9.2526451386065517E-4</v>
      </c>
      <c r="M63" s="43"/>
    </row>
    <row r="64" spans="1:16" s="46" customFormat="1" ht="12.75" x14ac:dyDescent="0.25">
      <c r="A64" s="36"/>
      <c r="B64" s="36"/>
      <c r="C64" s="36"/>
      <c r="D64" s="37"/>
      <c r="E64" s="38"/>
      <c r="F64" s="38"/>
      <c r="G64" s="39"/>
      <c r="H64" s="36"/>
      <c r="I64" s="36"/>
      <c r="J64" s="43"/>
      <c r="K64" s="41"/>
      <c r="L64" s="42"/>
      <c r="M64" s="43"/>
    </row>
    <row r="65" spans="1:13" s="46" customFormat="1" ht="12.75" x14ac:dyDescent="0.25">
      <c r="A65" s="36"/>
      <c r="B65" s="36"/>
      <c r="C65" s="36"/>
      <c r="D65" s="37"/>
      <c r="E65" s="38"/>
      <c r="F65" s="38"/>
      <c r="G65" s="39"/>
      <c r="H65" s="36"/>
      <c r="I65" s="36"/>
      <c r="J65" s="43"/>
      <c r="K65" s="41"/>
      <c r="L65" s="42"/>
      <c r="M65" s="43"/>
    </row>
    <row r="66" spans="1:13" s="17" customFormat="1" ht="12.75" x14ac:dyDescent="0.2">
      <c r="A66" s="50" t="s">
        <v>167</v>
      </c>
      <c r="B66" s="68"/>
      <c r="C66" s="68"/>
      <c r="D66" s="76">
        <f>SUM(D54:D65)</f>
        <v>1.0000000000000002E-2</v>
      </c>
      <c r="E66" s="52">
        <f>SUM(E53:E65)</f>
        <v>2194850.0850150008</v>
      </c>
      <c r="F66" s="71"/>
      <c r="G66" s="71"/>
      <c r="H66" s="68"/>
      <c r="I66" s="68"/>
      <c r="J66" s="50"/>
      <c r="K66" s="52">
        <f>SUM(K53:K65)</f>
        <v>2105439</v>
      </c>
      <c r="L66" s="55">
        <f>'Nov 24'!$K66/$K$2</f>
        <v>1.0018142884756767E-2</v>
      </c>
      <c r="M66" s="62"/>
    </row>
    <row r="67" spans="1:13" s="4" customFormat="1" ht="12.75" x14ac:dyDescent="0.2">
      <c r="A67" s="36"/>
      <c r="B67" s="64"/>
      <c r="C67" s="64"/>
      <c r="D67" s="77"/>
      <c r="E67" s="38"/>
      <c r="F67" s="38"/>
      <c r="G67" s="39"/>
      <c r="H67" s="64"/>
      <c r="I67" s="64"/>
      <c r="J67" s="36"/>
      <c r="K67" s="36"/>
      <c r="L67" s="42"/>
      <c r="M67" s="65"/>
    </row>
    <row r="68" spans="1:13" s="46" customFormat="1" ht="25.5" x14ac:dyDescent="0.25">
      <c r="A68" s="50" t="s">
        <v>168</v>
      </c>
      <c r="B68" s="57" t="s">
        <v>169</v>
      </c>
      <c r="C68" s="57" t="s">
        <v>170</v>
      </c>
      <c r="D68" s="58">
        <v>0</v>
      </c>
      <c r="E68" s="59">
        <f>'Nov 24'!$D68*$C$6*$C$2</f>
        <v>0</v>
      </c>
      <c r="F68" s="59">
        <v>0</v>
      </c>
      <c r="G68" s="60" t="s">
        <v>175</v>
      </c>
      <c r="H68" s="57">
        <v>0</v>
      </c>
      <c r="I68" s="57">
        <v>0</v>
      </c>
      <c r="J68" s="78">
        <f>I68-H68</f>
        <v>0</v>
      </c>
      <c r="K68" s="59">
        <f>'Nov 24'!$F68*'Nov 24'!$I68</f>
        <v>0</v>
      </c>
      <c r="L68" s="79">
        <f>'Nov 24'!$K68/$K$2</f>
        <v>0</v>
      </c>
      <c r="M68" s="57"/>
    </row>
    <row r="69" spans="1:13" s="4" customFormat="1" ht="12.75" x14ac:dyDescent="0.2">
      <c r="A69" s="36"/>
      <c r="B69" s="64"/>
      <c r="C69" s="64"/>
      <c r="D69" s="77"/>
      <c r="E69" s="38"/>
      <c r="F69" s="38"/>
      <c r="G69" s="39"/>
      <c r="H69" s="64"/>
      <c r="I69" s="64"/>
      <c r="J69" s="36"/>
      <c r="K69" s="36"/>
      <c r="L69" s="42"/>
      <c r="M69" s="65"/>
    </row>
    <row r="70" spans="1:13" s="4" customFormat="1" ht="12.75" x14ac:dyDescent="0.2">
      <c r="A70" s="36"/>
      <c r="B70" s="64"/>
      <c r="C70" s="64"/>
      <c r="D70" s="80"/>
      <c r="E70" s="66"/>
      <c r="F70" s="38"/>
      <c r="G70" s="39"/>
      <c r="H70" s="64"/>
      <c r="I70" s="64"/>
      <c r="J70" s="36"/>
      <c r="K70" s="36"/>
      <c r="L70" s="42"/>
      <c r="M70" s="65"/>
    </row>
    <row r="71" spans="1:13" s="17" customFormat="1" ht="12.75" x14ac:dyDescent="0.2">
      <c r="A71" s="50" t="s">
        <v>171</v>
      </c>
      <c r="B71" s="68"/>
      <c r="C71" s="68"/>
      <c r="D71" s="68"/>
      <c r="E71" s="81"/>
      <c r="F71" s="81"/>
      <c r="G71" s="50"/>
      <c r="H71" s="68"/>
      <c r="I71" s="68"/>
      <c r="J71" s="68"/>
      <c r="K71" s="81">
        <f>SUM(K28,K30,K43,K51,K66,K68:K68)</f>
        <v>210162604.40880287</v>
      </c>
      <c r="L71" s="55">
        <f>'Nov 24'!$K71/$K$2</f>
        <v>0.99999999999999989</v>
      </c>
      <c r="M71" s="68"/>
    </row>
    <row r="72" spans="1:13" s="4" customFormat="1" ht="12.75" x14ac:dyDescent="0.2">
      <c r="A72" s="65"/>
      <c r="B72" s="65"/>
      <c r="C72" s="65"/>
      <c r="D72" s="82"/>
      <c r="E72" s="83"/>
      <c r="F72" s="38"/>
      <c r="G72" s="84"/>
      <c r="H72" s="65"/>
      <c r="I72" s="65"/>
      <c r="J72" s="65"/>
      <c r="K72" s="65"/>
      <c r="L72" s="42"/>
      <c r="M72" s="65"/>
    </row>
    <row r="73" spans="1:13" s="4" customFormat="1" ht="12.75" x14ac:dyDescent="0.2">
      <c r="A73" s="65"/>
      <c r="B73" s="65"/>
      <c r="C73" s="65"/>
      <c r="D73" s="82"/>
      <c r="E73" s="83"/>
      <c r="F73" s="38"/>
      <c r="G73" s="84"/>
      <c r="H73" s="65"/>
      <c r="I73" s="65"/>
      <c r="J73" s="65"/>
      <c r="K73" s="65"/>
      <c r="L73" s="42"/>
      <c r="M73" s="65"/>
    </row>
    <row r="74" spans="1:13" s="4" customFormat="1" ht="12.75" x14ac:dyDescent="0.2">
      <c r="A74" s="65"/>
      <c r="B74" s="65"/>
      <c r="C74" s="65"/>
      <c r="D74" s="82"/>
      <c r="E74" s="83"/>
      <c r="F74" s="38"/>
      <c r="G74" s="84"/>
      <c r="H74" s="65"/>
      <c r="I74" s="65"/>
      <c r="J74" s="65"/>
      <c r="K74" s="65"/>
      <c r="L74" s="42"/>
      <c r="M74" s="65"/>
    </row>
    <row r="75" spans="1:13" s="4" customFormat="1" ht="12.75" x14ac:dyDescent="0.2">
      <c r="A75" s="65"/>
      <c r="B75" s="65"/>
      <c r="C75" s="65"/>
      <c r="D75" s="82"/>
      <c r="E75" s="83"/>
      <c r="F75" s="38"/>
      <c r="G75" s="84"/>
      <c r="H75" s="65"/>
      <c r="I75" s="65"/>
      <c r="J75" s="65"/>
      <c r="K75" s="65"/>
      <c r="L75" s="42"/>
      <c r="M75" s="65"/>
    </row>
    <row r="76" spans="1:13" s="4" customFormat="1" ht="12.75" x14ac:dyDescent="0.2">
      <c r="A76" s="65"/>
      <c r="B76" s="65"/>
      <c r="C76" s="65"/>
      <c r="D76" s="82"/>
      <c r="E76" s="83"/>
      <c r="F76" s="38"/>
      <c r="G76" s="84"/>
      <c r="H76" s="65"/>
      <c r="I76" s="65"/>
      <c r="J76" s="65"/>
      <c r="K76" s="65"/>
      <c r="L76" s="42"/>
      <c r="M76" s="65"/>
    </row>
    <row r="77" spans="1:13" s="4" customFormat="1" ht="12.75" x14ac:dyDescent="0.2">
      <c r="A77" s="65"/>
      <c r="B77" s="65"/>
      <c r="C77" s="65"/>
      <c r="D77" s="82"/>
      <c r="E77" s="83"/>
      <c r="F77" s="38"/>
      <c r="G77" s="84"/>
      <c r="H77" s="65"/>
      <c r="I77" s="65"/>
      <c r="J77" s="65"/>
      <c r="K77" s="65"/>
      <c r="L77" s="42"/>
      <c r="M77" s="65"/>
    </row>
    <row r="78" spans="1:13" s="4" customFormat="1" ht="12.75" x14ac:dyDescent="0.2">
      <c r="A78" s="65"/>
      <c r="B78" s="65"/>
      <c r="C78" s="65"/>
      <c r="D78" s="82"/>
      <c r="E78" s="83"/>
      <c r="F78" s="38"/>
      <c r="G78" s="84"/>
      <c r="H78" s="65"/>
      <c r="I78" s="65"/>
      <c r="J78" s="65"/>
      <c r="K78" s="65"/>
      <c r="L78" s="42"/>
      <c r="M78" s="65"/>
    </row>
    <row r="79" spans="1:13" s="4" customFormat="1" ht="12.75" x14ac:dyDescent="0.2">
      <c r="A79" s="65"/>
      <c r="B79" s="65"/>
      <c r="C79" s="65"/>
      <c r="D79" s="82"/>
      <c r="E79" s="83"/>
      <c r="F79" s="38"/>
      <c r="G79" s="84"/>
      <c r="H79" s="65"/>
      <c r="I79" s="65"/>
      <c r="J79" s="65"/>
      <c r="K79" s="65"/>
      <c r="L79" s="42"/>
      <c r="M79" s="65"/>
    </row>
    <row r="80" spans="1:13" s="4" customFormat="1" ht="12.75" x14ac:dyDescent="0.2">
      <c r="A80" s="65"/>
      <c r="B80" s="65"/>
      <c r="C80" s="65"/>
      <c r="D80" s="82"/>
      <c r="E80" s="83"/>
      <c r="F80" s="38"/>
      <c r="G80" s="84"/>
      <c r="H80" s="65"/>
      <c r="I80" s="65"/>
      <c r="J80" s="65"/>
      <c r="K80" s="65"/>
      <c r="L80" s="42"/>
      <c r="M80" s="65"/>
    </row>
    <row r="81" spans="1:13" s="4" customFormat="1" ht="12.75" x14ac:dyDescent="0.2"/>
    <row r="82" spans="1:13" s="4" customFormat="1" ht="12.75" x14ac:dyDescent="0.2"/>
    <row r="84" spans="1:13" s="4" customFormat="1" ht="12.75" x14ac:dyDescent="0.2">
      <c r="A84" s="85"/>
      <c r="B84" s="85"/>
      <c r="E84" s="85"/>
      <c r="F84" s="85"/>
      <c r="G84" s="85"/>
      <c r="H84" s="86"/>
      <c r="M84" s="85"/>
    </row>
    <row r="85" spans="1:13" s="4" customFormat="1" ht="12.75" x14ac:dyDescent="0.2">
      <c r="A85" s="85"/>
      <c r="B85" s="85"/>
      <c r="E85" s="85"/>
      <c r="F85" s="85"/>
      <c r="G85" s="85"/>
      <c r="H85" s="86"/>
      <c r="M85" s="85"/>
    </row>
    <row r="86" spans="1:13" s="4" customFormat="1" ht="12.75" x14ac:dyDescent="0.2">
      <c r="A86" s="87"/>
      <c r="B86" s="87"/>
    </row>
    <row r="87" spans="1:13" s="4" customFormat="1" ht="12.75" x14ac:dyDescent="0.2">
      <c r="A87" s="88"/>
      <c r="B87" s="88"/>
      <c r="E87" s="88"/>
      <c r="F87" s="87"/>
      <c r="G87" s="87"/>
      <c r="M87" s="89"/>
    </row>
    <row r="88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H88"/>
  <sheetViews>
    <sheetView zoomScale="115" zoomScaleNormal="115" workbookViewId="0">
      <pane xSplit="2" topLeftCell="C1" activePane="topRight" state="frozen"/>
      <selection pane="topRight" activeCell="J5" sqref="J5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116</v>
      </c>
      <c r="C1" s="6">
        <v>44160</v>
      </c>
      <c r="D1" s="7"/>
      <c r="E1" s="8" t="s">
        <v>117</v>
      </c>
      <c r="F1" s="9"/>
      <c r="G1" s="10"/>
      <c r="K1" s="11" t="s">
        <v>118</v>
      </c>
      <c r="L1" s="11" t="s">
        <v>119</v>
      </c>
      <c r="M1" s="12" t="s">
        <v>120</v>
      </c>
    </row>
    <row r="2" spans="1:17" x14ac:dyDescent="0.25">
      <c r="A2" s="5"/>
      <c r="B2" s="5" t="s">
        <v>121</v>
      </c>
      <c r="C2" s="13">
        <v>8.1999999999999993</v>
      </c>
      <c r="D2" s="14"/>
      <c r="E2" s="15">
        <f>SUM(E28,E43,E51,E66,E30,E68)</f>
        <v>228052428.92400002</v>
      </c>
      <c r="F2" s="16"/>
      <c r="G2" s="17"/>
      <c r="H2" s="14"/>
      <c r="I2" s="14"/>
      <c r="J2" s="14"/>
      <c r="K2" s="15">
        <f>SUM(K28,K43,K51,K66,K30,K68:K68)</f>
        <v>214469877.03086889</v>
      </c>
      <c r="L2" s="18">
        <f>SUM(L51,L66,L43,L28,L30,L68)</f>
        <v>0.99999999999999989</v>
      </c>
      <c r="M2" s="19">
        <f>K2/$C$6</f>
        <v>7.7116170169764242</v>
      </c>
      <c r="N2" s="20"/>
    </row>
    <row r="3" spans="1:17" ht="26.25" x14ac:dyDescent="0.25">
      <c r="A3" s="5"/>
      <c r="B3" s="5" t="s">
        <v>122</v>
      </c>
      <c r="C3" s="21">
        <v>27811271.82</v>
      </c>
      <c r="D3" s="22"/>
      <c r="E3" s="8" t="s">
        <v>123</v>
      </c>
      <c r="F3" s="16"/>
      <c r="H3" s="14"/>
      <c r="I3" s="14"/>
      <c r="J3" s="14"/>
      <c r="K3" s="8" t="s">
        <v>123</v>
      </c>
      <c r="L3" s="14"/>
      <c r="M3" s="12" t="s">
        <v>124</v>
      </c>
      <c r="N3" s="23"/>
    </row>
    <row r="4" spans="1:17" x14ac:dyDescent="0.25">
      <c r="A4" s="5"/>
      <c r="B4" s="5" t="s">
        <v>125</v>
      </c>
      <c r="C4" s="21">
        <v>0</v>
      </c>
      <c r="D4" s="22"/>
      <c r="E4" s="15">
        <f>SUM(E28,E66,E30)</f>
        <v>47891010.074040003</v>
      </c>
      <c r="F4" s="16"/>
      <c r="G4" s="17"/>
      <c r="H4" s="14"/>
      <c r="I4" s="14"/>
      <c r="J4" s="14"/>
      <c r="K4" s="15">
        <f>SUM(K28,K30,K66)</f>
        <v>47752246.531850852</v>
      </c>
      <c r="L4" s="14"/>
      <c r="M4" s="19">
        <f>K4/$C$6</f>
        <v>1.7170105287134205</v>
      </c>
      <c r="N4" s="23"/>
    </row>
    <row r="5" spans="1:17" x14ac:dyDescent="0.25">
      <c r="A5" s="5"/>
      <c r="B5" s="5" t="s">
        <v>126</v>
      </c>
      <c r="C5" s="21">
        <v>0</v>
      </c>
      <c r="D5" s="22"/>
      <c r="E5" s="16"/>
      <c r="F5" s="16"/>
      <c r="G5" s="24">
        <f>SUM(D28,D30,D43,D51,D66,D68:D68)</f>
        <v>1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127</v>
      </c>
      <c r="C6" s="21">
        <f>C3+C4-C5</f>
        <v>27811271.82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128</v>
      </c>
      <c r="B8" s="30" t="s">
        <v>129</v>
      </c>
      <c r="C8" s="31" t="s">
        <v>1</v>
      </c>
      <c r="D8" s="31" t="s">
        <v>130</v>
      </c>
      <c r="E8" s="31" t="s">
        <v>131</v>
      </c>
      <c r="F8" s="31" t="s">
        <v>132</v>
      </c>
      <c r="G8" s="31" t="s">
        <v>133</v>
      </c>
      <c r="H8" s="31" t="s">
        <v>134</v>
      </c>
      <c r="I8" s="31" t="s">
        <v>135</v>
      </c>
      <c r="J8" s="31" t="s">
        <v>136</v>
      </c>
      <c r="K8" s="32" t="s">
        <v>137</v>
      </c>
      <c r="L8" s="32" t="s">
        <v>138</v>
      </c>
      <c r="M8" s="32" t="s">
        <v>139</v>
      </c>
      <c r="N8" s="33"/>
      <c r="Q8" s="35"/>
    </row>
    <row r="9" spans="1:17" s="46" customFormat="1" ht="12.75" customHeight="1" x14ac:dyDescent="0.25">
      <c r="A9" s="36" t="s">
        <v>140</v>
      </c>
      <c r="B9" s="36" t="s">
        <v>49</v>
      </c>
      <c r="C9" s="36" t="s">
        <v>50</v>
      </c>
      <c r="D9" s="37">
        <v>1.2E-2</v>
      </c>
      <c r="E9" s="38">
        <f>'Nov 25'!$D9*$C$6*$C$2</f>
        <v>2736629.1470879996</v>
      </c>
      <c r="F9" s="38">
        <v>560.27998379254461</v>
      </c>
      <c r="G9" s="39">
        <f>'Nov 25'!$E9/'Nov 25'!$F9</f>
        <v>4884.3957061676756</v>
      </c>
      <c r="H9" s="36">
        <v>4936</v>
      </c>
      <c r="I9" s="36">
        <f>ROUND(Table13895845679910111213144562678910111213141516171819202134567891011121314151617181920212223345678910111213141516171819[[#This Row],[Target Quantity]],0)</f>
        <v>4884</v>
      </c>
      <c r="J9" s="40">
        <f t="shared" ref="J9:J26" si="0">I9-H9</f>
        <v>-52</v>
      </c>
      <c r="K9" s="41">
        <f>'Nov 25'!$F9*'Nov 25'!$I9</f>
        <v>2736407.4408427877</v>
      </c>
      <c r="L9" s="42">
        <f>'Nov 25'!$K9/$K$2</f>
        <v>1.27589360274074E-2</v>
      </c>
      <c r="M9" s="43"/>
    </row>
    <row r="10" spans="1:17" s="46" customFormat="1" ht="12.75" customHeight="1" x14ac:dyDescent="0.25">
      <c r="A10" s="36" t="s">
        <v>140</v>
      </c>
      <c r="B10" s="36" t="s">
        <v>37</v>
      </c>
      <c r="C10" s="36" t="s">
        <v>38</v>
      </c>
      <c r="D10" s="37">
        <v>1.2E-2</v>
      </c>
      <c r="E10" s="38">
        <f>'Nov 25'!$D10*$C$6*$C$2</f>
        <v>2736629.1470879996</v>
      </c>
      <c r="F10" s="38">
        <v>87.550005066369437</v>
      </c>
      <c r="G10" s="39">
        <f>'Nov 25'!$E10/'Nov 25'!$F10</f>
        <v>31257.898215007874</v>
      </c>
      <c r="H10" s="36">
        <v>29607</v>
      </c>
      <c r="I10" s="36">
        <f>ROUND(Table13895845679910111213144562678910111213141516171819202134567891011121314151617181920212223345678910111213141516171819[[#This Row],[Target Quantity]],0)</f>
        <v>31258</v>
      </c>
      <c r="J10" s="40">
        <f t="shared" si="0"/>
        <v>1651</v>
      </c>
      <c r="K10" s="41">
        <f>'Nov 25'!$F10*'Nov 25'!$I10</f>
        <v>2736638.0583645757</v>
      </c>
      <c r="L10" s="42">
        <f>'Nov 25'!$K10/$K$2</f>
        <v>1.2760011318375905E-2</v>
      </c>
      <c r="M10" s="43"/>
    </row>
    <row r="11" spans="1:17" s="47" customFormat="1" ht="12.75" customHeight="1" x14ac:dyDescent="0.25">
      <c r="A11" s="36" t="s">
        <v>140</v>
      </c>
      <c r="B11" s="36" t="s">
        <v>27</v>
      </c>
      <c r="C11" s="36" t="s">
        <v>28</v>
      </c>
      <c r="D11" s="37">
        <v>1.2E-2</v>
      </c>
      <c r="E11" s="38">
        <f>'Nov 25'!$D11*$C$6*$C$2</f>
        <v>2736629.1470879996</v>
      </c>
      <c r="F11" s="38">
        <v>215.79996701846966</v>
      </c>
      <c r="G11" s="39">
        <f>'Nov 25'!$E11/'Nov 25'!$F11</f>
        <v>12681.3232870132</v>
      </c>
      <c r="H11" s="36">
        <v>12128</v>
      </c>
      <c r="I11" s="36">
        <f>ROUND(Table13895845679910111213144562678910111213141516171819202134567891011121314151617181920212223345678910111213141516171819[[#This Row],[Target Quantity]],0)</f>
        <v>12681</v>
      </c>
      <c r="J11" s="40">
        <f t="shared" si="0"/>
        <v>553</v>
      </c>
      <c r="K11" s="41">
        <f>'Nov 25'!$F11*'Nov 25'!$I11</f>
        <v>2736559.3817612138</v>
      </c>
      <c r="L11" s="42">
        <f>'Nov 25'!$K11/$K$2</f>
        <v>1.2759644476167335E-2</v>
      </c>
      <c r="M11" s="36"/>
    </row>
    <row r="12" spans="1:17" s="47" customFormat="1" ht="12.75" customHeight="1" x14ac:dyDescent="0.25">
      <c r="A12" s="36" t="s">
        <v>140</v>
      </c>
      <c r="B12" s="36" t="s">
        <v>51</v>
      </c>
      <c r="C12" s="36" t="s">
        <v>52</v>
      </c>
      <c r="D12" s="37">
        <v>1.2E-2</v>
      </c>
      <c r="E12" s="38">
        <f>'Nov 25'!$D12*$C$6*$C$2</f>
        <v>2736629.1470879996</v>
      </c>
      <c r="F12" s="38">
        <v>430</v>
      </c>
      <c r="G12" s="39">
        <f>'Nov 25'!$E12/'Nov 25'!$F12</f>
        <v>6364.2538304372083</v>
      </c>
      <c r="H12" s="36">
        <v>6206</v>
      </c>
      <c r="I12" s="36">
        <f>ROUND(Table13895845679910111213144562678910111213141516171819202134567891011121314151617181920212223345678910111213141516171819[[#This Row],[Target Quantity]],0)</f>
        <v>6364</v>
      </c>
      <c r="J12" s="40">
        <f t="shared" si="0"/>
        <v>158</v>
      </c>
      <c r="K12" s="41">
        <f>'Nov 25'!$F12*'Nov 25'!$I12</f>
        <v>2736520</v>
      </c>
      <c r="L12" s="42">
        <f>'Nov 25'!$K12/$K$2</f>
        <v>1.2759460852426048E-2</v>
      </c>
      <c r="M12" s="36"/>
    </row>
    <row r="13" spans="1:17" s="47" customFormat="1" ht="12.75" customHeight="1" x14ac:dyDescent="0.25">
      <c r="A13" s="36" t="s">
        <v>140</v>
      </c>
      <c r="B13" s="36" t="s">
        <v>41</v>
      </c>
      <c r="C13" s="36" t="s">
        <v>42</v>
      </c>
      <c r="D13" s="37">
        <v>1.2E-2</v>
      </c>
      <c r="E13" s="38">
        <f>'Nov 25'!$D13*$C$6*$C$2</f>
        <v>2736629.1470879996</v>
      </c>
      <c r="F13" s="38">
        <v>1439.2800441014333</v>
      </c>
      <c r="G13" s="39">
        <f>'Nov 25'!$E13/'Nov 25'!$F13</f>
        <v>1901.3875432397335</v>
      </c>
      <c r="H13" s="36">
        <v>1814</v>
      </c>
      <c r="I13" s="36">
        <f>ROUND(Table13895845679910111213144562678910111213141516171819202134567891011121314151617181920212223345678910111213141516171819[[#This Row],[Target Quantity]],0)</f>
        <v>1901</v>
      </c>
      <c r="J13" s="40">
        <f t="shared" si="0"/>
        <v>87</v>
      </c>
      <c r="K13" s="41">
        <f>'Nov 25'!$F13*'Nov 25'!$I13</f>
        <v>2736071.3638368249</v>
      </c>
      <c r="L13" s="42">
        <f>'Nov 25'!$K13/$K$2</f>
        <v>1.2757369014777861E-2</v>
      </c>
      <c r="M13" s="36"/>
    </row>
    <row r="14" spans="1:17" s="47" customFormat="1" ht="12.75" customHeight="1" x14ac:dyDescent="0.25">
      <c r="A14" s="36" t="s">
        <v>140</v>
      </c>
      <c r="B14" s="36" t="s">
        <v>31</v>
      </c>
      <c r="C14" s="36" t="s">
        <v>32</v>
      </c>
      <c r="D14" s="37">
        <v>1.2E-2</v>
      </c>
      <c r="E14" s="38">
        <f>'Nov 25'!$D14*$C$6*$C$2</f>
        <v>2736629.1470879996</v>
      </c>
      <c r="F14" s="38">
        <v>291.67996930161166</v>
      </c>
      <c r="G14" s="39">
        <f>'Nov 25'!$E14/'Nov 25'!$F14</f>
        <v>9382.3005866343483</v>
      </c>
      <c r="H14" s="36">
        <v>9121</v>
      </c>
      <c r="I14" s="36">
        <f>ROUND(Table13895845679910111213144562678910111213141516171819202134567891011121314151617181920212223345678910111213141516171819[[#This Row],[Target Quantity]],0)</f>
        <v>9382</v>
      </c>
      <c r="J14" s="40">
        <f t="shared" si="0"/>
        <v>261</v>
      </c>
      <c r="K14" s="41">
        <f>'Nov 25'!$F14*'Nov 25'!$I14</f>
        <v>2736541.4719877206</v>
      </c>
      <c r="L14" s="42">
        <f>'Nov 25'!$K14/$K$2</f>
        <v>1.2759560968992615E-2</v>
      </c>
      <c r="M14" s="36"/>
    </row>
    <row r="15" spans="1:17" s="47" customFormat="1" ht="12.75" customHeight="1" x14ac:dyDescent="0.25">
      <c r="A15" s="36" t="s">
        <v>140</v>
      </c>
      <c r="B15" s="36" t="s">
        <v>29</v>
      </c>
      <c r="C15" s="36" t="s">
        <v>30</v>
      </c>
      <c r="D15" s="37">
        <v>1.2E-2</v>
      </c>
      <c r="E15" s="38">
        <f>'Nov 25'!$D15*$C$6*$C$2</f>
        <v>2736629.1470879996</v>
      </c>
      <c r="F15" s="38">
        <v>23.129997385885467</v>
      </c>
      <c r="G15" s="39">
        <f>'Nov 25'!$E15/'Nov 25'!$F15</f>
        <v>118315.15159435179</v>
      </c>
      <c r="H15" s="36">
        <v>118587</v>
      </c>
      <c r="I15" s="36">
        <f>ROUND(Table13895845679910111213144562678910111213141516171819202134567891011121314151617181920212223345678910111213141516171819[[#This Row],[Target Quantity]],0)</f>
        <v>118315</v>
      </c>
      <c r="J15" s="40">
        <f t="shared" si="0"/>
        <v>-272</v>
      </c>
      <c r="K15" s="41">
        <f>'Nov 25'!$F15*'Nov 25'!$I15</f>
        <v>2736625.6407110388</v>
      </c>
      <c r="L15" s="42">
        <f>'Nov 25'!$K15/$K$2</f>
        <v>1.275995341908623E-2</v>
      </c>
      <c r="M15" s="36"/>
    </row>
    <row r="16" spans="1:17" s="47" customFormat="1" ht="12.75" customHeight="1" x14ac:dyDescent="0.25">
      <c r="A16" s="36" t="s">
        <v>140</v>
      </c>
      <c r="B16" s="36" t="s">
        <v>39</v>
      </c>
      <c r="C16" s="36" t="s">
        <v>40</v>
      </c>
      <c r="D16" s="37">
        <v>6.0000000000000001E-3</v>
      </c>
      <c r="E16" s="38">
        <f>'Nov 25'!$D16*$C$6*$C$2</f>
        <v>1368314.5735439998</v>
      </c>
      <c r="F16" s="38">
        <v>39.690003948607355</v>
      </c>
      <c r="G16" s="39">
        <f>'Nov 25'!$E16/'Nov 25'!$F16</f>
        <v>34475.042514880159</v>
      </c>
      <c r="H16" s="36">
        <v>32923</v>
      </c>
      <c r="I16" s="36">
        <f>ROUND(Table13895845679910111213144562678910111213141516171819202134567891011121314151617181920212223345678910111213141516171819[[#This Row],[Target Quantity]],0)</f>
        <v>34475</v>
      </c>
      <c r="J16" s="40">
        <f t="shared" si="0"/>
        <v>1552</v>
      </c>
      <c r="K16" s="41">
        <f>'Nov 25'!$F16*'Nov 25'!$I16</f>
        <v>1368312.8861282386</v>
      </c>
      <c r="L16" s="42">
        <f>'Nov 25'!$K16/$K$2</f>
        <v>6.3799770162189066E-3</v>
      </c>
      <c r="M16" s="36"/>
    </row>
    <row r="17" spans="1:15" s="47" customFormat="1" ht="12.75" customHeight="1" x14ac:dyDescent="0.25">
      <c r="A17" s="36" t="s">
        <v>140</v>
      </c>
      <c r="B17" s="36" t="s">
        <v>19</v>
      </c>
      <c r="C17" s="36" t="s">
        <v>20</v>
      </c>
      <c r="D17" s="37">
        <v>1.2E-2</v>
      </c>
      <c r="E17" s="38">
        <f>'Nov 25'!$D17*$C$6*$C$2</f>
        <v>2736629.1470879996</v>
      </c>
      <c r="F17" s="38">
        <v>475.10005427899404</v>
      </c>
      <c r="G17" s="39">
        <f>'Nov 25'!$E17/'Nov 25'!$F17</f>
        <v>5760.1112069773899</v>
      </c>
      <c r="H17" s="36">
        <v>5527</v>
      </c>
      <c r="I17" s="36">
        <f>ROUND(Table13895845679910111213144562678910111213141516171819202134567891011121314151617181920212223345678910111213141516171819[[#This Row],[Target Quantity]],0)</f>
        <v>5760</v>
      </c>
      <c r="J17" s="40">
        <f t="shared" si="0"/>
        <v>233</v>
      </c>
      <c r="K17" s="41">
        <f>'Nov 25'!$F17*'Nov 25'!$I17</f>
        <v>2736576.3126470055</v>
      </c>
      <c r="L17" s="42">
        <f>'Nov 25'!$K17/$K$2</f>
        <v>1.2759723419122057E-2</v>
      </c>
      <c r="M17" s="36"/>
    </row>
    <row r="18" spans="1:15" s="47" customFormat="1" ht="12.75" customHeight="1" x14ac:dyDescent="0.25">
      <c r="A18" s="36" t="s">
        <v>140</v>
      </c>
      <c r="B18" s="36" t="s">
        <v>33</v>
      </c>
      <c r="C18" s="36" t="s">
        <v>34</v>
      </c>
      <c r="D18" s="37">
        <v>6.0000000000000001E-3</v>
      </c>
      <c r="E18" s="38">
        <f>'Nov 25'!$D18*$C$6*$C$2</f>
        <v>1368314.5735439998</v>
      </c>
      <c r="F18" s="38">
        <v>23.909993029072865</v>
      </c>
      <c r="G18" s="39">
        <f>'Nov 25'!$E18/'Nov 25'!$F18</f>
        <v>57227.727832468452</v>
      </c>
      <c r="H18" s="36">
        <v>48774</v>
      </c>
      <c r="I18" s="36">
        <f>ROUND(Table13895845679910111213144562678910111213141516171819202134567891011121314151617181920212223345678910111213141516171819[[#This Row],[Target Quantity]],0)</f>
        <v>57228</v>
      </c>
      <c r="J18" s="40">
        <f t="shared" si="0"/>
        <v>8454</v>
      </c>
      <c r="K18" s="41">
        <f>'Nov 25'!$F18*'Nov 25'!$I18</f>
        <v>1368321.0810677819</v>
      </c>
      <c r="L18" s="42">
        <f>'Nov 25'!$K18/$K$2</f>
        <v>6.3800152264312524E-3</v>
      </c>
      <c r="M18" s="36"/>
    </row>
    <row r="19" spans="1:15" s="47" customFormat="1" ht="12.75" customHeight="1" x14ac:dyDescent="0.25">
      <c r="A19" s="36" t="s">
        <v>140</v>
      </c>
      <c r="B19" s="36" t="s">
        <v>21</v>
      </c>
      <c r="C19" s="36" t="s">
        <v>22</v>
      </c>
      <c r="D19" s="37">
        <v>1.2E-2</v>
      </c>
      <c r="E19" s="38">
        <f>'Nov 25'!$D19*$C$6*$C$2</f>
        <v>2736629.1470879996</v>
      </c>
      <c r="F19" s="38">
        <v>39.370006182471222</v>
      </c>
      <c r="G19" s="39">
        <f>'Nov 25'!$E19/'Nov 25'!$F19</f>
        <v>69510.508441485435</v>
      </c>
      <c r="H19" s="36">
        <v>67934</v>
      </c>
      <c r="I19" s="36">
        <f>ROUND(Table13895845679910111213144562678910111213141516171819202134567891011121314151617181920212223345678910111213141516171819[[#This Row],[Target Quantity]],0)</f>
        <v>69511</v>
      </c>
      <c r="J19" s="40">
        <f t="shared" si="0"/>
        <v>1577</v>
      </c>
      <c r="K19" s="41">
        <f>'Nov 25'!$F19*'Nov 25'!$I19</f>
        <v>2736648.4997497573</v>
      </c>
      <c r="L19" s="42">
        <f>'Nov 25'!$K19/$K$2</f>
        <v>1.2760060002999249E-2</v>
      </c>
      <c r="M19" s="36"/>
    </row>
    <row r="20" spans="1:15" s="47" customFormat="1" ht="12.75" customHeight="1" x14ac:dyDescent="0.25">
      <c r="A20" s="36" t="s">
        <v>140</v>
      </c>
      <c r="B20" s="36" t="s">
        <v>45</v>
      </c>
      <c r="C20" s="36" t="s">
        <v>46</v>
      </c>
      <c r="D20" s="37">
        <v>6.0000000000000001E-3</v>
      </c>
      <c r="E20" s="38">
        <f>'Nov 25'!$D20*$C$6*$C$2</f>
        <v>1368314.5735439998</v>
      </c>
      <c r="F20" s="38">
        <v>70.630003662811987</v>
      </c>
      <c r="G20" s="39">
        <f>'Nov 25'!$E20/'Nov 25'!$F20</f>
        <v>19372.993099028296</v>
      </c>
      <c r="H20" s="36">
        <v>19111</v>
      </c>
      <c r="I20" s="36">
        <f>ROUND(Table13895845679910111213144562678910111213141516171819202134567891011121314151617181920212223345678910111213141516171819[[#This Row],[Target Quantity]],0)</f>
        <v>19373</v>
      </c>
      <c r="J20" s="40">
        <f t="shared" si="0"/>
        <v>262</v>
      </c>
      <c r="K20" s="41">
        <f>'Nov 25'!$F20*'Nov 25'!$I20</f>
        <v>1368315.0609596567</v>
      </c>
      <c r="L20" s="42">
        <f>'Nov 25'!$K20/$K$2</f>
        <v>6.3799871567171811E-3</v>
      </c>
      <c r="M20" s="36"/>
    </row>
    <row r="21" spans="1:15" s="47" customFormat="1" ht="12.75" customHeight="1" x14ac:dyDescent="0.25">
      <c r="A21" s="36" t="s">
        <v>140</v>
      </c>
      <c r="B21" s="36" t="s">
        <v>23</v>
      </c>
      <c r="C21" s="36" t="s">
        <v>24</v>
      </c>
      <c r="D21" s="37">
        <v>1.2E-2</v>
      </c>
      <c r="E21" s="38">
        <f>'Nov 25'!$D21*$C$6*$C$2</f>
        <v>2736629.1470879996</v>
      </c>
      <c r="F21" s="38">
        <v>261.50999701581617</v>
      </c>
      <c r="G21" s="39">
        <f>'Nov 25'!$E21/'Nov 25'!$F21</f>
        <v>10464.720960256398</v>
      </c>
      <c r="H21" s="36">
        <v>10053</v>
      </c>
      <c r="I21" s="36">
        <f>ROUND(Table13895845679910111213144562678910111213141516171819202134567891011121314151617181920212223345678910111213141516171819[[#This Row],[Target Quantity]],0)</f>
        <v>10465</v>
      </c>
      <c r="J21" s="40">
        <f t="shared" si="0"/>
        <v>412</v>
      </c>
      <c r="K21" s="41">
        <f>'Nov 25'!$F21*'Nov 25'!$I21</f>
        <v>2736702.118770516</v>
      </c>
      <c r="L21" s="42">
        <f>'Nov 25'!$K21/$K$2</f>
        <v>1.2760310010233368E-2</v>
      </c>
      <c r="M21" s="36"/>
    </row>
    <row r="22" spans="1:15" s="47" customFormat="1" ht="12.75" customHeight="1" x14ac:dyDescent="0.25">
      <c r="A22" s="36" t="s">
        <v>140</v>
      </c>
      <c r="B22" s="36" t="s">
        <v>47</v>
      </c>
      <c r="C22" s="36" t="s">
        <v>48</v>
      </c>
      <c r="D22" s="37">
        <v>6.0000000000000001E-3</v>
      </c>
      <c r="E22" s="38">
        <f>'Nov 25'!$D22*$C$6*$C$2</f>
        <v>1368314.5735439998</v>
      </c>
      <c r="F22" s="38">
        <v>361.82993377483444</v>
      </c>
      <c r="G22" s="39">
        <f>'Nov 25'!$E22/'Nov 25'!$F22</f>
        <v>3781.6511178853916</v>
      </c>
      <c r="H22" s="36">
        <v>3775</v>
      </c>
      <c r="I22" s="36">
        <f>ROUND(Table13895845679910111213144562678910111213141516171819202134567891011121314151617181920212223345678910111213141516171819[[#This Row],[Target Quantity]],0)</f>
        <v>3782</v>
      </c>
      <c r="J22" s="40">
        <f t="shared" si="0"/>
        <v>7</v>
      </c>
      <c r="K22" s="41">
        <f>'Nov 25'!$F22*'Nov 25'!$I22</f>
        <v>1368440.8095364238</v>
      </c>
      <c r="L22" s="42">
        <f>'Nov 25'!$K22/$K$2</f>
        <v>6.3805734795076259E-3</v>
      </c>
      <c r="M22" s="36"/>
    </row>
    <row r="23" spans="1:15" s="47" customFormat="1" ht="12.75" customHeight="1" x14ac:dyDescent="0.25">
      <c r="A23" s="36" t="s">
        <v>140</v>
      </c>
      <c r="B23" s="36" t="s">
        <v>15</v>
      </c>
      <c r="C23" s="36" t="s">
        <v>16</v>
      </c>
      <c r="D23" s="37">
        <v>6.0000000000000001E-3</v>
      </c>
      <c r="E23" s="38">
        <f>'Nov 25'!$D23*$C$6*$C$2</f>
        <v>1368314.5735439998</v>
      </c>
      <c r="F23" s="38">
        <v>137.26001029336078</v>
      </c>
      <c r="G23" s="39">
        <f>'Nov 25'!$E23/'Nov 25'!$F23</f>
        <v>9968.7780193193285</v>
      </c>
      <c r="H23" s="36">
        <v>9715</v>
      </c>
      <c r="I23" s="36">
        <f>ROUND(Table13895845679910111213144562678910111213141516171819202134567891011121314151617181920212223345678910111213141516171819[[#This Row],[Target Quantity]],0)</f>
        <v>9969</v>
      </c>
      <c r="J23" s="40">
        <f t="shared" si="0"/>
        <v>254</v>
      </c>
      <c r="K23" s="41">
        <f>'Nov 25'!$F23*'Nov 25'!$I23</f>
        <v>1368345.0426145135</v>
      </c>
      <c r="L23" s="42">
        <f>'Nov 25'!$K23/$K$2</f>
        <v>6.3801269509636827E-3</v>
      </c>
      <c r="M23" s="36"/>
    </row>
    <row r="24" spans="1:15" s="47" customFormat="1" ht="12.75" customHeight="1" x14ac:dyDescent="0.25">
      <c r="A24" s="36" t="s">
        <v>140</v>
      </c>
      <c r="B24" s="36" t="s">
        <v>43</v>
      </c>
      <c r="C24" s="36" t="s">
        <v>44</v>
      </c>
      <c r="D24" s="37">
        <v>1.2E-2</v>
      </c>
      <c r="E24" s="38">
        <f>'Nov 25'!$D24*$C$6*$C$2</f>
        <v>2736629.1470879996</v>
      </c>
      <c r="F24" s="38">
        <v>279.86000412967167</v>
      </c>
      <c r="G24" s="39">
        <f>'Nov 25'!$E24/'Nov 25'!$F24</f>
        <v>9778.5646634236346</v>
      </c>
      <c r="H24" s="36">
        <v>9686</v>
      </c>
      <c r="I24" s="36">
        <f>ROUND(Table13895845679910111213144562678910111213141516171819202134567891011121314151617181920212223345678910111213141516171819[[#This Row],[Target Quantity]],0)</f>
        <v>9779</v>
      </c>
      <c r="J24" s="40">
        <f t="shared" si="0"/>
        <v>93</v>
      </c>
      <c r="K24" s="41">
        <f>'Nov 25'!$F24*'Nov 25'!$I24</f>
        <v>2736750.9803840593</v>
      </c>
      <c r="L24" s="42">
        <f>'Nov 25'!$K24/$K$2</f>
        <v>1.2760537835297755E-2</v>
      </c>
      <c r="M24" s="36"/>
    </row>
    <row r="25" spans="1:15" s="47" customFormat="1" ht="12.75" customHeight="1" x14ac:dyDescent="0.25">
      <c r="A25" s="36" t="s">
        <v>140</v>
      </c>
      <c r="B25" s="36" t="s">
        <v>25</v>
      </c>
      <c r="C25" s="36" t="s">
        <v>26</v>
      </c>
      <c r="D25" s="37">
        <v>6.0000000000000001E-3</v>
      </c>
      <c r="E25" s="38">
        <f>'Nov 25'!$D25*$C$6*$C$2</f>
        <v>1368314.5735439998</v>
      </c>
      <c r="F25" s="38">
        <v>81.600012027904739</v>
      </c>
      <c r="G25" s="39">
        <f>'Nov 25'!$E25/'Nov 25'!$F25</f>
        <v>16768.558478595292</v>
      </c>
      <c r="H25" s="36">
        <v>16628</v>
      </c>
      <c r="I25" s="36">
        <f>ROUND(Table13895845679910111213144562678910111213141516171819202134567891011121314151617181920212223345678910111213141516171819[[#This Row],[Target Quantity]],0)</f>
        <v>16769</v>
      </c>
      <c r="J25" s="40">
        <f t="shared" si="0"/>
        <v>141</v>
      </c>
      <c r="K25" s="41">
        <f>'Nov 25'!$F25*'Nov 25'!$I25</f>
        <v>1368350.6016959345</v>
      </c>
      <c r="L25" s="42">
        <f>'Nov 25'!$K25/$K$2</f>
        <v>6.3801528710672331E-3</v>
      </c>
      <c r="M25" s="36"/>
    </row>
    <row r="26" spans="1:15" s="47" customFormat="1" ht="12.75" customHeight="1" x14ac:dyDescent="0.25">
      <c r="A26" s="36" t="s">
        <v>140</v>
      </c>
      <c r="B26" s="47" t="s">
        <v>11</v>
      </c>
      <c r="C26" s="36" t="s">
        <v>12</v>
      </c>
      <c r="D26" s="37">
        <v>1.2E-2</v>
      </c>
      <c r="E26" s="38">
        <f>'Nov 25'!$D26*$C$6*$C$2</f>
        <v>2736629.1470879996</v>
      </c>
      <c r="F26" s="38">
        <v>2.4344490973385446</v>
      </c>
      <c r="G26" s="39">
        <f>'Nov 25'!$E26/'Nov 25'!$F26</f>
        <v>1124126.6658973533</v>
      </c>
      <c r="H26" s="36">
        <v>1074600</v>
      </c>
      <c r="I26" s="36">
        <f>ROUND(Table13895845679910111213144562678910111213141516171819202134567891011121314151617181920212223345678910111213141516171819[[#This Row],[Target Quantity]],-2)</f>
        <v>1124100</v>
      </c>
      <c r="J26" s="40">
        <f t="shared" si="0"/>
        <v>49500</v>
      </c>
      <c r="K26" s="41">
        <f>'Nov 25'!$F26*'Nov 25'!$I26</f>
        <v>2736564.2303182581</v>
      </c>
      <c r="L26" s="42">
        <f>'Nov 25'!$K26/$K$2</f>
        <v>1.2759667083337681E-2</v>
      </c>
      <c r="M26" s="36"/>
    </row>
    <row r="27" spans="1:15" s="47" customFormat="1" ht="12.75" customHeight="1" x14ac:dyDescent="0.25">
      <c r="A27" s="36"/>
      <c r="B27" s="36"/>
      <c r="C27" s="36"/>
      <c r="D27" s="37"/>
      <c r="E27" s="38"/>
      <c r="F27" s="38"/>
      <c r="G27" s="39"/>
      <c r="H27" s="36"/>
      <c r="I27" s="36"/>
      <c r="J27" s="48"/>
      <c r="K27" s="38"/>
      <c r="L27" s="49"/>
      <c r="M27" s="36"/>
    </row>
    <row r="28" spans="1:15" s="56" customFormat="1" ht="12.75" customHeight="1" x14ac:dyDescent="0.25">
      <c r="A28" s="50" t="s">
        <v>149</v>
      </c>
      <c r="B28" s="50"/>
      <c r="C28" s="50"/>
      <c r="D28" s="51">
        <f>SUM(D9:D27)</f>
        <v>0.18000000000000005</v>
      </c>
      <c r="E28" s="52">
        <f>'Nov 25'!$D28*$C$6*$C$2</f>
        <v>41049437.206320003</v>
      </c>
      <c r="F28" s="53"/>
      <c r="G28" s="53"/>
      <c r="H28" s="50"/>
      <c r="I28" s="50"/>
      <c r="J28" s="54"/>
      <c r="K28" s="52">
        <f>SUM(K9:K27)</f>
        <v>41048690.981376305</v>
      </c>
      <c r="L28" s="55">
        <f>'Nov 25'!$K28/$K$2</f>
        <v>0.19139606712912938</v>
      </c>
      <c r="M28" s="50"/>
    </row>
    <row r="29" spans="1:15" s="47" customFormat="1" ht="12.75" customHeight="1" x14ac:dyDescent="0.25">
      <c r="A29" s="36"/>
      <c r="B29" s="36"/>
      <c r="C29" s="36"/>
      <c r="D29" s="37"/>
      <c r="E29" s="38"/>
      <c r="F29" s="38"/>
      <c r="G29" s="39"/>
      <c r="H29" s="36"/>
      <c r="I29" s="36"/>
      <c r="J29" s="48"/>
      <c r="K29" s="38"/>
      <c r="L29" s="42"/>
      <c r="M29" s="36"/>
    </row>
    <row r="30" spans="1:15" s="46" customFormat="1" ht="12.75" customHeight="1" x14ac:dyDescent="0.25">
      <c r="A30" s="57"/>
      <c r="B30" s="50" t="s">
        <v>35</v>
      </c>
      <c r="C30" s="57" t="s">
        <v>36</v>
      </c>
      <c r="D30" s="58">
        <v>0.02</v>
      </c>
      <c r="E30" s="59">
        <f>'Nov 25'!$D30*$C$6*$C$2</f>
        <v>4561048.5784799997</v>
      </c>
      <c r="F30" s="53">
        <v>17.270000039660978</v>
      </c>
      <c r="G30" s="60">
        <f>'Nov 25'!$E30/'Nov 25'!$F30</f>
        <v>264102.40694878052</v>
      </c>
      <c r="H30" s="57">
        <v>252137</v>
      </c>
      <c r="I30" s="57">
        <f>ROUND(Table13895845679910111213144562678910111213141516171819202134567891011121314151617181920212223345678910111213141516171819[[#This Row],[Target Quantity]],0)</f>
        <v>264102</v>
      </c>
      <c r="J30" s="61">
        <f>I30-H30</f>
        <v>11965</v>
      </c>
      <c r="K30" s="62">
        <f>'Nov 25'!$F30*'Nov 25'!$I30</f>
        <v>4561041.5504745441</v>
      </c>
      <c r="L30" s="55">
        <f>'Nov 25'!$K30/$K$2</f>
        <v>2.1266583511017113E-2</v>
      </c>
      <c r="M30" s="50"/>
      <c r="O30" s="44"/>
    </row>
    <row r="31" spans="1:15" s="46" customFormat="1" ht="12.75" customHeight="1" x14ac:dyDescent="0.25">
      <c r="A31" s="36"/>
      <c r="B31" s="36"/>
      <c r="C31" s="36"/>
      <c r="D31" s="37"/>
      <c r="E31" s="38"/>
      <c r="F31" s="38"/>
      <c r="G31" s="39"/>
      <c r="H31" s="36"/>
      <c r="I31" s="36"/>
      <c r="J31" s="48"/>
      <c r="K31" s="41"/>
      <c r="L31" s="42"/>
      <c r="M31" s="36"/>
      <c r="O31" s="44"/>
    </row>
    <row r="32" spans="1:15" s="4" customFormat="1" ht="25.5" x14ac:dyDescent="0.2">
      <c r="A32" s="36" t="s">
        <v>150</v>
      </c>
      <c r="B32" s="63" t="s">
        <v>178</v>
      </c>
      <c r="C32" s="64" t="s">
        <v>99</v>
      </c>
      <c r="D32" s="37">
        <v>2.9000000000000001E-2</v>
      </c>
      <c r="E32" s="38">
        <f>'Nov 25'!$D32*$C$6*$C$2</f>
        <v>6613520.4387960006</v>
      </c>
      <c r="F32" s="38">
        <v>156671.875</v>
      </c>
      <c r="G32" s="39">
        <f>'Nov 25'!$E32/'Nov 25'!$F32</f>
        <v>42.212556904651841</v>
      </c>
      <c r="H32" s="36">
        <v>40</v>
      </c>
      <c r="I32" s="36">
        <f>ROUND(Table13895845679910111213144562678910111213141516171819202134567891011121314151617181920212223345678910111213141516171819[[#This Row],[Target Quantity]],0)</f>
        <v>42</v>
      </c>
      <c r="J32" s="40">
        <f t="shared" ref="J32:J41" si="1">I32-H32</f>
        <v>2</v>
      </c>
      <c r="K32" s="41">
        <f>'Nov 25'!$F32*'Nov 25'!$I32</f>
        <v>6580218.75</v>
      </c>
      <c r="L32" s="42">
        <f>'Nov 25'!$K32/$K$2</f>
        <v>3.0681319172169347E-2</v>
      </c>
      <c r="M32" s="65"/>
    </row>
    <row r="33" spans="1:15" s="4" customFormat="1" ht="25.5" x14ac:dyDescent="0.2">
      <c r="A33" s="36" t="s">
        <v>150</v>
      </c>
      <c r="B33" s="63" t="s">
        <v>179</v>
      </c>
      <c r="C33" s="64" t="s">
        <v>103</v>
      </c>
      <c r="D33" s="37">
        <v>2.9000000000000001E-2</v>
      </c>
      <c r="E33" s="38">
        <f>'Nov 25'!$D33*$C$6*$C$2</f>
        <v>6613520.4387960006</v>
      </c>
      <c r="F33" s="38">
        <v>215026.55172413794</v>
      </c>
      <c r="G33" s="39">
        <f>'Nov 25'!$E33/'Nov 25'!$F33</f>
        <v>30.75676183135106</v>
      </c>
      <c r="H33" s="36">
        <v>29</v>
      </c>
      <c r="I33" s="36">
        <f>ROUND(Table13895845679910111213144562678910111213141516171819202134567891011121314151617181920212223345678910111213141516171819[[#This Row],[Target Quantity]],0)</f>
        <v>31</v>
      </c>
      <c r="J33" s="40">
        <f t="shared" si="1"/>
        <v>2</v>
      </c>
      <c r="K33" s="41">
        <f>'Nov 25'!$F33*'Nov 25'!$I33</f>
        <v>6665823.1034482764</v>
      </c>
      <c r="L33" s="42">
        <f>'Nov 25'!$K33/$K$2</f>
        <v>3.1080463120183806E-2</v>
      </c>
      <c r="M33" s="65"/>
    </row>
    <row r="34" spans="1:15" s="4" customFormat="1" ht="25.5" x14ac:dyDescent="0.2">
      <c r="A34" s="36" t="s">
        <v>150</v>
      </c>
      <c r="B34" s="63" t="s">
        <v>180</v>
      </c>
      <c r="C34" s="64" t="s">
        <v>105</v>
      </c>
      <c r="D34" s="37">
        <v>2.9000000000000001E-2</v>
      </c>
      <c r="E34" s="38">
        <f>'Nov 25'!$D34*$C$6*$C$2</f>
        <v>6613520.4387960006</v>
      </c>
      <c r="F34" s="38">
        <v>174273.43243243243</v>
      </c>
      <c r="G34" s="39">
        <f>'Nov 25'!$E34/'Nov 25'!$F34</f>
        <v>37.949103007196058</v>
      </c>
      <c r="H34" s="36">
        <v>37</v>
      </c>
      <c r="I34" s="36">
        <f>ROUND(Table13895845679910111213144562678910111213141516171819202134567891011121314151617181920212223345678910111213141516171819[[#This Row],[Target Quantity]],0)</f>
        <v>38</v>
      </c>
      <c r="J34" s="40">
        <f t="shared" si="1"/>
        <v>1</v>
      </c>
      <c r="K34" s="41">
        <f>'Nov 25'!$F34*'Nov 25'!$I34</f>
        <v>6622390.4324324317</v>
      </c>
      <c r="L34" s="42">
        <f>'Nov 25'!$K34/$K$2</f>
        <v>3.0877951366005883E-2</v>
      </c>
      <c r="M34" s="65"/>
    </row>
    <row r="35" spans="1:15" s="4" customFormat="1" ht="25.5" x14ac:dyDescent="0.2">
      <c r="A35" s="36" t="s">
        <v>150</v>
      </c>
      <c r="B35" s="63" t="s">
        <v>181</v>
      </c>
      <c r="C35" s="64" t="s">
        <v>107</v>
      </c>
      <c r="D35" s="37">
        <v>2.9000000000000001E-2</v>
      </c>
      <c r="E35" s="38">
        <f>'Nov 25'!$D35*$C$6*$C$2</f>
        <v>6613520.4387960006</v>
      </c>
      <c r="F35" s="38">
        <v>125889.35294117648</v>
      </c>
      <c r="G35" s="39">
        <f>'Nov 25'!$E35/'Nov 25'!$F35</f>
        <v>52.534390592080165</v>
      </c>
      <c r="H35" s="36">
        <v>51</v>
      </c>
      <c r="I35" s="36">
        <f>ROUND(Table13895845679910111213144562678910111213141516171819202134567891011121314151617181920212223345678910111213141516171819[[#This Row],[Target Quantity]],0)</f>
        <v>53</v>
      </c>
      <c r="J35" s="40">
        <f t="shared" si="1"/>
        <v>2</v>
      </c>
      <c r="K35" s="41">
        <f>'Nov 25'!$F35*'Nov 25'!$I35</f>
        <v>6672135.7058823528</v>
      </c>
      <c r="L35" s="42">
        <f>'Nov 25'!$K35/$K$2</f>
        <v>3.110989663561016E-2</v>
      </c>
      <c r="M35" s="65"/>
    </row>
    <row r="36" spans="1:15" s="4" customFormat="1" ht="25.5" x14ac:dyDescent="0.2">
      <c r="A36" s="36" t="s">
        <v>150</v>
      </c>
      <c r="B36" s="63" t="s">
        <v>182</v>
      </c>
      <c r="C36" s="64" t="s">
        <v>109</v>
      </c>
      <c r="D36" s="37">
        <v>2.9000000000000001E-2</v>
      </c>
      <c r="E36" s="38">
        <f>'Nov 25'!$D36*$C$6*$C$2</f>
        <v>6613520.4387960006</v>
      </c>
      <c r="F36" s="38">
        <v>137914.17391304349</v>
      </c>
      <c r="G36" s="39">
        <f>'Nov 25'!$E36/'Nov 25'!$F36</f>
        <v>47.953885022477117</v>
      </c>
      <c r="H36" s="36">
        <v>46</v>
      </c>
      <c r="I36" s="36">
        <f>ROUND(Table13895845679910111213144562678910111213141516171819202134567891011121314151617181920212223345678910111213141516171819[[#This Row],[Target Quantity]],0)</f>
        <v>48</v>
      </c>
      <c r="J36" s="40">
        <f t="shared" si="1"/>
        <v>2</v>
      </c>
      <c r="K36" s="41">
        <f>'Nov 25'!$F36*'Nov 25'!$I36</f>
        <v>6619880.3478260878</v>
      </c>
      <c r="L36" s="42">
        <f>'Nov 25'!$K36/$K$2</f>
        <v>3.0866247696282687E-2</v>
      </c>
      <c r="M36" s="65"/>
    </row>
    <row r="37" spans="1:15" s="4" customFormat="1" ht="25.5" x14ac:dyDescent="0.2">
      <c r="A37" s="36" t="s">
        <v>150</v>
      </c>
      <c r="B37" s="63" t="s">
        <v>184</v>
      </c>
      <c r="C37" s="64" t="s">
        <v>115</v>
      </c>
      <c r="D37" s="37">
        <v>2.9000000000000001E-2</v>
      </c>
      <c r="E37" s="38">
        <f>'Nov 25'!$D37*$C$6*$C$2</f>
        <v>6613520.4387960006</v>
      </c>
      <c r="F37" s="38">
        <v>220767.68965517241</v>
      </c>
      <c r="G37" s="39">
        <f>'Nov 25'!$E37/'Nov 25'!$F37</f>
        <v>29.956921907938494</v>
      </c>
      <c r="H37" s="36">
        <v>29</v>
      </c>
      <c r="I37" s="36">
        <f>ROUND(Table13895845679910111213144562678910111213141516171819202134567891011121314151617181920212223345678910111213141516171819[[#This Row],[Target Quantity]],0)</f>
        <v>30</v>
      </c>
      <c r="J37" s="40">
        <f t="shared" si="1"/>
        <v>1</v>
      </c>
      <c r="K37" s="41">
        <f>'Nov 25'!$F37*'Nov 25'!$I37</f>
        <v>6623030.6896551717</v>
      </c>
      <c r="L37" s="42">
        <f>'Nov 25'!$K37/$K$2</f>
        <v>3.0880936667399272E-2</v>
      </c>
      <c r="M37" s="65"/>
    </row>
    <row r="38" spans="1:15" s="46" customFormat="1" ht="25.5" customHeight="1" x14ac:dyDescent="0.2">
      <c r="A38" s="36" t="s">
        <v>151</v>
      </c>
      <c r="B38" s="36" t="s">
        <v>62</v>
      </c>
      <c r="C38" s="36" t="s">
        <v>63</v>
      </c>
      <c r="D38" s="37">
        <v>2.9000000000000001E-2</v>
      </c>
      <c r="E38" s="38">
        <f>'Nov 25'!$D38*$C$6*$C$2</f>
        <v>6613520.4387960006</v>
      </c>
      <c r="F38" s="38">
        <v>114219.53571428571</v>
      </c>
      <c r="G38" s="39">
        <f>'Nov 25'!$E38/'Nov 25'!$F38</f>
        <v>57.90183261941619</v>
      </c>
      <c r="H38" s="36">
        <v>56</v>
      </c>
      <c r="I38" s="36">
        <f>ROUND(Table13895845679910111213144562678910111213141516171819202134567891011121314151617181920212223345678910111213141516171819[[#This Row],[Target Quantity]],0)</f>
        <v>58</v>
      </c>
      <c r="J38" s="40">
        <f t="shared" si="1"/>
        <v>2</v>
      </c>
      <c r="K38" s="41">
        <f>'Nov 25'!$F38*'Nov 25'!$I38</f>
        <v>6624733.0714285709</v>
      </c>
      <c r="L38" s="42">
        <f>'Nov 25'!$K38/$K$2</f>
        <v>3.088887429387142E-2</v>
      </c>
      <c r="M38" s="43"/>
      <c r="O38" s="4"/>
    </row>
    <row r="39" spans="1:15" s="46" customFormat="1" ht="25.5" x14ac:dyDescent="0.2">
      <c r="A39" s="36" t="s">
        <v>151</v>
      </c>
      <c r="B39" s="36" t="s">
        <v>60</v>
      </c>
      <c r="C39" s="36" t="s">
        <v>61</v>
      </c>
      <c r="D39" s="37">
        <v>2.9000000000000001E-2</v>
      </c>
      <c r="E39" s="38">
        <f>'Nov 25'!$D39*$C$6*$C$2</f>
        <v>6613520.4387960006</v>
      </c>
      <c r="F39" s="38">
        <v>135672.89361702127</v>
      </c>
      <c r="G39" s="39">
        <f>'Nov 25'!$E39/'Nov 25'!$F39</f>
        <v>48.746070511805463</v>
      </c>
      <c r="H39" s="36">
        <v>47</v>
      </c>
      <c r="I39" s="36">
        <f>ROUND(Table13895845679910111213144562678910111213141516171819202134567891011121314151617181920212223345678910111213141516171819[[#This Row],[Target Quantity]],0)</f>
        <v>49</v>
      </c>
      <c r="J39" s="40">
        <f t="shared" si="1"/>
        <v>2</v>
      </c>
      <c r="K39" s="41">
        <f>'Nov 25'!$F39*'Nov 25'!$I39</f>
        <v>6647971.7872340418</v>
      </c>
      <c r="L39" s="42">
        <f>'Nov 25'!$K39/$K$2</f>
        <v>3.0997228511849204E-2</v>
      </c>
      <c r="M39" s="43"/>
      <c r="O39" s="4"/>
    </row>
    <row r="40" spans="1:15" s="46" customFormat="1" ht="25.5" x14ac:dyDescent="0.2">
      <c r="A40" s="36" t="s">
        <v>151</v>
      </c>
      <c r="B40" s="36" t="s">
        <v>56</v>
      </c>
      <c r="C40" s="36" t="s">
        <v>57</v>
      </c>
      <c r="D40" s="37">
        <v>2.9000000000000001E-2</v>
      </c>
      <c r="E40" s="38">
        <f>'Nov 25'!$D40*$C$6*$C$2</f>
        <v>6613520.4387960006</v>
      </c>
      <c r="F40" s="38">
        <v>180223.61111111112</v>
      </c>
      <c r="G40" s="39">
        <f>'Nov 25'!$E40/'Nov 25'!$F40</f>
        <v>36.696193123766925</v>
      </c>
      <c r="H40" s="36">
        <v>36</v>
      </c>
      <c r="I40" s="36">
        <f>ROUND(Table13895845679910111213144562678910111213141516171819202134567891011121314151617181920212223345678910111213141516171819[[#This Row],[Target Quantity]],0)</f>
        <v>37</v>
      </c>
      <c r="J40" s="40">
        <f t="shared" si="1"/>
        <v>1</v>
      </c>
      <c r="K40" s="41">
        <f>'Nov 25'!$F40*'Nov 25'!$I40</f>
        <v>6668273.6111111119</v>
      </c>
      <c r="L40" s="42">
        <f>'Nov 25'!$K40/$K$2</f>
        <v>3.1091889002908039E-2</v>
      </c>
      <c r="M40" s="43"/>
      <c r="O40" s="4"/>
    </row>
    <row r="41" spans="1:15" s="46" customFormat="1" ht="25.5" x14ac:dyDescent="0.2">
      <c r="A41" s="36" t="s">
        <v>151</v>
      </c>
      <c r="B41" s="36" t="s">
        <v>66</v>
      </c>
      <c r="C41" s="36" t="s">
        <v>67</v>
      </c>
      <c r="D41" s="37">
        <v>2.9000000000000001E-2</v>
      </c>
      <c r="E41" s="38">
        <f>'Nov 25'!$D41*$C$6*$C$2</f>
        <v>6613520.4387960006</v>
      </c>
      <c r="F41" s="38">
        <v>269190</v>
      </c>
      <c r="G41" s="39">
        <f>'Nov 25'!$E41/'Nov 25'!$F41</f>
        <v>24.568224818143321</v>
      </c>
      <c r="H41" s="36">
        <v>24</v>
      </c>
      <c r="I41" s="36">
        <f>ROUND(Table13895845679910111213144562678910111213141516171819202134567891011121314151617181920212223345678910111213141516171819[[#This Row],[Target Quantity]],0)</f>
        <v>25</v>
      </c>
      <c r="J41" s="40">
        <f t="shared" si="1"/>
        <v>1</v>
      </c>
      <c r="K41" s="41">
        <f>'Nov 25'!$F41*'Nov 25'!$I41</f>
        <v>6729750</v>
      </c>
      <c r="L41" s="42">
        <f>'Nov 25'!$K41/$K$2</f>
        <v>3.1378532468834208E-2</v>
      </c>
      <c r="M41" s="43"/>
      <c r="O41" s="4"/>
    </row>
    <row r="42" spans="1:15" s="67" customFormat="1" ht="12.75" x14ac:dyDescent="0.2">
      <c r="A42" s="36"/>
      <c r="B42" s="64"/>
      <c r="C42" s="64"/>
      <c r="D42" s="37"/>
      <c r="E42" s="66"/>
      <c r="F42" s="38"/>
      <c r="G42" s="39"/>
      <c r="H42" s="36"/>
      <c r="I42" s="36"/>
      <c r="J42" s="48"/>
      <c r="K42" s="38"/>
      <c r="L42" s="49"/>
      <c r="M42" s="65"/>
    </row>
    <row r="43" spans="1:15" s="17" customFormat="1" ht="12.75" x14ac:dyDescent="0.2">
      <c r="A43" s="50" t="s">
        <v>153</v>
      </c>
      <c r="B43" s="68"/>
      <c r="C43" s="68"/>
      <c r="D43" s="58">
        <f>SUBTOTAL(9,D32:D42)</f>
        <v>0.29000000000000004</v>
      </c>
      <c r="E43" s="69">
        <f>'Nov 25'!$D43*$C$6*$C$2</f>
        <v>66135204.387960002</v>
      </c>
      <c r="F43" s="70"/>
      <c r="G43" s="71"/>
      <c r="H43" s="57"/>
      <c r="I43" s="57"/>
      <c r="J43" s="61"/>
      <c r="K43" s="69">
        <f>SUM(K32:K42)</f>
        <v>66454207.499018036</v>
      </c>
      <c r="L43" s="72">
        <f>'Nov 25'!$K43/$K$2</f>
        <v>0.30985333893511396</v>
      </c>
      <c r="M43" s="73"/>
    </row>
    <row r="44" spans="1:15" s="67" customFormat="1" ht="12.75" x14ac:dyDescent="0.2">
      <c r="A44" s="36"/>
      <c r="B44" s="64"/>
      <c r="C44" s="64"/>
      <c r="D44" s="37"/>
      <c r="E44" s="66"/>
      <c r="F44" s="38"/>
      <c r="G44" s="39"/>
      <c r="H44" s="36"/>
      <c r="I44" s="36"/>
      <c r="J44" s="48"/>
      <c r="K44" s="38"/>
      <c r="L44" s="42"/>
      <c r="M44" s="65"/>
    </row>
    <row r="45" spans="1:15" s="4" customFormat="1" ht="24.75" customHeight="1" x14ac:dyDescent="0.2">
      <c r="A45" s="36" t="s">
        <v>150</v>
      </c>
      <c r="B45" s="64" t="s">
        <v>110</v>
      </c>
      <c r="C45" s="64" t="s">
        <v>111</v>
      </c>
      <c r="D45" s="37">
        <v>0.1</v>
      </c>
      <c r="E45" s="38">
        <f>'Nov 25'!$D45*$C$6*$C$2</f>
        <v>22805242.892399997</v>
      </c>
      <c r="F45" s="38">
        <v>416339.125</v>
      </c>
      <c r="G45" s="39">
        <f>'Nov 25'!$E45/'Nov 25'!$F45</f>
        <v>54.775642073994362</v>
      </c>
      <c r="H45" s="36">
        <v>48</v>
      </c>
      <c r="I45" s="36">
        <v>48</v>
      </c>
      <c r="J45" s="40">
        <f>I45-H45</f>
        <v>0</v>
      </c>
      <c r="K45" s="41">
        <f>'Nov 25'!$F45*'Nov 25'!$I45</f>
        <v>19984278</v>
      </c>
      <c r="L45" s="42">
        <f>'Nov 25'!$K45/$K$2</f>
        <v>9.3179882772645231E-2</v>
      </c>
      <c r="M45" s="65"/>
    </row>
    <row r="46" spans="1:15" s="46" customFormat="1" ht="25.5" x14ac:dyDescent="0.25">
      <c r="A46" s="36" t="s">
        <v>151</v>
      </c>
      <c r="B46" s="36" t="s">
        <v>68</v>
      </c>
      <c r="C46" s="36" t="s">
        <v>69</v>
      </c>
      <c r="D46" s="37">
        <v>0.1</v>
      </c>
      <c r="E46" s="38">
        <f>'Nov 25'!$D46*$C$6*$C$2</f>
        <v>22805242.892399997</v>
      </c>
      <c r="F46" s="38">
        <v>249371.76250000001</v>
      </c>
      <c r="G46" s="39">
        <f>'Nov 25'!$E46/'Nov 25'!$F46</f>
        <v>91.450782814273111</v>
      </c>
      <c r="H46" s="36">
        <v>80</v>
      </c>
      <c r="I46" s="36">
        <v>80</v>
      </c>
      <c r="J46" s="40">
        <f>I46-H46</f>
        <v>0</v>
      </c>
      <c r="K46" s="41">
        <f>'Nov 25'!$F46*'Nov 25'!$I46</f>
        <v>19949741</v>
      </c>
      <c r="L46" s="42">
        <f>'Nov 25'!$K46/$K$2</f>
        <v>9.3018848503039944E-2</v>
      </c>
      <c r="M46" s="43"/>
    </row>
    <row r="47" spans="1:15" s="46" customFormat="1" ht="25.5" x14ac:dyDescent="0.25">
      <c r="A47" s="36" t="s">
        <v>151</v>
      </c>
      <c r="B47" s="36" t="s">
        <v>92</v>
      </c>
      <c r="C47" s="36" t="s">
        <v>93</v>
      </c>
      <c r="D47" s="37">
        <v>0.1</v>
      </c>
      <c r="E47" s="38">
        <f>'Nov 25'!$D47*$C$6*$C$2</f>
        <v>22805242.892399997</v>
      </c>
      <c r="F47" s="38">
        <v>416345.8125</v>
      </c>
      <c r="G47" s="39">
        <f>'Nov 25'!$E47/'Nov 25'!$F47</f>
        <v>54.774762247428626</v>
      </c>
      <c r="H47" s="36">
        <v>48</v>
      </c>
      <c r="I47" s="36">
        <v>48</v>
      </c>
      <c r="J47" s="40">
        <f>I47-H47</f>
        <v>0</v>
      </c>
      <c r="K47" s="41">
        <f>'Nov 25'!$F47*'Nov 25'!$I47</f>
        <v>19984599</v>
      </c>
      <c r="L47" s="42">
        <f>'Nov 25'!$K47/$K$2</f>
        <v>9.318137948633036E-2</v>
      </c>
      <c r="M47" s="43"/>
    </row>
    <row r="48" spans="1:15" s="46" customFormat="1" ht="25.5" x14ac:dyDescent="0.25">
      <c r="A48" s="36" t="s">
        <v>151</v>
      </c>
      <c r="B48" s="36" t="s">
        <v>95</v>
      </c>
      <c r="C48" s="36" t="s">
        <v>96</v>
      </c>
      <c r="D48" s="37">
        <v>0.1</v>
      </c>
      <c r="E48" s="38">
        <f>'Nov 25'!$D48*$C$6*$C$2</f>
        <v>22805242.892399997</v>
      </c>
      <c r="F48" s="38">
        <v>249790.875</v>
      </c>
      <c r="G48" s="39">
        <f>'Nov 25'!$E48/'Nov 25'!$F48</f>
        <v>91.297341796012347</v>
      </c>
      <c r="H48" s="36">
        <v>80</v>
      </c>
      <c r="I48" s="36">
        <v>80</v>
      </c>
      <c r="J48" s="40">
        <f>I48-H48</f>
        <v>0</v>
      </c>
      <c r="K48" s="41">
        <f>'Nov 25'!$F48*'Nov 25'!$I48</f>
        <v>19983270</v>
      </c>
      <c r="L48" s="42">
        <f>'Nov 25'!$K48/$K$2</f>
        <v>9.317518281191435E-2</v>
      </c>
      <c r="M48" s="43"/>
    </row>
    <row r="49" spans="1:16" s="46" customFormat="1" ht="25.5" x14ac:dyDescent="0.25">
      <c r="A49" s="36" t="s">
        <v>151</v>
      </c>
      <c r="B49" s="36" t="s">
        <v>77</v>
      </c>
      <c r="C49" s="36" t="s">
        <v>78</v>
      </c>
      <c r="D49" s="37">
        <v>0.1</v>
      </c>
      <c r="E49" s="38">
        <f>'Nov 25'!$D49*$C$6*$C$2</f>
        <v>22805242.892399997</v>
      </c>
      <c r="F49" s="38">
        <v>166897.82786885247</v>
      </c>
      <c r="G49" s="39">
        <f>'Nov 25'!$E49/'Nov 25'!$F49</f>
        <v>136.6419394644264</v>
      </c>
      <c r="H49" s="36">
        <v>122</v>
      </c>
      <c r="I49" s="36">
        <v>122</v>
      </c>
      <c r="J49" s="40">
        <f>I49-H49</f>
        <v>0</v>
      </c>
      <c r="K49" s="41">
        <f>'Nov 25'!$F49*'Nov 25'!$I49</f>
        <v>20361535</v>
      </c>
      <c r="L49" s="42">
        <f>'Nov 25'!$K49/$K$2</f>
        <v>9.4938903690746937E-2</v>
      </c>
      <c r="M49" s="43"/>
    </row>
    <row r="50" spans="1:16" s="47" customFormat="1" ht="12.75" x14ac:dyDescent="0.25">
      <c r="A50" s="36"/>
      <c r="B50" s="36"/>
      <c r="C50" s="36"/>
      <c r="D50" s="37"/>
      <c r="E50" s="38"/>
      <c r="F50" s="38"/>
      <c r="G50" s="39"/>
      <c r="H50" s="36"/>
      <c r="I50" s="36"/>
      <c r="J50" s="48"/>
      <c r="K50" s="38"/>
      <c r="L50" s="42"/>
      <c r="M50" s="36"/>
    </row>
    <row r="51" spans="1:16" s="56" customFormat="1" ht="25.5" x14ac:dyDescent="0.25">
      <c r="A51" s="50" t="s">
        <v>154</v>
      </c>
      <c r="B51" s="50"/>
      <c r="C51" s="50"/>
      <c r="D51" s="58">
        <f>SUBTOTAL(9,D45:D50)</f>
        <v>0.5</v>
      </c>
      <c r="E51" s="52">
        <f>'Nov 25'!$D51*$C$6*$C$2</f>
        <v>114026214.462</v>
      </c>
      <c r="F51" s="71"/>
      <c r="G51" s="71"/>
      <c r="H51" s="57"/>
      <c r="I51" s="57"/>
      <c r="J51" s="61"/>
      <c r="K51" s="52">
        <f>SUM(K45:K50)</f>
        <v>100263423</v>
      </c>
      <c r="L51" s="74">
        <f>'Nov 25'!$K51/$K$2</f>
        <v>0.46749419726467684</v>
      </c>
      <c r="M51" s="50"/>
    </row>
    <row r="52" spans="1:16" s="47" customFormat="1" ht="12.75" x14ac:dyDescent="0.25">
      <c r="A52" s="36"/>
      <c r="B52" s="36"/>
      <c r="C52" s="36"/>
      <c r="D52" s="37"/>
      <c r="E52" s="38"/>
      <c r="F52" s="38"/>
      <c r="G52" s="39"/>
      <c r="H52" s="36"/>
      <c r="I52" s="36"/>
      <c r="J52" s="48"/>
      <c r="K52" s="38"/>
      <c r="L52" s="42"/>
      <c r="M52" s="36"/>
    </row>
    <row r="53" spans="1:16" s="46" customFormat="1" ht="12.75" x14ac:dyDescent="0.25">
      <c r="A53" s="36"/>
      <c r="B53" s="36"/>
      <c r="C53" s="36"/>
      <c r="D53" s="37"/>
      <c r="E53" s="38"/>
      <c r="F53" s="38"/>
      <c r="G53" s="75"/>
      <c r="H53" s="36"/>
      <c r="I53" s="36"/>
      <c r="J53" s="40"/>
      <c r="K53" s="41"/>
      <c r="L53" s="42"/>
      <c r="M53" s="43"/>
    </row>
    <row r="54" spans="1:16" s="46" customFormat="1" ht="25.5" x14ac:dyDescent="0.25">
      <c r="A54" s="36" t="s">
        <v>155</v>
      </c>
      <c r="B54" s="36" t="s">
        <v>53</v>
      </c>
      <c r="C54" s="36" t="s">
        <v>54</v>
      </c>
      <c r="D54" s="37">
        <v>1E-3</v>
      </c>
      <c r="E54" s="38">
        <f>'Nov 25'!$D54*$C$6*$C$2</f>
        <v>228052.42892400001</v>
      </c>
      <c r="F54" s="38">
        <v>49516.25</v>
      </c>
      <c r="G54" s="75">
        <f>'Nov 25'!$E54/'Nov 25'!$F54</f>
        <v>4.6056078342766265</v>
      </c>
      <c r="H54" s="36">
        <v>4</v>
      </c>
      <c r="I54" s="36">
        <v>4</v>
      </c>
      <c r="J54" s="40">
        <f t="shared" ref="J54:J63" si="2">I54-H54</f>
        <v>0</v>
      </c>
      <c r="K54" s="41">
        <f>'Nov 25'!$F54*'Nov 25'!$I54</f>
        <v>198065</v>
      </c>
      <c r="L54" s="42">
        <f>'Nov 25'!$K54/$K$2</f>
        <v>9.2350964500013347E-4</v>
      </c>
      <c r="M54" s="43"/>
    </row>
    <row r="55" spans="1:16" s="46" customFormat="1" ht="25.5" x14ac:dyDescent="0.25">
      <c r="A55" s="36" t="s">
        <v>155</v>
      </c>
      <c r="B55" s="36" t="s">
        <v>177</v>
      </c>
      <c r="C55" s="36" t="s">
        <v>72</v>
      </c>
      <c r="D55" s="37">
        <v>1E-3</v>
      </c>
      <c r="E55" s="38">
        <f>'Nov 25'!$D55*$C$6*$C$2</f>
        <v>228052.42892400001</v>
      </c>
      <c r="F55" s="38">
        <v>82467.333333333328</v>
      </c>
      <c r="G55" s="75">
        <f>'Nov 25'!$E55/'Nov 25'!$F55</f>
        <v>2.7653668392818167</v>
      </c>
      <c r="H55" s="36">
        <v>3</v>
      </c>
      <c r="I55" s="36">
        <v>3</v>
      </c>
      <c r="J55" s="40">
        <f t="shared" si="2"/>
        <v>0</v>
      </c>
      <c r="K55" s="41">
        <f>'Nov 25'!$F55*'Nov 25'!$I55</f>
        <v>247402</v>
      </c>
      <c r="L55" s="42">
        <f>'Nov 25'!$K55/$K$2</f>
        <v>1.1535512745428169E-3</v>
      </c>
      <c r="M55" s="43"/>
      <c r="P55" s="46" t="s">
        <v>159</v>
      </c>
    </row>
    <row r="56" spans="1:16" s="46" customFormat="1" ht="25.5" x14ac:dyDescent="0.25">
      <c r="A56" s="36" t="s">
        <v>155</v>
      </c>
      <c r="B56" s="36" t="s">
        <v>83</v>
      </c>
      <c r="C56" s="36" t="s">
        <v>84</v>
      </c>
      <c r="D56" s="37">
        <v>1E-3</v>
      </c>
      <c r="E56" s="38">
        <f>'Nov 25'!$D56*$C$6*$C$2</f>
        <v>228052.42892400001</v>
      </c>
      <c r="F56" s="38">
        <v>96488</v>
      </c>
      <c r="G56" s="75">
        <f>'Nov 25'!$E56/'Nov 25'!$F56</f>
        <v>2.363531516084902</v>
      </c>
      <c r="H56" s="36">
        <v>2</v>
      </c>
      <c r="I56" s="36">
        <v>2</v>
      </c>
      <c r="J56" s="40">
        <f t="shared" si="2"/>
        <v>0</v>
      </c>
      <c r="K56" s="41">
        <f>'Nov 25'!$F56*'Nov 25'!$I56</f>
        <v>192976</v>
      </c>
      <c r="L56" s="42">
        <f>'Nov 25'!$K56/$K$2</f>
        <v>8.9978137103246788E-4</v>
      </c>
      <c r="M56" s="43"/>
    </row>
    <row r="57" spans="1:16" s="46" customFormat="1" ht="25.5" x14ac:dyDescent="0.25">
      <c r="A57" s="36" t="s">
        <v>155</v>
      </c>
      <c r="B57" s="36" t="s">
        <v>85</v>
      </c>
      <c r="C57" s="36" t="s">
        <v>86</v>
      </c>
      <c r="D57" s="37">
        <v>1E-3</v>
      </c>
      <c r="E57" s="38">
        <f>'Nov 25'!$D57*$C$6*$C$2</f>
        <v>228052.42892400001</v>
      </c>
      <c r="F57" s="38">
        <v>235493</v>
      </c>
      <c r="G57" s="75">
        <f>'Nov 25'!$E57/'Nov 25'!$F57</f>
        <v>0.96840427920999783</v>
      </c>
      <c r="H57" s="36">
        <v>1</v>
      </c>
      <c r="I57" s="36">
        <v>1</v>
      </c>
      <c r="J57" s="40">
        <f t="shared" si="2"/>
        <v>0</v>
      </c>
      <c r="K57" s="41">
        <f>'Nov 25'!$F57*'Nov 25'!$I57</f>
        <v>235493</v>
      </c>
      <c r="L57" s="42">
        <f>'Nov 25'!$K57/$K$2</f>
        <v>1.0980236630904825E-3</v>
      </c>
      <c r="M57" s="43"/>
    </row>
    <row r="58" spans="1:16" s="46" customFormat="1" ht="25.5" x14ac:dyDescent="0.25">
      <c r="A58" s="36" t="s">
        <v>155</v>
      </c>
      <c r="B58" s="36" t="s">
        <v>87</v>
      </c>
      <c r="C58" s="36" t="s">
        <v>88</v>
      </c>
      <c r="D58" s="37">
        <v>1E-3</v>
      </c>
      <c r="E58" s="38">
        <f>'Nov 25'!$D58*$C$6*$C$2</f>
        <v>228052.42892400001</v>
      </c>
      <c r="F58" s="38">
        <v>12519.888888888889</v>
      </c>
      <c r="G58" s="75">
        <f>'Nov 25'!$E58/'Nov 25'!$F58</f>
        <v>18.215211887893929</v>
      </c>
      <c r="H58" s="36">
        <v>18</v>
      </c>
      <c r="I58" s="36">
        <v>18</v>
      </c>
      <c r="J58" s="40">
        <f t="shared" si="2"/>
        <v>0</v>
      </c>
      <c r="K58" s="41">
        <f>'Nov 25'!$F58*'Nov 25'!$I58</f>
        <v>225358</v>
      </c>
      <c r="L58" s="42">
        <f>'Nov 25'!$K58/$K$2</f>
        <v>1.0507676095117262E-3</v>
      </c>
      <c r="M58" s="43"/>
    </row>
    <row r="59" spans="1:16" s="46" customFormat="1" ht="25.5" x14ac:dyDescent="0.25">
      <c r="A59" s="36" t="s">
        <v>155</v>
      </c>
      <c r="B59" s="36" t="s">
        <v>90</v>
      </c>
      <c r="C59" s="36" t="s">
        <v>91</v>
      </c>
      <c r="D59" s="37">
        <v>1E-3</v>
      </c>
      <c r="E59" s="38">
        <f>'Nov 25'!$D59*$C$6*$C$2</f>
        <v>228052.42892400001</v>
      </c>
      <c r="F59" s="38">
        <v>93556</v>
      </c>
      <c r="G59" s="75">
        <f>'Nov 25'!$E59/'Nov 25'!$F59</f>
        <v>2.4376034559408271</v>
      </c>
      <c r="H59" s="36">
        <v>2</v>
      </c>
      <c r="I59" s="36">
        <v>2</v>
      </c>
      <c r="J59" s="40">
        <f t="shared" si="2"/>
        <v>0</v>
      </c>
      <c r="K59" s="41">
        <f>'Nov 25'!$F59*'Nov 25'!$I59</f>
        <v>187112</v>
      </c>
      <c r="L59" s="42">
        <f>'Nov 25'!$K59/$K$2</f>
        <v>8.7243953598699906E-4</v>
      </c>
      <c r="M59" s="43"/>
    </row>
    <row r="60" spans="1:16" s="4" customFormat="1" ht="25.5" x14ac:dyDescent="0.2">
      <c r="A60" s="36" t="s">
        <v>155</v>
      </c>
      <c r="B60" s="64" t="s">
        <v>112</v>
      </c>
      <c r="C60" s="64" t="s">
        <v>113</v>
      </c>
      <c r="D60" s="37">
        <v>1E-3</v>
      </c>
      <c r="E60" s="38">
        <f>'Nov 25'!$D60*$C$6*$C$2</f>
        <v>228052.42892400001</v>
      </c>
      <c r="F60" s="38">
        <v>68387</v>
      </c>
      <c r="G60" s="75">
        <f>'Nov 25'!$E60/'Nov 25'!$F60</f>
        <v>3.3347336324740082</v>
      </c>
      <c r="H60" s="36">
        <v>3</v>
      </c>
      <c r="I60" s="36">
        <v>3</v>
      </c>
      <c r="J60" s="40">
        <f t="shared" si="2"/>
        <v>0</v>
      </c>
      <c r="K60" s="41">
        <f>'Nov 25'!$F60*'Nov 25'!$I60</f>
        <v>205161</v>
      </c>
      <c r="L60" s="42">
        <f>'Nov 25'!$K60/$K$2</f>
        <v>9.5659587649444568E-4</v>
      </c>
      <c r="M60" s="65"/>
    </row>
    <row r="61" spans="1:16" s="46" customFormat="1" ht="25.5" x14ac:dyDescent="0.25">
      <c r="A61" s="36" t="s">
        <v>155</v>
      </c>
      <c r="B61" s="36" t="s">
        <v>81</v>
      </c>
      <c r="C61" s="36" t="s">
        <v>82</v>
      </c>
      <c r="D61" s="37">
        <v>1E-3</v>
      </c>
      <c r="E61" s="38">
        <f>'Nov 25'!$D61*$C$6*$C$2</f>
        <v>228052.42892400001</v>
      </c>
      <c r="F61" s="38">
        <v>28590</v>
      </c>
      <c r="G61" s="75">
        <f>'Nov 25'!$E61/'Nov 25'!$F61</f>
        <v>7.9766501897166844</v>
      </c>
      <c r="H61" s="36">
        <v>7</v>
      </c>
      <c r="I61" s="36">
        <v>8</v>
      </c>
      <c r="J61" s="40">
        <f t="shared" si="2"/>
        <v>1</v>
      </c>
      <c r="K61" s="41">
        <f>'Nov 25'!$F61*'Nov 25'!$I61</f>
        <v>228720</v>
      </c>
      <c r="L61" s="42">
        <f>'Nov 25'!$K61/$K$2</f>
        <v>1.0664434706002097E-3</v>
      </c>
      <c r="M61" s="43"/>
    </row>
    <row r="62" spans="1:16" s="46" customFormat="1" ht="25.5" x14ac:dyDescent="0.25">
      <c r="A62" s="36" t="s">
        <v>155</v>
      </c>
      <c r="B62" s="36" t="s">
        <v>100</v>
      </c>
      <c r="C62" s="36" t="s">
        <v>101</v>
      </c>
      <c r="D62" s="37">
        <v>1E-3</v>
      </c>
      <c r="E62" s="38">
        <f>'Nov 25'!$D62*$C$6*$C$2</f>
        <v>228052.42892400001</v>
      </c>
      <c r="F62" s="38">
        <v>7929.5357142857147</v>
      </c>
      <c r="G62" s="75">
        <f>'Nov 25'!$E62/'Nov 25'!$F62</f>
        <v>28.759871591617234</v>
      </c>
      <c r="H62" s="36">
        <v>28</v>
      </c>
      <c r="I62" s="36">
        <v>28</v>
      </c>
      <c r="J62" s="40">
        <f t="shared" si="2"/>
        <v>0</v>
      </c>
      <c r="K62" s="41">
        <f>'Nov 25'!$F62*'Nov 25'!$I62</f>
        <v>222027</v>
      </c>
      <c r="L62" s="42">
        <f>'Nov 25'!$K62/$K$2</f>
        <v>1.0352362908663552E-3</v>
      </c>
      <c r="M62" s="43"/>
    </row>
    <row r="63" spans="1:16" s="46" customFormat="1" ht="25.5" x14ac:dyDescent="0.25">
      <c r="A63" s="36" t="s">
        <v>155</v>
      </c>
      <c r="B63" s="36" t="s">
        <v>74</v>
      </c>
      <c r="C63" s="36" t="s">
        <v>75</v>
      </c>
      <c r="D63" s="37">
        <v>1E-3</v>
      </c>
      <c r="E63" s="38">
        <f>'Nov 25'!$D63*$C$6*$C$2</f>
        <v>228052.42892400001</v>
      </c>
      <c r="F63" s="38">
        <v>28600</v>
      </c>
      <c r="G63" s="75">
        <f>'Nov 25'!$E63/'Nov 25'!$F63</f>
        <v>7.9738611511888111</v>
      </c>
      <c r="H63" s="36">
        <v>7</v>
      </c>
      <c r="I63" s="36">
        <v>7</v>
      </c>
      <c r="J63" s="40">
        <f t="shared" si="2"/>
        <v>0</v>
      </c>
      <c r="K63" s="41">
        <f>'Nov 25'!$F63*'Nov 25'!$I63</f>
        <v>200200</v>
      </c>
      <c r="L63" s="42">
        <f>'Nov 25'!$K63/$K$2</f>
        <v>9.3346442293704948E-4</v>
      </c>
      <c r="M63" s="43"/>
    </row>
    <row r="64" spans="1:16" s="46" customFormat="1" ht="12.75" x14ac:dyDescent="0.25">
      <c r="A64" s="36"/>
      <c r="B64" s="36"/>
      <c r="C64" s="36"/>
      <c r="D64" s="37"/>
      <c r="E64" s="38"/>
      <c r="F64" s="38"/>
      <c r="G64" s="39"/>
      <c r="H64" s="36"/>
      <c r="I64" s="36"/>
      <c r="J64" s="43"/>
      <c r="K64" s="41"/>
      <c r="L64" s="42"/>
      <c r="M64" s="43"/>
    </row>
    <row r="65" spans="1:13" s="46" customFormat="1" ht="12.75" x14ac:dyDescent="0.25">
      <c r="A65" s="36"/>
      <c r="B65" s="36"/>
      <c r="C65" s="36"/>
      <c r="D65" s="37"/>
      <c r="E65" s="38"/>
      <c r="F65" s="38"/>
      <c r="G65" s="39"/>
      <c r="H65" s="36"/>
      <c r="I65" s="36"/>
      <c r="J65" s="43"/>
      <c r="K65" s="41"/>
      <c r="L65" s="42"/>
      <c r="M65" s="43"/>
    </row>
    <row r="66" spans="1:13" s="17" customFormat="1" ht="12.75" x14ac:dyDescent="0.2">
      <c r="A66" s="50" t="s">
        <v>167</v>
      </c>
      <c r="B66" s="68"/>
      <c r="C66" s="68"/>
      <c r="D66" s="76">
        <f>SUM(D54:D65)</f>
        <v>1.0000000000000002E-2</v>
      </c>
      <c r="E66" s="52">
        <f>SUM(E53:E65)</f>
        <v>2280524.2892399994</v>
      </c>
      <c r="F66" s="71"/>
      <c r="G66" s="71"/>
      <c r="H66" s="68"/>
      <c r="I66" s="68"/>
      <c r="J66" s="50"/>
      <c r="K66" s="52">
        <f>SUM(K53:K65)</f>
        <v>2142514</v>
      </c>
      <c r="L66" s="55">
        <f>'Nov 25'!$K66/$K$2</f>
        <v>9.9898131600626855E-3</v>
      </c>
      <c r="M66" s="62"/>
    </row>
    <row r="67" spans="1:13" s="4" customFormat="1" ht="12.75" x14ac:dyDescent="0.2">
      <c r="A67" s="36"/>
      <c r="B67" s="64"/>
      <c r="C67" s="64"/>
      <c r="D67" s="77"/>
      <c r="E67" s="38"/>
      <c r="F67" s="38"/>
      <c r="G67" s="39"/>
      <c r="H67" s="64"/>
      <c r="I67" s="64"/>
      <c r="J67" s="36"/>
      <c r="K67" s="36"/>
      <c r="L67" s="42"/>
      <c r="M67" s="65"/>
    </row>
    <row r="68" spans="1:13" s="46" customFormat="1" ht="25.5" x14ac:dyDescent="0.25">
      <c r="A68" s="50" t="s">
        <v>168</v>
      </c>
      <c r="B68" s="57" t="s">
        <v>169</v>
      </c>
      <c r="C68" s="57" t="s">
        <v>170</v>
      </c>
      <c r="D68" s="58">
        <v>0</v>
      </c>
      <c r="E68" s="59">
        <f>'Nov 25'!$D68*$C$6*$C$2</f>
        <v>0</v>
      </c>
      <c r="F68" s="59">
        <v>0</v>
      </c>
      <c r="G68" s="60" t="s">
        <v>175</v>
      </c>
      <c r="H68" s="57">
        <v>0</v>
      </c>
      <c r="I68" s="57">
        <v>0</v>
      </c>
      <c r="J68" s="78">
        <f>I68-H68</f>
        <v>0</v>
      </c>
      <c r="K68" s="59">
        <f>'Nov 25'!$F68*'Nov 25'!$I68</f>
        <v>0</v>
      </c>
      <c r="L68" s="79">
        <f>'Nov 25'!$K68/$K$2</f>
        <v>0</v>
      </c>
      <c r="M68" s="57"/>
    </row>
    <row r="69" spans="1:13" s="4" customFormat="1" ht="12.75" x14ac:dyDescent="0.2">
      <c r="A69" s="36"/>
      <c r="B69" s="64"/>
      <c r="C69" s="64"/>
      <c r="D69" s="77"/>
      <c r="E69" s="38"/>
      <c r="F69" s="38"/>
      <c r="G69" s="39"/>
      <c r="H69" s="64"/>
      <c r="I69" s="64"/>
      <c r="J69" s="36"/>
      <c r="K69" s="36"/>
      <c r="L69" s="42"/>
      <c r="M69" s="65"/>
    </row>
    <row r="70" spans="1:13" s="4" customFormat="1" ht="12.75" x14ac:dyDescent="0.2">
      <c r="A70" s="36"/>
      <c r="B70" s="64"/>
      <c r="C70" s="64"/>
      <c r="D70" s="80"/>
      <c r="E70" s="66"/>
      <c r="F70" s="38"/>
      <c r="G70" s="39"/>
      <c r="H70" s="64"/>
      <c r="I70" s="64"/>
      <c r="J70" s="36"/>
      <c r="K70" s="36"/>
      <c r="L70" s="42"/>
      <c r="M70" s="65"/>
    </row>
    <row r="71" spans="1:13" s="17" customFormat="1" ht="12.75" x14ac:dyDescent="0.2">
      <c r="A71" s="50" t="s">
        <v>171</v>
      </c>
      <c r="B71" s="68"/>
      <c r="C71" s="68"/>
      <c r="D71" s="68"/>
      <c r="E71" s="81"/>
      <c r="F71" s="81"/>
      <c r="G71" s="50"/>
      <c r="H71" s="68"/>
      <c r="I71" s="68"/>
      <c r="J71" s="68"/>
      <c r="K71" s="81">
        <f>SUM(K28,K30,K43,K51,K66,K68:K68)</f>
        <v>214469877.03086889</v>
      </c>
      <c r="L71" s="55">
        <f>'Nov 25'!$K71/$K$2</f>
        <v>1</v>
      </c>
      <c r="M71" s="68"/>
    </row>
    <row r="72" spans="1:13" s="4" customFormat="1" ht="12.75" x14ac:dyDescent="0.2">
      <c r="A72" s="65"/>
      <c r="B72" s="65"/>
      <c r="C72" s="65"/>
      <c r="D72" s="82"/>
      <c r="E72" s="83"/>
      <c r="F72" s="38"/>
      <c r="G72" s="84"/>
      <c r="H72" s="65"/>
      <c r="I72" s="65"/>
      <c r="J72" s="65"/>
      <c r="K72" s="65"/>
      <c r="L72" s="42"/>
      <c r="M72" s="65"/>
    </row>
    <row r="73" spans="1:13" s="4" customFormat="1" ht="12.75" x14ac:dyDescent="0.2">
      <c r="A73" s="65"/>
      <c r="B73" s="65"/>
      <c r="C73" s="65"/>
      <c r="D73" s="82"/>
      <c r="E73" s="83"/>
      <c r="F73" s="38"/>
      <c r="G73" s="84"/>
      <c r="H73" s="65"/>
      <c r="I73" s="65"/>
      <c r="J73" s="65"/>
      <c r="K73" s="65"/>
      <c r="L73" s="42"/>
      <c r="M73" s="65"/>
    </row>
    <row r="74" spans="1:13" s="4" customFormat="1" ht="12.75" x14ac:dyDescent="0.2">
      <c r="A74" s="65"/>
      <c r="B74" s="65"/>
      <c r="C74" s="65"/>
      <c r="D74" s="82"/>
      <c r="E74" s="83"/>
      <c r="F74" s="38"/>
      <c r="G74" s="84"/>
      <c r="H74" s="65"/>
      <c r="I74" s="65"/>
      <c r="J74" s="65"/>
      <c r="K74" s="65"/>
      <c r="L74" s="42"/>
      <c r="M74" s="65"/>
    </row>
    <row r="75" spans="1:13" s="4" customFormat="1" ht="12.75" x14ac:dyDescent="0.2">
      <c r="A75" s="65"/>
      <c r="B75" s="65"/>
      <c r="C75" s="65"/>
      <c r="D75" s="82"/>
      <c r="E75" s="83"/>
      <c r="F75" s="38"/>
      <c r="G75" s="84"/>
      <c r="H75" s="65"/>
      <c r="I75" s="65"/>
      <c r="J75" s="65"/>
      <c r="K75" s="65"/>
      <c r="L75" s="42"/>
      <c r="M75" s="65"/>
    </row>
    <row r="76" spans="1:13" s="4" customFormat="1" ht="12.75" x14ac:dyDescent="0.2">
      <c r="A76" s="65"/>
      <c r="B76" s="65"/>
      <c r="C76" s="65"/>
      <c r="D76" s="82"/>
      <c r="E76" s="83"/>
      <c r="F76" s="38"/>
      <c r="G76" s="84"/>
      <c r="H76" s="65"/>
      <c r="I76" s="65"/>
      <c r="J76" s="65"/>
      <c r="K76" s="65"/>
      <c r="L76" s="42"/>
      <c r="M76" s="65"/>
    </row>
    <row r="77" spans="1:13" s="4" customFormat="1" ht="12.75" x14ac:dyDescent="0.2">
      <c r="A77" s="65"/>
      <c r="B77" s="65"/>
      <c r="C77" s="65"/>
      <c r="D77" s="82"/>
      <c r="E77" s="83"/>
      <c r="F77" s="38"/>
      <c r="G77" s="84"/>
      <c r="H77" s="65"/>
      <c r="I77" s="65"/>
      <c r="J77" s="65"/>
      <c r="K77" s="65"/>
      <c r="L77" s="42"/>
      <c r="M77" s="65"/>
    </row>
    <row r="78" spans="1:13" s="4" customFormat="1" ht="12.75" x14ac:dyDescent="0.2">
      <c r="A78" s="65"/>
      <c r="B78" s="65"/>
      <c r="C78" s="65"/>
      <c r="D78" s="82"/>
      <c r="E78" s="83"/>
      <c r="F78" s="38"/>
      <c r="G78" s="84"/>
      <c r="H78" s="65"/>
      <c r="I78" s="65"/>
      <c r="J78" s="65"/>
      <c r="K78" s="65"/>
      <c r="L78" s="42"/>
      <c r="M78" s="65"/>
    </row>
    <row r="79" spans="1:13" s="4" customFormat="1" ht="12.75" x14ac:dyDescent="0.2">
      <c r="A79" s="65"/>
      <c r="B79" s="65"/>
      <c r="C79" s="65"/>
      <c r="D79" s="82"/>
      <c r="E79" s="83"/>
      <c r="F79" s="38"/>
      <c r="G79" s="84"/>
      <c r="H79" s="65"/>
      <c r="I79" s="65"/>
      <c r="J79" s="65"/>
      <c r="K79" s="65"/>
      <c r="L79" s="42"/>
      <c r="M79" s="65"/>
    </row>
    <row r="80" spans="1:13" s="4" customFormat="1" ht="12.75" x14ac:dyDescent="0.2">
      <c r="A80" s="65"/>
      <c r="B80" s="65"/>
      <c r="C80" s="65"/>
      <c r="D80" s="82"/>
      <c r="E80" s="83"/>
      <c r="F80" s="38"/>
      <c r="G80" s="84"/>
      <c r="H80" s="65"/>
      <c r="I80" s="65"/>
      <c r="J80" s="65"/>
      <c r="K80" s="65"/>
      <c r="L80" s="42"/>
      <c r="M80" s="65"/>
    </row>
    <row r="81" spans="1:13" s="4" customFormat="1" ht="12.75" x14ac:dyDescent="0.2"/>
    <row r="82" spans="1:13" s="4" customFormat="1" ht="12.75" x14ac:dyDescent="0.2"/>
    <row r="84" spans="1:13" s="4" customFormat="1" ht="12.75" x14ac:dyDescent="0.2">
      <c r="A84" s="85"/>
      <c r="B84" s="85"/>
      <c r="E84" s="85"/>
      <c r="F84" s="85"/>
      <c r="G84" s="85"/>
      <c r="H84" s="86"/>
      <c r="M84" s="85"/>
    </row>
    <row r="85" spans="1:13" s="4" customFormat="1" ht="12.75" x14ac:dyDescent="0.2">
      <c r="A85" s="85"/>
      <c r="B85" s="85"/>
      <c r="E85" s="85"/>
      <c r="F85" s="85"/>
      <c r="G85" s="85"/>
      <c r="H85" s="86"/>
      <c r="M85" s="85"/>
    </row>
    <row r="86" spans="1:13" s="4" customFormat="1" ht="12.75" x14ac:dyDescent="0.2">
      <c r="A86" s="87"/>
      <c r="B86" s="87"/>
    </row>
    <row r="87" spans="1:13" s="4" customFormat="1" ht="12.75" x14ac:dyDescent="0.2">
      <c r="A87" s="88"/>
      <c r="B87" s="88"/>
      <c r="E87" s="88"/>
      <c r="F87" s="87"/>
      <c r="G87" s="87"/>
      <c r="M87" s="89"/>
    </row>
    <row r="88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H87"/>
  <sheetViews>
    <sheetView zoomScale="115" zoomScaleNormal="115" workbookViewId="0">
      <pane xSplit="2" topLeftCell="C1" activePane="topRight" state="frozen"/>
      <selection activeCell="A7" sqref="A7"/>
      <selection pane="topRight" activeCell="H12" sqref="H12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116</v>
      </c>
      <c r="C1" s="6">
        <v>44137</v>
      </c>
      <c r="D1" s="7"/>
      <c r="E1" s="8" t="s">
        <v>117</v>
      </c>
      <c r="F1" s="9"/>
      <c r="G1" s="10"/>
      <c r="K1" s="11" t="s">
        <v>118</v>
      </c>
      <c r="L1" s="11" t="s">
        <v>119</v>
      </c>
      <c r="M1" s="12" t="s">
        <v>120</v>
      </c>
    </row>
    <row r="2" spans="1:17" x14ac:dyDescent="0.25">
      <c r="A2" s="5"/>
      <c r="B2" s="5" t="s">
        <v>121</v>
      </c>
      <c r="C2" s="13">
        <v>6.3310000000000004</v>
      </c>
      <c r="D2" s="14"/>
      <c r="E2" s="15">
        <f>SUM(E26,E41,E49,E65,E28,E67)</f>
        <v>115332321.90104771</v>
      </c>
      <c r="F2" s="16"/>
      <c r="G2" s="17"/>
      <c r="H2" s="14"/>
      <c r="I2" s="14"/>
      <c r="J2" s="14"/>
      <c r="K2" s="15">
        <f>SUM(K26,K41,K49,K65,K28,K67:K67)</f>
        <v>126443397.95020674</v>
      </c>
      <c r="L2" s="18">
        <f>SUM(L49,L65,L41,L26,L28,L67)</f>
        <v>1.0000000000000002</v>
      </c>
      <c r="M2" s="19">
        <f>K2/$C$6</f>
        <v>6.9409471756671888</v>
      </c>
      <c r="N2" s="20"/>
    </row>
    <row r="3" spans="1:17" ht="26.25" x14ac:dyDescent="0.25">
      <c r="A3" s="5"/>
      <c r="B3" s="5" t="s">
        <v>122</v>
      </c>
      <c r="C3" s="21">
        <v>17717023.52</v>
      </c>
      <c r="D3" s="22"/>
      <c r="E3" s="8" t="s">
        <v>123</v>
      </c>
      <c r="F3" s="16"/>
      <c r="H3" s="14"/>
      <c r="I3" s="14"/>
      <c r="J3" s="14"/>
      <c r="K3" s="8" t="s">
        <v>123</v>
      </c>
      <c r="L3" s="14"/>
      <c r="M3" s="12" t="s">
        <v>124</v>
      </c>
      <c r="N3" s="23"/>
    </row>
    <row r="4" spans="1:17" x14ac:dyDescent="0.25">
      <c r="A4" s="5"/>
      <c r="B4" s="5" t="s">
        <v>125</v>
      </c>
      <c r="C4" s="21">
        <v>500000</v>
      </c>
      <c r="D4" s="22"/>
      <c r="E4" s="15">
        <f>SUM(E26,E65,E28)</f>
        <v>21823347.144718613</v>
      </c>
      <c r="F4" s="16"/>
      <c r="G4" s="17"/>
      <c r="H4" s="14"/>
      <c r="I4" s="14"/>
      <c r="J4" s="14"/>
      <c r="K4" s="15">
        <f>SUM(K26,K28,K65)</f>
        <v>21917181.265245873</v>
      </c>
      <c r="L4" s="14"/>
      <c r="M4" s="19">
        <f>K4/$C$6</f>
        <v>1.203115384968547</v>
      </c>
      <c r="N4" s="23"/>
    </row>
    <row r="5" spans="1:17" x14ac:dyDescent="0.25">
      <c r="A5" s="5"/>
      <c r="B5" s="5" t="s">
        <v>126</v>
      </c>
      <c r="C5" s="21">
        <v>0</v>
      </c>
      <c r="D5" s="22"/>
      <c r="E5" s="16"/>
      <c r="F5" s="16"/>
      <c r="G5" s="24">
        <f>SUM(D26,D28,D41,D49,D65,D67:D67)</f>
        <v>1.000003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127</v>
      </c>
      <c r="C6" s="21">
        <f>C3+C4-C5</f>
        <v>18217023.52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128</v>
      </c>
      <c r="B8" s="30" t="s">
        <v>129</v>
      </c>
      <c r="C8" s="31" t="s">
        <v>1</v>
      </c>
      <c r="D8" s="31" t="s">
        <v>130</v>
      </c>
      <c r="E8" s="31" t="s">
        <v>131</v>
      </c>
      <c r="F8" s="31" t="s">
        <v>132</v>
      </c>
      <c r="G8" s="31" t="s">
        <v>133</v>
      </c>
      <c r="H8" s="31" t="s">
        <v>134</v>
      </c>
      <c r="I8" s="31" t="s">
        <v>135</v>
      </c>
      <c r="J8" s="31" t="s">
        <v>136</v>
      </c>
      <c r="K8" s="32" t="s">
        <v>137</v>
      </c>
      <c r="L8" s="32" t="s">
        <v>138</v>
      </c>
      <c r="M8" s="32" t="s">
        <v>139</v>
      </c>
      <c r="N8" s="33"/>
      <c r="Q8" s="35"/>
    </row>
    <row r="9" spans="1:17" s="46" customFormat="1" ht="12.75" x14ac:dyDescent="0.25">
      <c r="A9" s="36" t="s">
        <v>140</v>
      </c>
      <c r="B9" s="36" t="s">
        <v>141</v>
      </c>
      <c r="C9" s="36" t="s">
        <v>142</v>
      </c>
      <c r="D9" s="37">
        <v>1.2257000000000001E-2</v>
      </c>
      <c r="E9" s="38">
        <f>'Nov 02'!$D9*$C$6*$C$2</f>
        <v>1413624.028669056</v>
      </c>
      <c r="F9" s="38">
        <v>502</v>
      </c>
      <c r="G9" s="39">
        <f>'Nov 02'!$E9/'Nov 02'!$F9</f>
        <v>2815.9841208546932</v>
      </c>
      <c r="H9" s="36">
        <v>3015</v>
      </c>
      <c r="I9" s="36">
        <f>ROUND(Table13895845679910111213144562678910111213141516171819202134567891011121314151617181920212223[[#This Row],[Target Quantity]],0)</f>
        <v>2816</v>
      </c>
      <c r="J9" s="40">
        <f t="shared" ref="J9:J24" si="0">I9-H9</f>
        <v>-199</v>
      </c>
      <c r="K9" s="41">
        <f>'Nov 02'!$F9*'Nov 02'!$I9</f>
        <v>1413632</v>
      </c>
      <c r="L9" s="42">
        <f>'Nov 02'!$K9/$K$2</f>
        <v>1.1179958961215883E-2</v>
      </c>
      <c r="M9" s="43"/>
      <c r="N9" s="44"/>
      <c r="O9" s="45"/>
    </row>
    <row r="10" spans="1:17" s="46" customFormat="1" ht="12.75" customHeight="1" x14ac:dyDescent="0.25">
      <c r="A10" s="36" t="s">
        <v>140</v>
      </c>
      <c r="B10" s="36" t="s">
        <v>49</v>
      </c>
      <c r="C10" s="36" t="s">
        <v>50</v>
      </c>
      <c r="D10" s="37">
        <v>1.2257000000000001E-2</v>
      </c>
      <c r="E10" s="38">
        <f>'Nov 02'!$D10*$C$6*$C$2</f>
        <v>1413624.028669056</v>
      </c>
      <c r="F10" s="38">
        <v>394.20987012987001</v>
      </c>
      <c r="G10" s="39">
        <f>'Nov 02'!$E10/'Nov 02'!$F10</f>
        <v>3585.96812455088</v>
      </c>
      <c r="H10" s="36">
        <v>3850</v>
      </c>
      <c r="I10" s="36">
        <f>ROUND(Table13895845679910111213144562678910111213141516171819202134567891011121314151617181920212223[[#This Row],[Target Quantity]],0)</f>
        <v>3586</v>
      </c>
      <c r="J10" s="40">
        <f t="shared" si="0"/>
        <v>-264</v>
      </c>
      <c r="K10" s="41">
        <f>'Nov 02'!$F10*'Nov 02'!$I10</f>
        <v>1413636.594285714</v>
      </c>
      <c r="L10" s="42">
        <f>'Nov 02'!$K10/$K$2</f>
        <v>1.117999529593789E-2</v>
      </c>
      <c r="M10" s="43"/>
    </row>
    <row r="11" spans="1:17" s="46" customFormat="1" ht="12.75" customHeight="1" x14ac:dyDescent="0.25">
      <c r="A11" s="36" t="s">
        <v>140</v>
      </c>
      <c r="B11" s="36" t="s">
        <v>37</v>
      </c>
      <c r="C11" s="36" t="s">
        <v>38</v>
      </c>
      <c r="D11" s="37">
        <v>1.2257000000000001E-2</v>
      </c>
      <c r="E11" s="38">
        <f>'Nov 02'!$D11*$C$6*$C$2</f>
        <v>1413624.028669056</v>
      </c>
      <c r="F11" s="38">
        <v>82.600010461345306</v>
      </c>
      <c r="G11" s="39">
        <f>'Nov 02'!$E11/'Nov 02'!$F11</f>
        <v>17114.090189257251</v>
      </c>
      <c r="H11" s="36">
        <v>19118</v>
      </c>
      <c r="I11" s="36">
        <f>ROUND(Table13895845679910111213144562678910111213141516171819202134567891011121314151617181920212223[[#This Row],[Target Quantity]],0)</f>
        <v>17114</v>
      </c>
      <c r="J11" s="40">
        <f t="shared" si="0"/>
        <v>-2004</v>
      </c>
      <c r="K11" s="41">
        <f>'Nov 02'!$F11*'Nov 02'!$I11</f>
        <v>1413616.5790354635</v>
      </c>
      <c r="L11" s="42">
        <f>'Nov 02'!$K11/$K$2</f>
        <v>1.1179837001787504E-2</v>
      </c>
      <c r="M11" s="43"/>
    </row>
    <row r="12" spans="1:17" s="47" customFormat="1" ht="12.75" customHeight="1" x14ac:dyDescent="0.25">
      <c r="A12" s="36" t="s">
        <v>140</v>
      </c>
      <c r="B12" s="36" t="s">
        <v>27</v>
      </c>
      <c r="C12" s="36" t="s">
        <v>28</v>
      </c>
      <c r="D12" s="37">
        <v>1.2257000000000001E-2</v>
      </c>
      <c r="E12" s="38">
        <f>'Nov 02'!$D12*$C$6*$C$2</f>
        <v>1413624.028669056</v>
      </c>
      <c r="F12" s="38">
        <v>202.25006762239701</v>
      </c>
      <c r="G12" s="39">
        <f>'Nov 02'!$E12/'Nov 02'!$F12</f>
        <v>6989.486061919677</v>
      </c>
      <c r="H12" s="36">
        <v>7394</v>
      </c>
      <c r="I12" s="36">
        <f>ROUND(Table13895845679910111213144562678910111213141516171819202134567891011121314151617181920212223[[#This Row],[Target Quantity]],0)</f>
        <v>6989</v>
      </c>
      <c r="J12" s="40">
        <f t="shared" si="0"/>
        <v>-405</v>
      </c>
      <c r="K12" s="41">
        <f>'Nov 02'!$F12*'Nov 02'!$I12</f>
        <v>1413525.7226129328</v>
      </c>
      <c r="L12" s="42">
        <f>'Nov 02'!$K12/$K$2</f>
        <v>1.1179118447683425E-2</v>
      </c>
      <c r="M12" s="36"/>
    </row>
    <row r="13" spans="1:17" s="47" customFormat="1" ht="12.75" customHeight="1" x14ac:dyDescent="0.25">
      <c r="A13" s="36" t="s">
        <v>140</v>
      </c>
      <c r="B13" s="36" t="s">
        <v>51</v>
      </c>
      <c r="C13" s="36" t="s">
        <v>52</v>
      </c>
      <c r="D13" s="37">
        <v>1.2257000000000001E-2</v>
      </c>
      <c r="E13" s="38">
        <f>'Nov 02'!$D13*$C$6*$C$2</f>
        <v>1413624.028669056</v>
      </c>
      <c r="F13" s="38">
        <v>473</v>
      </c>
      <c r="G13" s="39">
        <f>'Nov 02'!$E13/'Nov 02'!$F13</f>
        <v>2988.6343100825707</v>
      </c>
      <c r="H13" s="36">
        <v>3208</v>
      </c>
      <c r="I13" s="36">
        <f>ROUND(Table13895845679910111213144562678910111213141516171819202134567891011121314151617181920212223[[#This Row],[Target Quantity]],0)</f>
        <v>2989</v>
      </c>
      <c r="J13" s="40">
        <f t="shared" si="0"/>
        <v>-219</v>
      </c>
      <c r="K13" s="41">
        <f>'Nov 02'!$F13*'Nov 02'!$I13</f>
        <v>1413797</v>
      </c>
      <c r="L13" s="42">
        <f>'Nov 02'!$K13/$K$2</f>
        <v>1.1181263892929796E-2</v>
      </c>
      <c r="M13" s="36"/>
    </row>
    <row r="14" spans="1:17" s="47" customFormat="1" ht="12.75" customHeight="1" x14ac:dyDescent="0.25">
      <c r="A14" s="36" t="s">
        <v>140</v>
      </c>
      <c r="B14" s="36" t="s">
        <v>41</v>
      </c>
      <c r="C14" s="36" t="s">
        <v>42</v>
      </c>
      <c r="D14" s="37">
        <v>1.2257000000000001E-2</v>
      </c>
      <c r="E14" s="38">
        <f>'Nov 02'!$D14*$C$6*$C$2</f>
        <v>1413624.028669056</v>
      </c>
      <c r="F14" s="38">
        <v>1214.05025125628</v>
      </c>
      <c r="G14" s="39">
        <f>'Nov 02'!$E14/'Nov 02'!$F14</f>
        <v>1164.3867518714817</v>
      </c>
      <c r="H14" s="36">
        <v>1194</v>
      </c>
      <c r="I14" s="36">
        <f>ROUND(Table13895845679910111213144562678910111213141516171819202134567891011121314151617181920212223[[#This Row],[Target Quantity]],0)</f>
        <v>1164</v>
      </c>
      <c r="J14" s="40">
        <f t="shared" si="0"/>
        <v>-30</v>
      </c>
      <c r="K14" s="41">
        <f>'Nov 02'!$F14*'Nov 02'!$I14</f>
        <v>1413154.49246231</v>
      </c>
      <c r="L14" s="42">
        <f>'Nov 02'!$K14/$K$2</f>
        <v>1.1176182508309438E-2</v>
      </c>
      <c r="M14" s="36"/>
    </row>
    <row r="15" spans="1:17" s="47" customFormat="1" ht="12.75" customHeight="1" x14ac:dyDescent="0.25">
      <c r="A15" s="36" t="s">
        <v>140</v>
      </c>
      <c r="B15" s="36" t="s">
        <v>31</v>
      </c>
      <c r="C15" s="36" t="s">
        <v>32</v>
      </c>
      <c r="D15" s="37">
        <v>1.2257000000000001E-2</v>
      </c>
      <c r="E15" s="38">
        <f>'Nov 02'!$D15*$C$6*$C$2</f>
        <v>1413624.028669056</v>
      </c>
      <c r="F15" s="38">
        <v>259.470020325203</v>
      </c>
      <c r="G15" s="39">
        <f>'Nov 02'!$E15/'Nov 02'!$F15</f>
        <v>5448.1208537977172</v>
      </c>
      <c r="H15" s="36">
        <v>5904</v>
      </c>
      <c r="I15" s="36">
        <f>ROUND(Table13895845679910111213144562678910111213141516171819202134567891011121314151617181920212223[[#This Row],[Target Quantity]],0)</f>
        <v>5448</v>
      </c>
      <c r="J15" s="40">
        <f t="shared" si="0"/>
        <v>-456</v>
      </c>
      <c r="K15" s="41">
        <f>'Nov 02'!$F15*'Nov 02'!$I15</f>
        <v>1413592.6707317058</v>
      </c>
      <c r="L15" s="42">
        <f>'Nov 02'!$K15/$K$2</f>
        <v>1.1179647918734175E-2</v>
      </c>
      <c r="M15" s="36"/>
    </row>
    <row r="16" spans="1:17" s="47" customFormat="1" ht="12.75" customHeight="1" x14ac:dyDescent="0.25">
      <c r="A16" s="36" t="s">
        <v>140</v>
      </c>
      <c r="B16" s="36" t="s">
        <v>143</v>
      </c>
      <c r="C16" s="36" t="s">
        <v>144</v>
      </c>
      <c r="D16" s="37">
        <v>9.1929999999999998E-3</v>
      </c>
      <c r="E16" s="38">
        <f>'Nov 02'!$D16*$C$6*$C$2</f>
        <v>1060246.8544957682</v>
      </c>
      <c r="F16" s="38">
        <v>1201.48046462513</v>
      </c>
      <c r="G16" s="39">
        <f>'Nov 02'!$E16/'Nov 02'!$F16</f>
        <v>882.45034830971838</v>
      </c>
      <c r="H16" s="36">
        <v>947</v>
      </c>
      <c r="I16" s="36">
        <f>ROUND(Table13895845679910111213144562678910111213141516171819202134567891011121314151617181920212223[[#This Row],[Target Quantity]],0)</f>
        <v>882</v>
      </c>
      <c r="J16" s="40">
        <f t="shared" si="0"/>
        <v>-65</v>
      </c>
      <c r="K16" s="41">
        <f>'Nov 02'!$F16*'Nov 02'!$I16</f>
        <v>1059705.7697993647</v>
      </c>
      <c r="L16" s="42">
        <f>'Nov 02'!$K16/$K$2</f>
        <v>8.3808707056154536E-3</v>
      </c>
      <c r="M16" s="36"/>
    </row>
    <row r="17" spans="1:15" s="47" customFormat="1" ht="12.75" customHeight="1" x14ac:dyDescent="0.25">
      <c r="A17" s="36" t="s">
        <v>140</v>
      </c>
      <c r="B17" s="36" t="s">
        <v>29</v>
      </c>
      <c r="C17" s="36" t="s">
        <v>30</v>
      </c>
      <c r="D17" s="37">
        <v>6.1289999999999999E-3</v>
      </c>
      <c r="E17" s="38">
        <f>'Nov 02'!$D17*$C$6*$C$2</f>
        <v>706869.6803224805</v>
      </c>
      <c r="F17" s="38">
        <v>17.3400045024764</v>
      </c>
      <c r="G17" s="39">
        <f>'Nov 02'!$E17/'Nov 02'!$F17</f>
        <v>40765.253562738661</v>
      </c>
      <c r="H17" s="36">
        <v>44420</v>
      </c>
      <c r="I17" s="36">
        <f>ROUND(Table13895845679910111213144562678910111213141516171819202134567891011121314151617181920212223[[#This Row],[Target Quantity]],0)</f>
        <v>40765</v>
      </c>
      <c r="J17" s="40">
        <f t="shared" si="0"/>
        <v>-3655</v>
      </c>
      <c r="K17" s="41">
        <f>'Nov 02'!$F17*'Nov 02'!$I17</f>
        <v>706865.28354345041</v>
      </c>
      <c r="L17" s="42">
        <f>'Nov 02'!$K17/$K$2</f>
        <v>5.5903692482371682E-3</v>
      </c>
      <c r="M17" s="36"/>
    </row>
    <row r="18" spans="1:15" s="47" customFormat="1" ht="12.75" customHeight="1" x14ac:dyDescent="0.25">
      <c r="A18" s="36" t="s">
        <v>140</v>
      </c>
      <c r="B18" s="36" t="s">
        <v>39</v>
      </c>
      <c r="C18" s="36" t="s">
        <v>40</v>
      </c>
      <c r="D18" s="37">
        <v>6.1289999999999999E-3</v>
      </c>
      <c r="E18" s="38">
        <f>'Nov 02'!$D18*$C$6*$C$2</f>
        <v>706869.6803224805</v>
      </c>
      <c r="F18" s="38">
        <v>32.009990686648003</v>
      </c>
      <c r="G18" s="39">
        <f>'Nov 02'!$E18/'Nov 02'!$F18</f>
        <v>22082.783067391825</v>
      </c>
      <c r="H18" s="36">
        <v>23622</v>
      </c>
      <c r="I18" s="36">
        <f>ROUND(Table13895845679910111213144562678910111213141516171819202134567891011121314151617181920212223[[#This Row],[Target Quantity]],0)</f>
        <v>22083</v>
      </c>
      <c r="J18" s="40">
        <f t="shared" si="0"/>
        <v>-1539</v>
      </c>
      <c r="K18" s="41">
        <f>'Nov 02'!$F18*'Nov 02'!$I18</f>
        <v>706876.62433324789</v>
      </c>
      <c r="L18" s="42">
        <f>'Nov 02'!$K18/$K$2</f>
        <v>5.5904589388812145E-3</v>
      </c>
      <c r="M18" s="36"/>
    </row>
    <row r="19" spans="1:15" s="47" customFormat="1" ht="12.75" customHeight="1" x14ac:dyDescent="0.25">
      <c r="A19" s="36" t="s">
        <v>140</v>
      </c>
      <c r="B19" s="36" t="s">
        <v>19</v>
      </c>
      <c r="C19" s="36" t="s">
        <v>20</v>
      </c>
      <c r="D19" s="37">
        <v>9.1929999999999998E-3</v>
      </c>
      <c r="E19" s="38">
        <f>'Nov 02'!$D19*$C$6*$C$2</f>
        <v>1060246.8544957682</v>
      </c>
      <c r="F19" s="38">
        <v>426.079835082459</v>
      </c>
      <c r="G19" s="39">
        <f>'Nov 02'!$E19/'Nov 02'!$F19</f>
        <v>2488.3760441058639</v>
      </c>
      <c r="H19" s="36">
        <v>2668</v>
      </c>
      <c r="I19" s="36">
        <f>ROUND(Table13895845679910111213144562678910111213141516171819202134567891011121314151617181920212223[[#This Row],[Target Quantity]],0)</f>
        <v>2488</v>
      </c>
      <c r="J19" s="40">
        <f t="shared" si="0"/>
        <v>-180</v>
      </c>
      <c r="K19" s="41">
        <f>'Nov 02'!$F19*'Nov 02'!$I19</f>
        <v>1060086.6296851579</v>
      </c>
      <c r="L19" s="42">
        <f>'Nov 02'!$K19/$K$2</f>
        <v>8.3838828034550183E-3</v>
      </c>
      <c r="M19" s="36"/>
    </row>
    <row r="20" spans="1:15" s="47" customFormat="1" ht="12.75" customHeight="1" x14ac:dyDescent="0.25">
      <c r="A20" s="36" t="s">
        <v>140</v>
      </c>
      <c r="B20" s="36" t="s">
        <v>145</v>
      </c>
      <c r="C20" s="36" t="s">
        <v>146</v>
      </c>
      <c r="D20" s="37">
        <v>1.2257000000000001E-2</v>
      </c>
      <c r="E20" s="38">
        <f>'Nov 02'!$D20*$C$6*$C$2</f>
        <v>1413624.028669056</v>
      </c>
      <c r="F20" s="38">
        <v>188.99000624609599</v>
      </c>
      <c r="G20" s="39">
        <f>'Nov 02'!$E20/'Nov 02'!$F20</f>
        <v>7479.8877292394272</v>
      </c>
      <c r="H20" s="36">
        <v>8005</v>
      </c>
      <c r="I20" s="36">
        <f>ROUND(Table13895845679910111213144562678910111213141516171819202134567891011121314151617181920212223[[#This Row],[Target Quantity]],0)</f>
        <v>7480</v>
      </c>
      <c r="J20" s="40">
        <f t="shared" si="0"/>
        <v>-525</v>
      </c>
      <c r="K20" s="41">
        <f>'Nov 02'!$F20*'Nov 02'!$I20</f>
        <v>1413645.2467207981</v>
      </c>
      <c r="L20" s="42">
        <f>'Nov 02'!$K20/$K$2</f>
        <v>1.11800637252527E-2</v>
      </c>
      <c r="M20" s="36"/>
    </row>
    <row r="21" spans="1:15" s="47" customFormat="1" ht="12.75" customHeight="1" x14ac:dyDescent="0.25">
      <c r="A21" s="36" t="s">
        <v>140</v>
      </c>
      <c r="B21" s="36" t="s">
        <v>33</v>
      </c>
      <c r="C21" s="36" t="s">
        <v>34</v>
      </c>
      <c r="D21" s="37">
        <v>6.1289999999999999E-3</v>
      </c>
      <c r="E21" s="38">
        <f>'Nov 02'!$D21*$C$6*$C$2</f>
        <v>706869.6803224805</v>
      </c>
      <c r="F21" s="38">
        <v>19.450006323510799</v>
      </c>
      <c r="G21" s="39">
        <f>'Nov 02'!$E21/'Nov 02'!$F21</f>
        <v>36342.902339729822</v>
      </c>
      <c r="H21" s="36">
        <v>39535</v>
      </c>
      <c r="I21" s="36">
        <f>ROUND(Table13895845679910111213144562678910111213141516171819202134567891011121314151617181920212223[[#This Row],[Target Quantity]],0)</f>
        <v>36343</v>
      </c>
      <c r="J21" s="40">
        <f t="shared" si="0"/>
        <v>-3192</v>
      </c>
      <c r="K21" s="41">
        <f>'Nov 02'!$F21*'Nov 02'!$I21</f>
        <v>706871.57981535292</v>
      </c>
      <c r="L21" s="42">
        <f>'Nov 02'!$K21/$K$2</f>
        <v>5.5904190434182899E-3</v>
      </c>
      <c r="M21" s="36"/>
    </row>
    <row r="22" spans="1:15" s="47" customFormat="1" ht="12.75" customHeight="1" x14ac:dyDescent="0.25">
      <c r="A22" s="36" t="s">
        <v>140</v>
      </c>
      <c r="B22" s="36" t="s">
        <v>21</v>
      </c>
      <c r="C22" s="36" t="s">
        <v>22</v>
      </c>
      <c r="D22" s="37">
        <v>1.2257000000000001E-2</v>
      </c>
      <c r="E22" s="38">
        <f>'Nov 02'!$D22*$C$6*$C$2</f>
        <v>1413624.028669056</v>
      </c>
      <c r="F22" s="38">
        <v>33.389999341773297</v>
      </c>
      <c r="G22" s="39">
        <f>'Nov 02'!$E22/'Nov 02'!$F22</f>
        <v>42336.749222408951</v>
      </c>
      <c r="H22" s="36">
        <v>45577</v>
      </c>
      <c r="I22" s="36">
        <f>ROUND(Table13895845679910111213144562678910111213141516171819202134567891011121314151617181920212223[[#This Row],[Target Quantity]],0)</f>
        <v>42337</v>
      </c>
      <c r="J22" s="40">
        <f t="shared" si="0"/>
        <v>-3240</v>
      </c>
      <c r="K22" s="41">
        <f>'Nov 02'!$F22*'Nov 02'!$I22</f>
        <v>1413632.4021326562</v>
      </c>
      <c r="L22" s="42">
        <f>'Nov 02'!$K22/$K$2</f>
        <v>1.1179962141553194E-2</v>
      </c>
      <c r="M22" s="36"/>
    </row>
    <row r="23" spans="1:15" s="47" customFormat="1" ht="12.75" customHeight="1" x14ac:dyDescent="0.25">
      <c r="A23" s="36" t="s">
        <v>140</v>
      </c>
      <c r="B23" s="36" t="s">
        <v>147</v>
      </c>
      <c r="C23" s="36" t="s">
        <v>148</v>
      </c>
      <c r="D23" s="37">
        <v>6.1289999999999999E-3</v>
      </c>
      <c r="E23" s="38">
        <f>'Nov 02'!$D23*$C$6*$C$2</f>
        <v>706869.6803224805</v>
      </c>
      <c r="F23" s="38">
        <v>184.959913586174</v>
      </c>
      <c r="G23" s="39">
        <f>'Nov 02'!$E23/'Nov 02'!$F23</f>
        <v>3821.7452993842658</v>
      </c>
      <c r="H23" s="36">
        <v>4166</v>
      </c>
      <c r="I23" s="36">
        <f>ROUND(Table13895845679910111213144562678910111213141516171819202134567891011121314151617181920212223[[#This Row],[Target Quantity]],0)</f>
        <v>3822</v>
      </c>
      <c r="J23" s="40">
        <f t="shared" si="0"/>
        <v>-344</v>
      </c>
      <c r="K23" s="41">
        <f>'Nov 02'!$F23*'Nov 02'!$I23</f>
        <v>706916.78972635698</v>
      </c>
      <c r="L23" s="42">
        <f>'Nov 02'!$K23/$K$2</f>
        <v>5.5907765940040616E-3</v>
      </c>
      <c r="M23" s="36"/>
    </row>
    <row r="24" spans="1:15" s="47" customFormat="1" ht="12.75" customHeight="1" x14ac:dyDescent="0.25">
      <c r="A24" s="36" t="s">
        <v>140</v>
      </c>
      <c r="B24" s="36" t="s">
        <v>45</v>
      </c>
      <c r="C24" s="36" t="s">
        <v>46</v>
      </c>
      <c r="D24" s="37">
        <v>6.1289999999999999E-3</v>
      </c>
      <c r="E24" s="38">
        <f>'Nov 02'!$D24*$C$6*$C$2</f>
        <v>706869.6803224805</v>
      </c>
      <c r="F24" s="38">
        <v>62.430035506778601</v>
      </c>
      <c r="G24" s="39">
        <f>'Nov 02'!$E24/'Nov 02'!$F24</f>
        <v>11322.589753224298</v>
      </c>
      <c r="H24" s="36">
        <v>12392</v>
      </c>
      <c r="I24" s="36">
        <f>ROUND(Table13895845679910111213144562678910111213141516171819202134567891011121314151617181920212223[[#This Row],[Target Quantity]],0)</f>
        <v>11323</v>
      </c>
      <c r="J24" s="40">
        <f t="shared" si="0"/>
        <v>-1069</v>
      </c>
      <c r="K24" s="41">
        <f>'Nov 02'!$F24*'Nov 02'!$I24</f>
        <v>706895.29204325413</v>
      </c>
      <c r="L24" s="42">
        <f>'Nov 02'!$K24/$K$2</f>
        <v>5.5906065757709913E-3</v>
      </c>
      <c r="M24" s="36"/>
    </row>
    <row r="25" spans="1:15" s="47" customFormat="1" ht="12.75" customHeight="1" x14ac:dyDescent="0.25">
      <c r="A25" s="36"/>
      <c r="B25" s="36"/>
      <c r="C25" s="36"/>
      <c r="D25" s="37"/>
      <c r="E25" s="38"/>
      <c r="F25" s="38"/>
      <c r="G25" s="39"/>
      <c r="H25" s="36"/>
      <c r="I25" s="36"/>
      <c r="J25" s="48"/>
      <c r="K25" s="38"/>
      <c r="L25" s="49"/>
      <c r="M25" s="36"/>
    </row>
    <row r="26" spans="1:15" s="56" customFormat="1" ht="12.75" customHeight="1" x14ac:dyDescent="0.25">
      <c r="A26" s="50" t="s">
        <v>149</v>
      </c>
      <c r="B26" s="50"/>
      <c r="C26" s="50"/>
      <c r="D26" s="51">
        <f>SUM(D9:D25)</f>
        <v>0.15934399999999999</v>
      </c>
      <c r="E26" s="52">
        <f>'Nov 02'!$D26*$C$6*$C$2</f>
        <v>18377458.36862544</v>
      </c>
      <c r="F26" s="53"/>
      <c r="G26" s="53"/>
      <c r="H26" s="50"/>
      <c r="I26" s="50"/>
      <c r="J26" s="54"/>
      <c r="K26" s="52">
        <f>SUM(K9:K25)</f>
        <v>18376450.676927764</v>
      </c>
      <c r="L26" s="55">
        <f>'Nov 02'!$K26/$K$2</f>
        <v>0.14533341380278619</v>
      </c>
      <c r="M26" s="50"/>
    </row>
    <row r="27" spans="1:15" s="47" customFormat="1" ht="12.75" customHeight="1" x14ac:dyDescent="0.25">
      <c r="A27" s="36"/>
      <c r="B27" s="36"/>
      <c r="C27" s="36"/>
      <c r="D27" s="37"/>
      <c r="E27" s="38"/>
      <c r="F27" s="38"/>
      <c r="G27" s="39"/>
      <c r="H27" s="36"/>
      <c r="I27" s="36"/>
      <c r="J27" s="48"/>
      <c r="K27" s="38"/>
      <c r="L27" s="42"/>
      <c r="M27" s="36"/>
    </row>
    <row r="28" spans="1:15" s="46" customFormat="1" ht="12.75" customHeight="1" x14ac:dyDescent="0.25">
      <c r="A28" s="57"/>
      <c r="B28" s="50" t="s">
        <v>35</v>
      </c>
      <c r="C28" s="57" t="s">
        <v>36</v>
      </c>
      <c r="D28" s="58">
        <v>1.9918000000000002E-2</v>
      </c>
      <c r="E28" s="59">
        <f>'Nov 02'!$D28*$C$6*$C$2</f>
        <v>2297182.2960781804</v>
      </c>
      <c r="F28" s="53">
        <v>17.9899976623432</v>
      </c>
      <c r="G28" s="60">
        <f>'Nov 02'!$E28/'Nov 02'!$F28</f>
        <v>127692.19536290769</v>
      </c>
      <c r="H28" s="57">
        <v>141167</v>
      </c>
      <c r="I28" s="57">
        <f>ROUND(Table13895845679910111213144562678910111213141516171819202134567891011121314151617181920212223[[#This Row],[Target Quantity]],0)</f>
        <v>127692</v>
      </c>
      <c r="J28" s="61">
        <f>I28-H28</f>
        <v>-13475</v>
      </c>
      <c r="K28" s="62">
        <f>'Nov 02'!$F28*'Nov 02'!$I28</f>
        <v>2297178.7814999279</v>
      </c>
      <c r="L28" s="55">
        <f>'Nov 02'!$K28/$K$2</f>
        <v>1.8167645118209765E-2</v>
      </c>
      <c r="M28" s="50"/>
      <c r="O28" s="44"/>
    </row>
    <row r="29" spans="1:15" s="46" customFormat="1" ht="12.75" customHeight="1" x14ac:dyDescent="0.25">
      <c r="A29" s="36"/>
      <c r="B29" s="36"/>
      <c r="C29" s="36"/>
      <c r="D29" s="37"/>
      <c r="E29" s="38"/>
      <c r="F29" s="38"/>
      <c r="G29" s="39"/>
      <c r="H29" s="36"/>
      <c r="I29" s="36"/>
      <c r="J29" s="48"/>
      <c r="K29" s="41"/>
      <c r="L29" s="42"/>
      <c r="M29" s="36"/>
      <c r="O29" s="44"/>
    </row>
    <row r="30" spans="1:15" s="4" customFormat="1" ht="25.5" x14ac:dyDescent="0.2">
      <c r="A30" s="36" t="s">
        <v>150</v>
      </c>
      <c r="B30" s="63" t="s">
        <v>98</v>
      </c>
      <c r="C30" s="64" t="s">
        <v>99</v>
      </c>
      <c r="D30" s="37">
        <v>3.0873000000000001E-2</v>
      </c>
      <c r="E30" s="38">
        <f>'Nov 02'!$D30*$C$6*$C$2</f>
        <v>3560644.0921187703</v>
      </c>
      <c r="F30" s="38">
        <v>157146.23999999999</v>
      </c>
      <c r="G30" s="39">
        <f>'Nov 02'!$E30/'Nov 02'!$F30</f>
        <v>22.658156454260507</v>
      </c>
      <c r="H30" s="36">
        <v>25</v>
      </c>
      <c r="I30" s="36">
        <v>23</v>
      </c>
      <c r="J30" s="40">
        <f t="shared" ref="J30:J39" si="1">I30-H30</f>
        <v>-2</v>
      </c>
      <c r="K30" s="41">
        <f>'Nov 02'!$F30*'Nov 02'!$I30</f>
        <v>3614363.5199999996</v>
      </c>
      <c r="L30" s="42">
        <f>'Nov 02'!$K30/$K$2</f>
        <v>2.858483383547895E-2</v>
      </c>
      <c r="M30" s="65"/>
    </row>
    <row r="31" spans="1:15" s="4" customFormat="1" ht="25.5" x14ac:dyDescent="0.2">
      <c r="A31" s="36" t="s">
        <v>150</v>
      </c>
      <c r="B31" s="63" t="s">
        <v>102</v>
      </c>
      <c r="C31" s="64" t="s">
        <v>103</v>
      </c>
      <c r="D31" s="37">
        <v>3.0873000000000001E-2</v>
      </c>
      <c r="E31" s="38">
        <f>'Nov 02'!$D31*$C$6*$C$2</f>
        <v>3560644.0921187703</v>
      </c>
      <c r="F31" s="38">
        <v>213887.5</v>
      </c>
      <c r="G31" s="39">
        <f>'Nov 02'!$E31/'Nov 02'!$F31</f>
        <v>16.647275283122063</v>
      </c>
      <c r="H31" s="36">
        <v>18</v>
      </c>
      <c r="I31" s="36">
        <v>17</v>
      </c>
      <c r="J31" s="40">
        <f t="shared" si="1"/>
        <v>-1</v>
      </c>
      <c r="K31" s="41">
        <f>'Nov 02'!$F31*'Nov 02'!$I31</f>
        <v>3636087.5</v>
      </c>
      <c r="L31" s="42">
        <f>'Nov 02'!$K31/$K$2</f>
        <v>2.8756641777626751E-2</v>
      </c>
      <c r="M31" s="65"/>
    </row>
    <row r="32" spans="1:15" s="4" customFormat="1" ht="25.5" x14ac:dyDescent="0.2">
      <c r="A32" s="36" t="s">
        <v>150</v>
      </c>
      <c r="B32" s="63" t="s">
        <v>104</v>
      </c>
      <c r="C32" s="64" t="s">
        <v>105</v>
      </c>
      <c r="D32" s="37">
        <v>3.0873000000000001E-2</v>
      </c>
      <c r="E32" s="38">
        <f>'Nov 02'!$D32*$C$6*$C$2</f>
        <v>3560644.0921187703</v>
      </c>
      <c r="F32" s="38">
        <v>172073.52173913</v>
      </c>
      <c r="G32" s="39">
        <f>'Nov 02'!$E32/'Nov 02'!$F32</f>
        <v>20.692574058644784</v>
      </c>
      <c r="H32" s="36">
        <v>23</v>
      </c>
      <c r="I32" s="36">
        <v>21</v>
      </c>
      <c r="J32" s="40">
        <f t="shared" si="1"/>
        <v>-2</v>
      </c>
      <c r="K32" s="41">
        <f>'Nov 02'!$F32*'Nov 02'!$I32</f>
        <v>3613543.9565217299</v>
      </c>
      <c r="L32" s="42">
        <f>'Nov 02'!$K32/$K$2</f>
        <v>2.8578352172604054E-2</v>
      </c>
      <c r="M32" s="65"/>
    </row>
    <row r="33" spans="1:13" s="4" customFormat="1" ht="25.5" x14ac:dyDescent="0.2">
      <c r="A33" s="36" t="s">
        <v>150</v>
      </c>
      <c r="B33" s="63" t="s">
        <v>106</v>
      </c>
      <c r="C33" s="64" t="s">
        <v>107</v>
      </c>
      <c r="D33" s="37">
        <v>3.0873000000000001E-2</v>
      </c>
      <c r="E33" s="38">
        <f>'Nov 02'!$D33*$C$6*$C$2</f>
        <v>3560644.0921187703</v>
      </c>
      <c r="F33" s="38">
        <v>125604.419354839</v>
      </c>
      <c r="G33" s="39">
        <f>'Nov 02'!$E33/'Nov 02'!$F33</f>
        <v>28.348079712543921</v>
      </c>
      <c r="H33" s="36">
        <v>31</v>
      </c>
      <c r="I33" s="36">
        <v>28</v>
      </c>
      <c r="J33" s="40">
        <f t="shared" si="1"/>
        <v>-3</v>
      </c>
      <c r="K33" s="41">
        <f>'Nov 02'!$F33*'Nov 02'!$I33</f>
        <v>3516923.741935492</v>
      </c>
      <c r="L33" s="42">
        <f>'Nov 02'!$K33/$K$2</f>
        <v>2.7814214098552243E-2</v>
      </c>
      <c r="M33" s="65"/>
    </row>
    <row r="34" spans="1:13" s="4" customFormat="1" ht="25.5" x14ac:dyDescent="0.2">
      <c r="A34" s="36" t="s">
        <v>150</v>
      </c>
      <c r="B34" s="63" t="s">
        <v>108</v>
      </c>
      <c r="C34" s="64" t="s">
        <v>109</v>
      </c>
      <c r="D34" s="37">
        <v>3.0873000000000001E-2</v>
      </c>
      <c r="E34" s="38">
        <f>'Nov 02'!$D34*$C$6*$C$2</f>
        <v>3560644.0921187703</v>
      </c>
      <c r="F34" s="38">
        <v>138172.14285714299</v>
      </c>
      <c r="G34" s="39">
        <f>'Nov 02'!$E34/'Nov 02'!$F34</f>
        <v>25.769623445734222</v>
      </c>
      <c r="H34" s="36">
        <v>28</v>
      </c>
      <c r="I34" s="36">
        <v>26</v>
      </c>
      <c r="J34" s="40">
        <f t="shared" si="1"/>
        <v>-2</v>
      </c>
      <c r="K34" s="41">
        <f>'Nov 02'!$F34*'Nov 02'!$I34</f>
        <v>3592475.7142857178</v>
      </c>
      <c r="L34" s="42">
        <f>'Nov 02'!$K34/$K$2</f>
        <v>2.8411730248663756E-2</v>
      </c>
      <c r="M34" s="65"/>
    </row>
    <row r="35" spans="1:13" s="4" customFormat="1" ht="25.5" x14ac:dyDescent="0.2">
      <c r="A35" s="36" t="s">
        <v>150</v>
      </c>
      <c r="B35" s="63" t="s">
        <v>114</v>
      </c>
      <c r="C35" s="64" t="s">
        <v>115</v>
      </c>
      <c r="D35" s="37">
        <v>3.0873000000000001E-2</v>
      </c>
      <c r="E35" s="38">
        <f>'Nov 02'!$D35*$C$6*$C$2</f>
        <v>3560644.0921187703</v>
      </c>
      <c r="F35" s="38">
        <v>220841.38888888899</v>
      </c>
      <c r="G35" s="39">
        <f>'Nov 02'!$E35/'Nov 02'!$F35</f>
        <v>16.123083222910822</v>
      </c>
      <c r="H35" s="36">
        <v>18</v>
      </c>
      <c r="I35" s="36">
        <v>16</v>
      </c>
      <c r="J35" s="40">
        <f t="shared" si="1"/>
        <v>-2</v>
      </c>
      <c r="K35" s="41">
        <f>'Nov 02'!$F35*'Nov 02'!$I35</f>
        <v>3533462.2222222239</v>
      </c>
      <c r="L35" s="42">
        <f>'Nov 02'!$K35/$K$2</f>
        <v>2.7945011598104134E-2</v>
      </c>
      <c r="M35" s="65"/>
    </row>
    <row r="36" spans="1:13" s="46" customFormat="1" ht="25.5" customHeight="1" x14ac:dyDescent="0.25">
      <c r="A36" s="36" t="s">
        <v>151</v>
      </c>
      <c r="B36" s="36" t="s">
        <v>152</v>
      </c>
      <c r="C36" s="36" t="s">
        <v>63</v>
      </c>
      <c r="D36" s="37">
        <v>3.0873000000000001E-2</v>
      </c>
      <c r="E36" s="38">
        <f>'Nov 02'!$D36*$C$6*$C$2</f>
        <v>3560644.0921187703</v>
      </c>
      <c r="F36" s="38">
        <v>113273.852941176</v>
      </c>
      <c r="G36" s="39">
        <f>'Nov 02'!$E36/'Nov 02'!$F36</f>
        <v>31.43394525449612</v>
      </c>
      <c r="H36" s="36">
        <v>34</v>
      </c>
      <c r="I36" s="36">
        <v>31</v>
      </c>
      <c r="J36" s="40">
        <f t="shared" si="1"/>
        <v>-3</v>
      </c>
      <c r="K36" s="41">
        <f>'Nov 02'!$F36*'Nov 02'!$I36</f>
        <v>3511489.4411764559</v>
      </c>
      <c r="L36" s="42">
        <f>'Nov 02'!$K36/$K$2</f>
        <v>2.7771235968834657E-2</v>
      </c>
      <c r="M36" s="43"/>
    </row>
    <row r="37" spans="1:13" s="46" customFormat="1" ht="25.5" x14ac:dyDescent="0.25">
      <c r="A37" s="36" t="s">
        <v>151</v>
      </c>
      <c r="B37" s="36" t="s">
        <v>60</v>
      </c>
      <c r="C37" s="36" t="s">
        <v>61</v>
      </c>
      <c r="D37" s="37">
        <v>3.0873000000000001E-2</v>
      </c>
      <c r="E37" s="38">
        <f>'Nov 02'!$D37*$C$6*$C$2</f>
        <v>3560644.0921187703</v>
      </c>
      <c r="F37" s="38">
        <v>132289.75862069</v>
      </c>
      <c r="G37" s="39">
        <f>'Nov 02'!$E37/'Nov 02'!$F37</f>
        <v>26.915493151122046</v>
      </c>
      <c r="H37" s="36">
        <v>29</v>
      </c>
      <c r="I37" s="36">
        <v>27</v>
      </c>
      <c r="J37" s="40">
        <f t="shared" si="1"/>
        <v>-2</v>
      </c>
      <c r="K37" s="41">
        <f>'Nov 02'!$F37*'Nov 02'!$I37</f>
        <v>3571823.4827586301</v>
      </c>
      <c r="L37" s="42">
        <f>'Nov 02'!$K37/$K$2</f>
        <v>2.8248398419071351E-2</v>
      </c>
      <c r="M37" s="43"/>
    </row>
    <row r="38" spans="1:13" s="46" customFormat="1" ht="25.5" x14ac:dyDescent="0.25">
      <c r="A38" s="36" t="s">
        <v>151</v>
      </c>
      <c r="B38" s="36" t="s">
        <v>56</v>
      </c>
      <c r="C38" s="36" t="s">
        <v>57</v>
      </c>
      <c r="D38" s="37">
        <v>3.0873000000000001E-2</v>
      </c>
      <c r="E38" s="38">
        <f>'Nov 02'!$D38*$C$6*$C$2</f>
        <v>3560644.0921187703</v>
      </c>
      <c r="F38" s="38">
        <v>173564.227272727</v>
      </c>
      <c r="G38" s="39">
        <f>'Nov 02'!$E38/'Nov 02'!$F38</f>
        <v>20.514850024503129</v>
      </c>
      <c r="H38" s="36">
        <v>22</v>
      </c>
      <c r="I38" s="36">
        <v>21</v>
      </c>
      <c r="J38" s="40">
        <f t="shared" si="1"/>
        <v>-1</v>
      </c>
      <c r="K38" s="41">
        <f>'Nov 02'!$F38*'Nov 02'!$I38</f>
        <v>3644848.7727272669</v>
      </c>
      <c r="L38" s="42">
        <f>'Nov 02'!$K38/$K$2</f>
        <v>2.8825931854208821E-2</v>
      </c>
      <c r="M38" s="43"/>
    </row>
    <row r="39" spans="1:13" s="46" customFormat="1" ht="25.5" x14ac:dyDescent="0.25">
      <c r="A39" s="36" t="s">
        <v>151</v>
      </c>
      <c r="B39" s="36" t="s">
        <v>66</v>
      </c>
      <c r="C39" s="36" t="s">
        <v>67</v>
      </c>
      <c r="D39" s="37">
        <v>3.0873000000000001E-2</v>
      </c>
      <c r="E39" s="38">
        <f>'Nov 02'!$D39*$C$6*$C$2</f>
        <v>3560644.0921187703</v>
      </c>
      <c r="F39" s="38">
        <v>265362.33333333302</v>
      </c>
      <c r="G39" s="39">
        <f>'Nov 02'!$E39/'Nov 02'!$F39</f>
        <v>13.418046364726875</v>
      </c>
      <c r="H39" s="36">
        <v>15</v>
      </c>
      <c r="I39" s="36">
        <v>13</v>
      </c>
      <c r="J39" s="40">
        <f t="shared" si="1"/>
        <v>-2</v>
      </c>
      <c r="K39" s="41">
        <f>'Nov 02'!$F39*'Nov 02'!$I39</f>
        <v>3449710.3333333293</v>
      </c>
      <c r="L39" s="42">
        <f>'Nov 02'!$K39/$K$2</f>
        <v>2.7282644956218443E-2</v>
      </c>
      <c r="M39" s="43"/>
    </row>
    <row r="40" spans="1:13" s="67" customFormat="1" ht="12.75" x14ac:dyDescent="0.2">
      <c r="A40" s="36"/>
      <c r="B40" s="64"/>
      <c r="C40" s="64"/>
      <c r="D40" s="37"/>
      <c r="E40" s="66"/>
      <c r="F40" s="38"/>
      <c r="G40" s="39"/>
      <c r="H40" s="36"/>
      <c r="I40" s="36"/>
      <c r="J40" s="48"/>
      <c r="K40" s="38"/>
      <c r="L40" s="49"/>
      <c r="M40" s="65"/>
    </row>
    <row r="41" spans="1:13" s="17" customFormat="1" ht="12.75" x14ac:dyDescent="0.2">
      <c r="A41" s="50" t="s">
        <v>153</v>
      </c>
      <c r="B41" s="68"/>
      <c r="C41" s="68"/>
      <c r="D41" s="58">
        <f>SUBTOTAL(9,D30:D40)</f>
        <v>0.30873</v>
      </c>
      <c r="E41" s="69">
        <f>'Nov 02'!$D41*$C$6*$C$2</f>
        <v>35606440.921187699</v>
      </c>
      <c r="F41" s="70"/>
      <c r="G41" s="71"/>
      <c r="H41" s="57"/>
      <c r="I41" s="57"/>
      <c r="J41" s="61"/>
      <c r="K41" s="69">
        <f>SUM(K30:K40)</f>
        <v>35684728.684960842</v>
      </c>
      <c r="L41" s="72">
        <f>'Nov 02'!$K41/$K$2</f>
        <v>0.28221899492936314</v>
      </c>
      <c r="M41" s="73"/>
    </row>
    <row r="42" spans="1:13" s="67" customFormat="1" ht="12.75" x14ac:dyDescent="0.2">
      <c r="A42" s="36"/>
      <c r="B42" s="64"/>
      <c r="C42" s="64"/>
      <c r="D42" s="37"/>
      <c r="E42" s="66"/>
      <c r="F42" s="38"/>
      <c r="G42" s="39"/>
      <c r="H42" s="36"/>
      <c r="I42" s="36"/>
      <c r="J42" s="48"/>
      <c r="K42" s="38"/>
      <c r="L42" s="42"/>
      <c r="M42" s="65"/>
    </row>
    <row r="43" spans="1:13" s="4" customFormat="1" ht="24.75" customHeight="1" x14ac:dyDescent="0.2">
      <c r="A43" s="36" t="s">
        <v>150</v>
      </c>
      <c r="B43" s="64" t="s">
        <v>110</v>
      </c>
      <c r="C43" s="64" t="s">
        <v>111</v>
      </c>
      <c r="D43" s="37">
        <v>0.1</v>
      </c>
      <c r="E43" s="38">
        <f>'Nov 02'!$D43*$C$6*$C$2</f>
        <v>11533197.590512</v>
      </c>
      <c r="F43" s="38">
        <v>416343.69696969702</v>
      </c>
      <c r="G43" s="39">
        <f>'Nov 02'!$E43/'Nov 02'!$F43</f>
        <v>27.701146131080801</v>
      </c>
      <c r="H43" s="36">
        <v>33</v>
      </c>
      <c r="I43" s="36">
        <v>33</v>
      </c>
      <c r="J43" s="40">
        <f>I43-H43</f>
        <v>0</v>
      </c>
      <c r="K43" s="41">
        <f>'Nov 02'!$F43*'Nov 02'!$I43</f>
        <v>13739342.000000002</v>
      </c>
      <c r="L43" s="42">
        <f>'Nov 02'!$K43/$K$2</f>
        <v>0.10866001881261161</v>
      </c>
      <c r="M43" s="65"/>
    </row>
    <row r="44" spans="1:13" s="46" customFormat="1" ht="25.5" x14ac:dyDescent="0.25">
      <c r="A44" s="36" t="s">
        <v>151</v>
      </c>
      <c r="B44" s="36" t="s">
        <v>68</v>
      </c>
      <c r="C44" s="36" t="s">
        <v>69</v>
      </c>
      <c r="D44" s="37">
        <v>0.1</v>
      </c>
      <c r="E44" s="38">
        <f>'Nov 02'!$D44*$C$6*$C$2</f>
        <v>11533197.590512</v>
      </c>
      <c r="F44" s="38">
        <v>249398.872727273</v>
      </c>
      <c r="G44" s="39">
        <f>'Nov 02'!$E44/'Nov 02'!$F44</f>
        <v>46.2439844430411</v>
      </c>
      <c r="H44" s="36">
        <v>55</v>
      </c>
      <c r="I44" s="36">
        <v>55</v>
      </c>
      <c r="J44" s="40">
        <f>I44-H44</f>
        <v>0</v>
      </c>
      <c r="K44" s="41">
        <f>'Nov 02'!$F44*'Nov 02'!$I44</f>
        <v>13716938.000000015</v>
      </c>
      <c r="L44" s="42">
        <f>'Nov 02'!$K44/$K$2</f>
        <v>0.10848283281189365</v>
      </c>
      <c r="M44" s="43"/>
    </row>
    <row r="45" spans="1:13" s="46" customFormat="1" ht="25.5" x14ac:dyDescent="0.25">
      <c r="A45" s="36" t="s">
        <v>151</v>
      </c>
      <c r="B45" s="36" t="s">
        <v>92</v>
      </c>
      <c r="C45" s="36" t="s">
        <v>93</v>
      </c>
      <c r="D45" s="37">
        <v>0.1</v>
      </c>
      <c r="E45" s="38">
        <f>'Nov 02'!$D45*$C$6*$C$2</f>
        <v>11533197.590512</v>
      </c>
      <c r="F45" s="38">
        <v>416359.03030302998</v>
      </c>
      <c r="G45" s="39">
        <f>'Nov 02'!$E45/'Nov 02'!$F45</f>
        <v>27.700125975694657</v>
      </c>
      <c r="H45" s="36">
        <v>33</v>
      </c>
      <c r="I45" s="36">
        <v>33</v>
      </c>
      <c r="J45" s="40">
        <f>I45-H45</f>
        <v>0</v>
      </c>
      <c r="K45" s="41">
        <f>'Nov 02'!$F45*'Nov 02'!$I45</f>
        <v>13739847.999999989</v>
      </c>
      <c r="L45" s="42">
        <f>'Nov 02'!$K45/$K$2</f>
        <v>0.10866402060320085</v>
      </c>
      <c r="M45" s="43"/>
    </row>
    <row r="46" spans="1:13" s="46" customFormat="1" ht="25.5" x14ac:dyDescent="0.25">
      <c r="A46" s="36" t="s">
        <v>151</v>
      </c>
      <c r="B46" s="36" t="s">
        <v>95</v>
      </c>
      <c r="C46" s="36" t="s">
        <v>96</v>
      </c>
      <c r="D46" s="37">
        <v>0.1</v>
      </c>
      <c r="E46" s="38">
        <f>'Nov 02'!$D46*$C$6*$C$2</f>
        <v>11533197.590512</v>
      </c>
      <c r="F46" s="38">
        <v>249799.272727273</v>
      </c>
      <c r="G46" s="39">
        <f>'Nov 02'!$E46/'Nov 02'!$F46</f>
        <v>46.169860562819842</v>
      </c>
      <c r="H46" s="36">
        <v>55</v>
      </c>
      <c r="I46" s="36">
        <v>55</v>
      </c>
      <c r="J46" s="40">
        <f>I46-H46</f>
        <v>0</v>
      </c>
      <c r="K46" s="41">
        <f>'Nov 02'!$F46*'Nov 02'!$I46</f>
        <v>13738960.000000015</v>
      </c>
      <c r="L46" s="42">
        <f>'Nov 02'!$K46/$K$2</f>
        <v>0.10865699769797708</v>
      </c>
      <c r="M46" s="43"/>
    </row>
    <row r="47" spans="1:13" s="46" customFormat="1" ht="25.5" x14ac:dyDescent="0.25">
      <c r="A47" s="36" t="s">
        <v>151</v>
      </c>
      <c r="B47" s="36" t="s">
        <v>77</v>
      </c>
      <c r="C47" s="36" t="s">
        <v>78</v>
      </c>
      <c r="D47" s="37">
        <v>0.1</v>
      </c>
      <c r="E47" s="38">
        <f>'Nov 02'!$D47*$C$6*$C$2</f>
        <v>11533197.590512</v>
      </c>
      <c r="F47" s="38">
        <v>160854.117647059</v>
      </c>
      <c r="G47" s="39">
        <f>'Nov 02'!$E47/'Nov 02'!$F47</f>
        <v>71.699734885356037</v>
      </c>
      <c r="H47" s="36">
        <v>85</v>
      </c>
      <c r="I47" s="36">
        <v>85</v>
      </c>
      <c r="J47" s="40">
        <f>I47-H47</f>
        <v>0</v>
      </c>
      <c r="K47" s="41">
        <f>'Nov 02'!$F47*'Nov 02'!$I47</f>
        <v>13672600.000000015</v>
      </c>
      <c r="L47" s="42">
        <f>'Nov 02'!$K47/$K$2</f>
        <v>0.10813217788867291</v>
      </c>
      <c r="M47" s="43"/>
    </row>
    <row r="48" spans="1:13" s="47" customFormat="1" ht="12.75" x14ac:dyDescent="0.25">
      <c r="A48" s="36"/>
      <c r="B48" s="36"/>
      <c r="C48" s="36"/>
      <c r="D48" s="37"/>
      <c r="E48" s="38"/>
      <c r="F48" s="38"/>
      <c r="G48" s="39"/>
      <c r="H48" s="36"/>
      <c r="I48" s="36"/>
      <c r="J48" s="48"/>
      <c r="K48" s="38"/>
      <c r="L48" s="42"/>
      <c r="M48" s="36"/>
    </row>
    <row r="49" spans="1:16" s="56" customFormat="1" ht="25.5" x14ac:dyDescent="0.25">
      <c r="A49" s="50" t="s">
        <v>154</v>
      </c>
      <c r="B49" s="50"/>
      <c r="C49" s="50"/>
      <c r="D49" s="58">
        <f>SUBTOTAL(9,D43:D48)</f>
        <v>0.5</v>
      </c>
      <c r="E49" s="52">
        <f>'Nov 02'!$D49*$C$6*$C$2</f>
        <v>57665987.95256</v>
      </c>
      <c r="F49" s="71"/>
      <c r="G49" s="71"/>
      <c r="H49" s="57"/>
      <c r="I49" s="57"/>
      <c r="J49" s="61"/>
      <c r="K49" s="52">
        <f>SUM(K43:K48)</f>
        <v>68607688.00000003</v>
      </c>
      <c r="L49" s="74">
        <f>'Nov 02'!$K49/$K$2</f>
        <v>0.54259604781435611</v>
      </c>
      <c r="M49" s="50"/>
    </row>
    <row r="50" spans="1:16" s="47" customFormat="1" ht="12.75" x14ac:dyDescent="0.25">
      <c r="A50" s="36"/>
      <c r="B50" s="36"/>
      <c r="C50" s="36"/>
      <c r="D50" s="37"/>
      <c r="E50" s="38"/>
      <c r="F50" s="38"/>
      <c r="G50" s="39"/>
      <c r="H50" s="36"/>
      <c r="I50" s="36"/>
      <c r="J50" s="48"/>
      <c r="K50" s="38"/>
      <c r="L50" s="42"/>
      <c r="M50" s="36"/>
    </row>
    <row r="51" spans="1:16" s="46" customFormat="1" ht="12.75" x14ac:dyDescent="0.25">
      <c r="A51" s="36"/>
      <c r="B51" s="36"/>
      <c r="C51" s="36"/>
      <c r="D51" s="37"/>
      <c r="E51" s="38"/>
      <c r="F51" s="38"/>
      <c r="G51" s="75"/>
      <c r="H51" s="36"/>
      <c r="I51" s="36"/>
      <c r="J51" s="40"/>
      <c r="K51" s="41"/>
      <c r="L51" s="42"/>
      <c r="M51" s="43"/>
    </row>
    <row r="52" spans="1:16" s="46" customFormat="1" ht="25.5" x14ac:dyDescent="0.25">
      <c r="A52" s="36" t="s">
        <v>155</v>
      </c>
      <c r="B52" s="36" t="s">
        <v>156</v>
      </c>
      <c r="C52" s="36" t="s">
        <v>54</v>
      </c>
      <c r="D52" s="37">
        <v>9.9599999999999992E-4</v>
      </c>
      <c r="E52" s="38">
        <f>'Nov 02'!$D52*$C$6*$C$2</f>
        <v>114870.64800149952</v>
      </c>
      <c r="F52" s="38">
        <v>46194</v>
      </c>
      <c r="G52" s="75">
        <f>'Nov 02'!$E52/'Nov 02'!$F52</f>
        <v>2.4867006105013534</v>
      </c>
      <c r="H52" s="36">
        <v>3</v>
      </c>
      <c r="I52" s="36">
        <v>2</v>
      </c>
      <c r="J52" s="40">
        <f t="shared" ref="J52:J61" si="2">I52-H52</f>
        <v>-1</v>
      </c>
      <c r="K52" s="41">
        <f>'Nov 02'!$F52*'Nov 02'!$I52</f>
        <v>92388</v>
      </c>
      <c r="L52" s="42">
        <f>'Nov 02'!$K52/$K$2</f>
        <v>7.3066685566598169E-4</v>
      </c>
      <c r="M52" s="43"/>
    </row>
    <row r="53" spans="1:16" s="46" customFormat="1" ht="25.5" x14ac:dyDescent="0.25">
      <c r="A53" s="36" t="s">
        <v>155</v>
      </c>
      <c r="B53" s="36" t="s">
        <v>157</v>
      </c>
      <c r="C53" s="36" t="s">
        <v>158</v>
      </c>
      <c r="D53" s="37">
        <v>9.9599999999999992E-4</v>
      </c>
      <c r="E53" s="38">
        <f>'Nov 02'!$D53*$C$6*$C$2</f>
        <v>114870.64800149952</v>
      </c>
      <c r="F53" s="38">
        <v>168035</v>
      </c>
      <c r="G53" s="75">
        <f>'Nov 02'!$E53/'Nov 02'!$F53</f>
        <v>0.68361143810217817</v>
      </c>
      <c r="H53" s="36">
        <v>1</v>
      </c>
      <c r="I53" s="36">
        <v>1</v>
      </c>
      <c r="J53" s="40">
        <f t="shared" si="2"/>
        <v>0</v>
      </c>
      <c r="K53" s="41">
        <f>'Nov 02'!$F53*'Nov 02'!$I53</f>
        <v>168035</v>
      </c>
      <c r="L53" s="42">
        <f>'Nov 02'!$K53/$K$2</f>
        <v>1.3289345487707629E-3</v>
      </c>
      <c r="M53" s="43"/>
      <c r="P53" s="46" t="s">
        <v>159</v>
      </c>
    </row>
    <row r="54" spans="1:16" s="46" customFormat="1" ht="25.5" x14ac:dyDescent="0.25">
      <c r="A54" s="36" t="s">
        <v>155</v>
      </c>
      <c r="B54" s="36" t="s">
        <v>160</v>
      </c>
      <c r="C54" s="36" t="s">
        <v>84</v>
      </c>
      <c r="D54" s="37">
        <v>9.9599999999999992E-4</v>
      </c>
      <c r="E54" s="38">
        <f>'Nov 02'!$D54*$C$6*$C$2</f>
        <v>114870.64800149952</v>
      </c>
      <c r="F54" s="38">
        <v>90502</v>
      </c>
      <c r="G54" s="75">
        <f>'Nov 02'!$E54/'Nov 02'!$F54</f>
        <v>1.269260878229205</v>
      </c>
      <c r="H54" s="36">
        <v>1</v>
      </c>
      <c r="I54" s="36">
        <v>1</v>
      </c>
      <c r="J54" s="40">
        <f t="shared" si="2"/>
        <v>0</v>
      </c>
      <c r="K54" s="41">
        <f>'Nov 02'!$F54*'Nov 02'!$I54</f>
        <v>90502</v>
      </c>
      <c r="L54" s="42">
        <f>'Nov 02'!$K54/$K$2</f>
        <v>7.1575109074211666E-4</v>
      </c>
      <c r="M54" s="43"/>
    </row>
    <row r="55" spans="1:16" s="46" customFormat="1" ht="25.5" x14ac:dyDescent="0.25">
      <c r="A55" s="36" t="s">
        <v>155</v>
      </c>
      <c r="B55" s="36" t="s">
        <v>161</v>
      </c>
      <c r="C55" s="36" t="s">
        <v>86</v>
      </c>
      <c r="D55" s="37">
        <v>9.9599999999999992E-4</v>
      </c>
      <c r="E55" s="38">
        <f>'Nov 02'!$D55*$C$6*$C$2</f>
        <v>114870.64800149952</v>
      </c>
      <c r="F55" s="38">
        <v>223896</v>
      </c>
      <c r="G55" s="75">
        <f>'Nov 02'!$E55/'Nov 02'!$F55</f>
        <v>0.51305359631927105</v>
      </c>
      <c r="H55" s="36">
        <v>1</v>
      </c>
      <c r="I55" s="36">
        <v>1</v>
      </c>
      <c r="J55" s="40">
        <f t="shared" si="2"/>
        <v>0</v>
      </c>
      <c r="K55" s="41">
        <f>'Nov 02'!$F55*'Nov 02'!$I55</f>
        <v>223896</v>
      </c>
      <c r="L55" s="42">
        <f>'Nov 02'!$K55/$K$2</f>
        <v>1.7707211576848795E-3</v>
      </c>
      <c r="M55" s="43"/>
    </row>
    <row r="56" spans="1:16" s="46" customFormat="1" ht="25.5" x14ac:dyDescent="0.25">
      <c r="A56" s="36" t="s">
        <v>155</v>
      </c>
      <c r="B56" s="36" t="s">
        <v>87</v>
      </c>
      <c r="C56" s="36" t="s">
        <v>88</v>
      </c>
      <c r="D56" s="37">
        <v>9.9599999999999992E-4</v>
      </c>
      <c r="E56" s="38">
        <f>'Nov 02'!$D56*$C$6*$C$2</f>
        <v>114870.64800149952</v>
      </c>
      <c r="F56" s="38">
        <v>11474.8181818182</v>
      </c>
      <c r="G56" s="75">
        <f>'Nov 02'!$E56/'Nov 02'!$F56</f>
        <v>10.010672603380467</v>
      </c>
      <c r="H56" s="36">
        <v>11</v>
      </c>
      <c r="I56" s="36">
        <v>10</v>
      </c>
      <c r="J56" s="40">
        <f t="shared" si="2"/>
        <v>-1</v>
      </c>
      <c r="K56" s="41">
        <f>'Nov 02'!$F56*'Nov 02'!$I56</f>
        <v>114748.181818182</v>
      </c>
      <c r="L56" s="42">
        <f>'Nov 02'!$K56/$K$2</f>
        <v>9.0750631253495493E-4</v>
      </c>
      <c r="M56" s="43"/>
    </row>
    <row r="57" spans="1:16" s="46" customFormat="1" ht="25.5" x14ac:dyDescent="0.25">
      <c r="A57" s="36" t="s">
        <v>155</v>
      </c>
      <c r="B57" s="36" t="s">
        <v>162</v>
      </c>
      <c r="C57" s="36" t="s">
        <v>91</v>
      </c>
      <c r="D57" s="37">
        <v>9.9599999999999992E-4</v>
      </c>
      <c r="E57" s="38">
        <f>'Nov 02'!$D57*$C$6*$C$2</f>
        <v>114870.64800149952</v>
      </c>
      <c r="F57" s="38">
        <v>89187</v>
      </c>
      <c r="G57" s="75">
        <f>'Nov 02'!$E57/'Nov 02'!$F57</f>
        <v>1.2879752430455058</v>
      </c>
      <c r="H57" s="36">
        <v>1</v>
      </c>
      <c r="I57" s="36">
        <v>1</v>
      </c>
      <c r="J57" s="40">
        <f t="shared" si="2"/>
        <v>0</v>
      </c>
      <c r="K57" s="41">
        <f>'Nov 02'!$F57*'Nov 02'!$I57</f>
        <v>89187</v>
      </c>
      <c r="L57" s="42">
        <f>'Nov 02'!$K57/$K$2</f>
        <v>7.0535118041609201E-4</v>
      </c>
      <c r="M57" s="43"/>
    </row>
    <row r="58" spans="1:16" s="4" customFormat="1" ht="25.5" x14ac:dyDescent="0.2">
      <c r="A58" s="36" t="s">
        <v>155</v>
      </c>
      <c r="B58" s="64" t="s">
        <v>163</v>
      </c>
      <c r="C58" s="64" t="s">
        <v>113</v>
      </c>
      <c r="D58" s="37">
        <v>9.9599999999999992E-4</v>
      </c>
      <c r="E58" s="38">
        <f>'Nov 02'!$D58*$C$6*$C$2</f>
        <v>114870.64800149952</v>
      </c>
      <c r="F58" s="38">
        <v>63278</v>
      </c>
      <c r="G58" s="75">
        <f>'Nov 02'!$E58/'Nov 02'!$F58</f>
        <v>1.8153331015755794</v>
      </c>
      <c r="H58" s="36">
        <v>2</v>
      </c>
      <c r="I58" s="36">
        <v>2</v>
      </c>
      <c r="J58" s="40">
        <f t="shared" si="2"/>
        <v>0</v>
      </c>
      <c r="K58" s="41">
        <f>'Nov 02'!$F58*'Nov 02'!$I58</f>
        <v>126556</v>
      </c>
      <c r="L58" s="42">
        <f>'Nov 02'!$K58/$K$2</f>
        <v>1.0008905332474346E-3</v>
      </c>
      <c r="M58" s="65"/>
    </row>
    <row r="59" spans="1:16" s="46" customFormat="1" ht="25.5" x14ac:dyDescent="0.25">
      <c r="A59" s="36" t="s">
        <v>155</v>
      </c>
      <c r="B59" s="36" t="s">
        <v>164</v>
      </c>
      <c r="C59" s="36" t="s">
        <v>82</v>
      </c>
      <c r="D59" s="37">
        <v>9.9599999999999992E-4</v>
      </c>
      <c r="E59" s="38">
        <f>'Nov 02'!$D59*$C$6*$C$2</f>
        <v>114870.64800149952</v>
      </c>
      <c r="F59" s="38">
        <v>32940</v>
      </c>
      <c r="G59" s="75">
        <f>'Nov 02'!$E59/'Nov 02'!$F59</f>
        <v>3.4872692168032642</v>
      </c>
      <c r="H59" s="36">
        <v>4</v>
      </c>
      <c r="I59" s="36">
        <v>3</v>
      </c>
      <c r="J59" s="40">
        <f t="shared" si="2"/>
        <v>-1</v>
      </c>
      <c r="K59" s="41">
        <f>'Nov 02'!$F59*'Nov 02'!$I59</f>
        <v>98820</v>
      </c>
      <c r="L59" s="42">
        <f>'Nov 02'!$K59/$K$2</f>
        <v>7.8153546647738144E-4</v>
      </c>
      <c r="M59" s="43"/>
    </row>
    <row r="60" spans="1:16" s="46" customFormat="1" ht="25.5" x14ac:dyDescent="0.25">
      <c r="A60" s="36" t="s">
        <v>155</v>
      </c>
      <c r="B60" s="36" t="s">
        <v>100</v>
      </c>
      <c r="C60" s="36" t="s">
        <v>101</v>
      </c>
      <c r="D60" s="37">
        <v>9.9599999999999992E-4</v>
      </c>
      <c r="E60" s="38">
        <f>'Nov 02'!$D60*$C$6*$C$2</f>
        <v>114870.64800149952</v>
      </c>
      <c r="F60" s="38">
        <v>7566.375</v>
      </c>
      <c r="G60" s="75">
        <f>'Nov 02'!$E60/'Nov 02'!$F60</f>
        <v>15.181728106457784</v>
      </c>
      <c r="H60" s="36">
        <v>16</v>
      </c>
      <c r="I60" s="36">
        <v>15</v>
      </c>
      <c r="J60" s="40">
        <f t="shared" si="2"/>
        <v>-1</v>
      </c>
      <c r="K60" s="41">
        <f>'Nov 02'!$F60*'Nov 02'!$I60</f>
        <v>113495.625</v>
      </c>
      <c r="L60" s="42">
        <f>'Nov 02'!$K60/$K$2</f>
        <v>8.9760024516815371E-4</v>
      </c>
      <c r="M60" s="43"/>
    </row>
    <row r="61" spans="1:16" s="46" customFormat="1" ht="25.5" x14ac:dyDescent="0.25">
      <c r="A61" s="36" t="s">
        <v>155</v>
      </c>
      <c r="B61" s="36" t="s">
        <v>165</v>
      </c>
      <c r="C61" s="36" t="s">
        <v>166</v>
      </c>
      <c r="D61" s="37">
        <v>9.9599999999999992E-4</v>
      </c>
      <c r="E61" s="38">
        <f>'Nov 02'!$D61*$C$6*$C$2</f>
        <v>114870.64800149952</v>
      </c>
      <c r="F61" s="38">
        <v>41974.666666666701</v>
      </c>
      <c r="G61" s="75">
        <f>'Nov 02'!$E61/'Nov 02'!$F61</f>
        <v>2.7366661161057326</v>
      </c>
      <c r="H61" s="36">
        <v>3</v>
      </c>
      <c r="I61" s="36">
        <v>3</v>
      </c>
      <c r="J61" s="40">
        <f t="shared" si="2"/>
        <v>0</v>
      </c>
      <c r="K61" s="41">
        <f>'Nov 02'!$F61*'Nov 02'!$I61</f>
        <v>125924.0000000001</v>
      </c>
      <c r="L61" s="42">
        <f>'Nov 02'!$K61/$K$2</f>
        <v>9.9589224934930028E-4</v>
      </c>
      <c r="M61" s="43"/>
    </row>
    <row r="62" spans="1:16" s="46" customFormat="1" ht="12.75" x14ac:dyDescent="0.25">
      <c r="A62" s="36"/>
      <c r="B62" s="36"/>
      <c r="C62" s="36"/>
      <c r="D62" s="37"/>
      <c r="E62" s="38"/>
      <c r="F62" s="38"/>
      <c r="G62" s="39"/>
      <c r="H62" s="36"/>
      <c r="I62" s="36"/>
      <c r="J62" s="43"/>
      <c r="K62" s="41"/>
      <c r="L62" s="42"/>
      <c r="M62" s="43"/>
    </row>
    <row r="63" spans="1:16" s="46" customFormat="1" ht="12.75" x14ac:dyDescent="0.25">
      <c r="A63" s="36"/>
      <c r="B63" s="36"/>
      <c r="C63" s="36"/>
      <c r="D63" s="37"/>
      <c r="E63" s="38"/>
      <c r="F63" s="38"/>
      <c r="G63" s="39"/>
      <c r="H63" s="36"/>
      <c r="I63" s="36"/>
      <c r="J63" s="43"/>
      <c r="K63" s="41"/>
      <c r="L63" s="42"/>
      <c r="M63" s="43"/>
    </row>
    <row r="64" spans="1:16" s="46" customFormat="1" ht="12.75" x14ac:dyDescent="0.25">
      <c r="A64" s="36"/>
      <c r="B64" s="36"/>
      <c r="C64" s="36"/>
      <c r="D64" s="37"/>
      <c r="E64" s="38"/>
      <c r="F64" s="38"/>
      <c r="G64" s="39"/>
      <c r="H64" s="36"/>
      <c r="I64" s="36"/>
      <c r="J64" s="43"/>
      <c r="K64" s="41"/>
      <c r="L64" s="42"/>
      <c r="M64" s="43"/>
    </row>
    <row r="65" spans="1:13" s="17" customFormat="1" ht="12.75" x14ac:dyDescent="0.2">
      <c r="A65" s="50" t="s">
        <v>167</v>
      </c>
      <c r="B65" s="68"/>
      <c r="C65" s="68"/>
      <c r="D65" s="76">
        <f>SUM(D52:D64)</f>
        <v>9.9600000000000018E-3</v>
      </c>
      <c r="E65" s="52">
        <f>SUM(E51:E64)</f>
        <v>1148706.480014995</v>
      </c>
      <c r="F65" s="71"/>
      <c r="G65" s="71"/>
      <c r="H65" s="68"/>
      <c r="I65" s="68"/>
      <c r="J65" s="50"/>
      <c r="K65" s="52">
        <f>SUM(K51:K64)</f>
        <v>1243551.8068181821</v>
      </c>
      <c r="L65" s="55">
        <f>'Nov 02'!$K65/$K$2</f>
        <v>9.8348496400570574E-3</v>
      </c>
      <c r="M65" s="62"/>
    </row>
    <row r="66" spans="1:13" s="4" customFormat="1" ht="12.75" x14ac:dyDescent="0.2">
      <c r="A66" s="36"/>
      <c r="B66" s="64"/>
      <c r="C66" s="64"/>
      <c r="D66" s="77"/>
      <c r="E66" s="38"/>
      <c r="F66" s="38"/>
      <c r="G66" s="39"/>
      <c r="H66" s="64"/>
      <c r="I66" s="64"/>
      <c r="J66" s="36"/>
      <c r="K66" s="36"/>
      <c r="L66" s="42"/>
      <c r="M66" s="65"/>
    </row>
    <row r="67" spans="1:13" s="46" customFormat="1" ht="25.5" x14ac:dyDescent="0.25">
      <c r="A67" s="50" t="s">
        <v>168</v>
      </c>
      <c r="B67" s="57" t="s">
        <v>169</v>
      </c>
      <c r="C67" s="57" t="s">
        <v>170</v>
      </c>
      <c r="D67" s="58">
        <v>2.0509999999999999E-3</v>
      </c>
      <c r="E67" s="59">
        <f>'Nov 02'!$D67*$C$6*$C$2</f>
        <v>236545.88258140112</v>
      </c>
      <c r="F67" s="59">
        <v>33400</v>
      </c>
      <c r="G67" s="60">
        <f>'Nov 02'!$E67/'Nov 02'!$F67</f>
        <v>7.082212053335363</v>
      </c>
      <c r="H67" s="57">
        <v>24</v>
      </c>
      <c r="I67" s="57">
        <v>7</v>
      </c>
      <c r="J67" s="78">
        <f>I67-H67</f>
        <v>-17</v>
      </c>
      <c r="K67" s="59">
        <f>'Nov 02'!$F67*'Nov 02'!$I67</f>
        <v>233800</v>
      </c>
      <c r="L67" s="79">
        <f>'Nov 02'!$K67/$K$2</f>
        <v>1.8490486952278059E-3</v>
      </c>
      <c r="M67" s="57"/>
    </row>
    <row r="68" spans="1:13" s="4" customFormat="1" ht="12.75" x14ac:dyDescent="0.2">
      <c r="A68" s="36"/>
      <c r="B68" s="64"/>
      <c r="C68" s="64"/>
      <c r="D68" s="77"/>
      <c r="E68" s="38"/>
      <c r="F68" s="38"/>
      <c r="G68" s="39"/>
      <c r="H68" s="64"/>
      <c r="I68" s="64"/>
      <c r="J68" s="36"/>
      <c r="K68" s="36"/>
      <c r="L68" s="42"/>
      <c r="M68" s="65"/>
    </row>
    <row r="69" spans="1:13" s="4" customFormat="1" ht="12.75" x14ac:dyDescent="0.2">
      <c r="A69" s="36"/>
      <c r="B69" s="64"/>
      <c r="C69" s="64"/>
      <c r="D69" s="80"/>
      <c r="E69" s="66"/>
      <c r="F69" s="38"/>
      <c r="G69" s="39"/>
      <c r="H69" s="64"/>
      <c r="I69" s="64"/>
      <c r="J69" s="36"/>
      <c r="K69" s="36"/>
      <c r="L69" s="42"/>
      <c r="M69" s="65"/>
    </row>
    <row r="70" spans="1:13" s="17" customFormat="1" ht="12.75" x14ac:dyDescent="0.2">
      <c r="A70" s="50" t="s">
        <v>171</v>
      </c>
      <c r="B70" s="68"/>
      <c r="C70" s="68"/>
      <c r="D70" s="68"/>
      <c r="E70" s="81"/>
      <c r="F70" s="81"/>
      <c r="G70" s="50"/>
      <c r="H70" s="68"/>
      <c r="I70" s="68"/>
      <c r="J70" s="68"/>
      <c r="K70" s="81">
        <f>SUM(K26,K28,K41,K49,K65,K67:K67)</f>
        <v>126443397.95020676</v>
      </c>
      <c r="L70" s="55">
        <f>'Nov 02'!$K70/$K$2</f>
        <v>1.0000000000000002</v>
      </c>
      <c r="M70" s="68"/>
    </row>
    <row r="71" spans="1:13" s="4" customFormat="1" ht="12.75" x14ac:dyDescent="0.2">
      <c r="A71" s="65"/>
      <c r="B71" s="65"/>
      <c r="C71" s="65"/>
      <c r="D71" s="82"/>
      <c r="E71" s="83"/>
      <c r="F71" s="38"/>
      <c r="G71" s="84"/>
      <c r="H71" s="65"/>
      <c r="I71" s="65"/>
      <c r="J71" s="65"/>
      <c r="K71" s="65"/>
      <c r="L71" s="42"/>
      <c r="M71" s="65"/>
    </row>
    <row r="72" spans="1:13" s="4" customFormat="1" ht="12.75" x14ac:dyDescent="0.2">
      <c r="A72" s="65"/>
      <c r="B72" s="65"/>
      <c r="C72" s="65"/>
      <c r="D72" s="82"/>
      <c r="E72" s="83"/>
      <c r="F72" s="38"/>
      <c r="G72" s="84"/>
      <c r="H72" s="65"/>
      <c r="I72" s="65"/>
      <c r="J72" s="65"/>
      <c r="K72" s="65"/>
      <c r="L72" s="42"/>
      <c r="M72" s="65"/>
    </row>
    <row r="73" spans="1:13" s="4" customFormat="1" ht="12.75" x14ac:dyDescent="0.2">
      <c r="A73" s="65"/>
      <c r="B73" s="65"/>
      <c r="C73" s="65"/>
      <c r="D73" s="82"/>
      <c r="E73" s="83"/>
      <c r="F73" s="38"/>
      <c r="G73" s="84"/>
      <c r="H73" s="65"/>
      <c r="I73" s="65"/>
      <c r="J73" s="65"/>
      <c r="K73" s="65"/>
      <c r="L73" s="42"/>
      <c r="M73" s="65"/>
    </row>
    <row r="74" spans="1:13" s="4" customFormat="1" ht="12.75" x14ac:dyDescent="0.2">
      <c r="A74" s="65"/>
      <c r="B74" s="65"/>
      <c r="C74" s="65"/>
      <c r="D74" s="82"/>
      <c r="E74" s="83"/>
      <c r="F74" s="38"/>
      <c r="G74" s="84"/>
      <c r="H74" s="65"/>
      <c r="I74" s="65"/>
      <c r="J74" s="65"/>
      <c r="K74" s="65"/>
      <c r="L74" s="42"/>
      <c r="M74" s="65"/>
    </row>
    <row r="75" spans="1:13" s="4" customFormat="1" ht="12.75" x14ac:dyDescent="0.2">
      <c r="A75" s="65"/>
      <c r="B75" s="65"/>
      <c r="C75" s="65"/>
      <c r="D75" s="82"/>
      <c r="E75" s="83"/>
      <c r="F75" s="38"/>
      <c r="G75" s="84"/>
      <c r="H75" s="65"/>
      <c r="I75" s="65"/>
      <c r="J75" s="65"/>
      <c r="K75" s="65"/>
      <c r="L75" s="42"/>
      <c r="M75" s="65"/>
    </row>
    <row r="76" spans="1:13" s="4" customFormat="1" ht="12.75" x14ac:dyDescent="0.2">
      <c r="A76" s="65"/>
      <c r="B76" s="65"/>
      <c r="C76" s="65"/>
      <c r="D76" s="82"/>
      <c r="E76" s="83"/>
      <c r="F76" s="38"/>
      <c r="G76" s="84"/>
      <c r="H76" s="65"/>
      <c r="I76" s="65"/>
      <c r="J76" s="65"/>
      <c r="K76" s="65"/>
      <c r="L76" s="42"/>
      <c r="M76" s="65"/>
    </row>
    <row r="77" spans="1:13" s="4" customFormat="1" ht="12.75" x14ac:dyDescent="0.2">
      <c r="A77" s="65"/>
      <c r="B77" s="65"/>
      <c r="C77" s="65"/>
      <c r="D77" s="82"/>
      <c r="E77" s="83"/>
      <c r="F77" s="38"/>
      <c r="G77" s="84"/>
      <c r="H77" s="65"/>
      <c r="I77" s="65"/>
      <c r="J77" s="65"/>
      <c r="K77" s="65"/>
      <c r="L77" s="42"/>
      <c r="M77" s="65"/>
    </row>
    <row r="78" spans="1:13" s="4" customFormat="1" ht="12.75" x14ac:dyDescent="0.2">
      <c r="A78" s="65"/>
      <c r="B78" s="65"/>
      <c r="C78" s="65"/>
      <c r="D78" s="82"/>
      <c r="E78" s="83"/>
      <c r="F78" s="38"/>
      <c r="G78" s="84"/>
      <c r="H78" s="65"/>
      <c r="I78" s="65"/>
      <c r="J78" s="65"/>
      <c r="K78" s="65"/>
      <c r="L78" s="42"/>
      <c r="M78" s="65"/>
    </row>
    <row r="79" spans="1:13" s="4" customFormat="1" ht="12.75" x14ac:dyDescent="0.2">
      <c r="A79" s="65"/>
      <c r="B79" s="65"/>
      <c r="C79" s="65"/>
      <c r="D79" s="82"/>
      <c r="E79" s="83"/>
      <c r="F79" s="38"/>
      <c r="G79" s="84"/>
      <c r="H79" s="65"/>
      <c r="I79" s="65"/>
      <c r="J79" s="65"/>
      <c r="K79" s="65"/>
      <c r="L79" s="42"/>
      <c r="M79" s="65"/>
    </row>
    <row r="80" spans="1:13" s="4" customFormat="1" ht="12.75" x14ac:dyDescent="0.2"/>
    <row r="81" spans="1:13" s="4" customFormat="1" ht="12.75" x14ac:dyDescent="0.2"/>
    <row r="83" spans="1:13" s="4" customFormat="1" ht="12.75" x14ac:dyDescent="0.2">
      <c r="A83" s="85"/>
      <c r="B83" s="85"/>
      <c r="E83" s="85"/>
      <c r="F83" s="85"/>
      <c r="G83" s="85"/>
      <c r="H83" s="86"/>
      <c r="M83" s="85"/>
    </row>
    <row r="84" spans="1:13" s="4" customFormat="1" ht="12.75" x14ac:dyDescent="0.2">
      <c r="A84" s="85"/>
      <c r="B84" s="85"/>
      <c r="E84" s="85"/>
      <c r="F84" s="85"/>
      <c r="G84" s="85"/>
      <c r="H84" s="86"/>
      <c r="M84" s="85"/>
    </row>
    <row r="85" spans="1:13" s="4" customFormat="1" ht="12.75" x14ac:dyDescent="0.2">
      <c r="A85" s="87"/>
      <c r="B85" s="87"/>
    </row>
    <row r="86" spans="1:13" s="4" customFormat="1" ht="12.75" x14ac:dyDescent="0.2">
      <c r="A86" s="88"/>
      <c r="B86" s="88"/>
      <c r="E86" s="88"/>
      <c r="F86" s="87"/>
      <c r="G86" s="87"/>
      <c r="M86" s="89"/>
    </row>
    <row r="87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C0DE-086C-4497-A10E-244E47846ADD}">
  <dimension ref="A1:AMH97"/>
  <sheetViews>
    <sheetView tabSelected="1" topLeftCell="A16" zoomScaleNormal="100" workbookViewId="0">
      <pane xSplit="2" topLeftCell="C1" activePane="topRight" state="frozen"/>
      <selection pane="topRight" activeCell="O36" sqref="O36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116</v>
      </c>
      <c r="C1" s="6">
        <v>44165</v>
      </c>
      <c r="D1" s="7"/>
      <c r="E1" s="8" t="s">
        <v>117</v>
      </c>
      <c r="F1" s="9"/>
      <c r="G1" s="10"/>
      <c r="K1" s="11" t="s">
        <v>118</v>
      </c>
      <c r="L1" s="11" t="s">
        <v>119</v>
      </c>
      <c r="M1" s="12" t="s">
        <v>120</v>
      </c>
    </row>
    <row r="2" spans="1:17" x14ac:dyDescent="0.25">
      <c r="A2" s="5"/>
      <c r="B2" s="5" t="s">
        <v>121</v>
      </c>
      <c r="C2" s="13">
        <v>8.1999999999999993</v>
      </c>
      <c r="D2" s="14"/>
      <c r="E2" s="15">
        <f>SUM(E37,E52,E60,E75,E39,E77)</f>
        <v>232350068.35800001</v>
      </c>
      <c r="F2" s="16"/>
      <c r="G2" s="17"/>
      <c r="H2" s="14"/>
      <c r="I2" s="14"/>
      <c r="J2" s="14"/>
      <c r="K2" s="15">
        <f>SUM(K37,K52,K60,K75,K39,K77:K77)</f>
        <v>216324594.80228549</v>
      </c>
      <c r="L2" s="18">
        <f>SUM(L60,L75,L52,L37,L39,L77)</f>
        <v>1</v>
      </c>
      <c r="M2" s="19">
        <f>K2/$C$6</f>
        <v>7.6344357886979957</v>
      </c>
      <c r="N2" s="20"/>
    </row>
    <row r="3" spans="1:17" ht="26.25" x14ac:dyDescent="0.25">
      <c r="A3" s="5"/>
      <c r="B3" s="5" t="s">
        <v>122</v>
      </c>
      <c r="C3" s="21">
        <v>28335374.190000001</v>
      </c>
      <c r="D3" s="22"/>
      <c r="E3" s="8" t="s">
        <v>123</v>
      </c>
      <c r="F3" s="16"/>
      <c r="H3" s="14"/>
      <c r="I3" s="14"/>
      <c r="J3" s="14"/>
      <c r="K3" s="8" t="s">
        <v>123</v>
      </c>
      <c r="L3" s="14"/>
      <c r="M3" s="12" t="s">
        <v>124</v>
      </c>
      <c r="N3" s="23"/>
    </row>
    <row r="4" spans="1:17" x14ac:dyDescent="0.25">
      <c r="A4" s="5"/>
      <c r="B4" s="5" t="s">
        <v>125</v>
      </c>
      <c r="C4" s="21">
        <v>0</v>
      </c>
      <c r="D4" s="22"/>
      <c r="E4" s="15">
        <f>SUM(E37,E75,E39)</f>
        <v>48793514.35518001</v>
      </c>
      <c r="F4" s="16"/>
      <c r="G4" s="17"/>
      <c r="H4" s="14"/>
      <c r="I4" s="14"/>
      <c r="J4" s="14"/>
      <c r="K4" s="15">
        <f>SUM(K37,K39,K75)</f>
        <v>48705198.644075312</v>
      </c>
      <c r="L4" s="14"/>
      <c r="M4" s="19">
        <f>K4/$C$6</f>
        <v>1.7188831994060676</v>
      </c>
      <c r="N4" s="23"/>
    </row>
    <row r="5" spans="1:17" x14ac:dyDescent="0.25">
      <c r="A5" s="5"/>
      <c r="B5" s="5" t="s">
        <v>126</v>
      </c>
      <c r="C5" s="21">
        <v>0</v>
      </c>
      <c r="D5" s="22"/>
      <c r="E5" s="16"/>
      <c r="F5" s="16"/>
      <c r="G5" s="24">
        <f>SUM(D37,D39,D52,D60,D75,D77:D77)</f>
        <v>1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127</v>
      </c>
      <c r="C6" s="21">
        <f>C3+C4-C5</f>
        <v>28335374.190000001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128</v>
      </c>
      <c r="B8" s="30" t="s">
        <v>129</v>
      </c>
      <c r="C8" s="31" t="s">
        <v>1</v>
      </c>
      <c r="D8" s="31" t="s">
        <v>130</v>
      </c>
      <c r="E8" s="31" t="s">
        <v>131</v>
      </c>
      <c r="F8" s="31" t="s">
        <v>132</v>
      </c>
      <c r="G8" s="31" t="s">
        <v>133</v>
      </c>
      <c r="H8" s="31" t="s">
        <v>134</v>
      </c>
      <c r="I8" s="31" t="s">
        <v>135</v>
      </c>
      <c r="J8" s="31" t="s">
        <v>136</v>
      </c>
      <c r="K8" s="32" t="s">
        <v>137</v>
      </c>
      <c r="L8" s="32" t="s">
        <v>138</v>
      </c>
      <c r="M8" s="32" t="s">
        <v>139</v>
      </c>
      <c r="N8" s="33"/>
      <c r="Q8" s="35"/>
    </row>
    <row r="9" spans="1:17" s="46" customFormat="1" ht="12.75" customHeight="1" x14ac:dyDescent="0.25">
      <c r="A9" s="36" t="s">
        <v>140</v>
      </c>
      <c r="B9" s="36" t="s">
        <v>49</v>
      </c>
      <c r="C9" s="36" t="s">
        <v>50</v>
      </c>
      <c r="D9" s="37">
        <v>1.2E-2</v>
      </c>
      <c r="E9" s="38">
        <f>'Nov 30'!$D9*$C$6*$C$2</f>
        <v>2788200.8202959998</v>
      </c>
      <c r="F9" s="38">
        <f>INDEX('TWS data'!M:M,MATCH(Table1389584567991011121314456267891011121314151617181920213456789101112131415161718192021222334567891011121314151617181920[[#This Row],[IB Ticker]],'TWS data'!B:B,0))</f>
        <v>592</v>
      </c>
      <c r="G9" s="39">
        <f>'Nov 30'!$E9/'Nov 30'!$F9</f>
        <v>4709.7986829324318</v>
      </c>
      <c r="H9" s="36">
        <f>INDEX('TWS data'!F:F,MATCH(Table1389584567991011121314456267891011121314151617181920213456789101112131415161718192021222334567891011121314151617181920[[#This Row],[IB Ticker]],'TWS data'!B:B,0))</f>
        <v>4884</v>
      </c>
      <c r="I9" s="36">
        <f>ROUND(Table1389584567991011121314456267891011121314151617181920213456789101112131415161718192021222334567891011121314151617181920[[#This Row],[Target Quantity]],0)</f>
        <v>4710</v>
      </c>
      <c r="J9" s="40">
        <f t="shared" ref="J9:J35" si="0">I9-H9</f>
        <v>-174</v>
      </c>
      <c r="K9" s="41">
        <f>'Nov 30'!$F9*'Nov 30'!$I9</f>
        <v>2788320</v>
      </c>
      <c r="L9" s="42">
        <f>'Nov 30'!$K9/$K$2</f>
        <v>1.2889519116161733E-2</v>
      </c>
      <c r="M9" s="43"/>
    </row>
    <row r="10" spans="1:17" s="46" customFormat="1" ht="12.75" customHeight="1" x14ac:dyDescent="0.25">
      <c r="A10" s="36" t="s">
        <v>140</v>
      </c>
      <c r="B10" s="36" t="s">
        <v>37</v>
      </c>
      <c r="C10" s="36" t="s">
        <v>38</v>
      </c>
      <c r="D10" s="37">
        <v>1.2E-2</v>
      </c>
      <c r="E10" s="38">
        <f>'Nov 30'!$D10*$C$6*$C$2</f>
        <v>2788200.8202959998</v>
      </c>
      <c r="F10" s="38">
        <f>INDEX('TWS data'!M:M,MATCH(Table1389584567991011121314456267891011121314151617181920213456789101112131415161718192021222334567891011121314151617181920[[#This Row],[IB Ticker]],'TWS data'!B:B,0))</f>
        <v>87.800019195086051</v>
      </c>
      <c r="G10" s="39">
        <f>'Nov 30'!$E10/'Nov 30'!$F10</f>
        <v>31756.266637035638</v>
      </c>
      <c r="H10" s="36">
        <f>INDEX('TWS data'!F:F,MATCH(Table1389584567991011121314456267891011121314151617181920213456789101112131415161718192021222334567891011121314151617181920[[#This Row],[IB Ticker]],'TWS data'!B:B,0))</f>
        <v>31258</v>
      </c>
      <c r="I10" s="36">
        <f>ROUND(Table1389584567991011121314456267891011121314151617181920213456789101112131415161718192021222334567891011121314151617181920[[#This Row],[Target Quantity]],0)</f>
        <v>31756</v>
      </c>
      <c r="J10" s="40">
        <f t="shared" si="0"/>
        <v>498</v>
      </c>
      <c r="K10" s="41">
        <f>'Nov 30'!$F10*'Nov 30'!$I10</f>
        <v>2788177.4095591526</v>
      </c>
      <c r="L10" s="42">
        <f>'Nov 30'!$K10/$K$2</f>
        <v>1.2888859965772579E-2</v>
      </c>
      <c r="M10" s="43"/>
    </row>
    <row r="11" spans="1:17" s="47" customFormat="1" ht="12.75" customHeight="1" x14ac:dyDescent="0.25">
      <c r="A11" s="36" t="s">
        <v>140</v>
      </c>
      <c r="B11" s="36" t="s">
        <v>27</v>
      </c>
      <c r="C11" s="36" t="s">
        <v>28</v>
      </c>
      <c r="D11" s="37">
        <v>1.2E-2</v>
      </c>
      <c r="E11" s="38">
        <f>'Nov 30'!$D11*$C$6*$C$2</f>
        <v>2788200.8202959998</v>
      </c>
      <c r="F11" s="38">
        <f>INDEX('TWS data'!M:M,MATCH(Table1389584567991011121314456267891011121314151617181920213456789101112131415161718192021222334567891011121314151617181920[[#This Row],[IB Ticker]],'TWS data'!B:B,0))</f>
        <v>226.86996293667693</v>
      </c>
      <c r="G11" s="39">
        <f>'Nov 30'!$E11/'Nov 30'!$F11</f>
        <v>12289.863251197479</v>
      </c>
      <c r="H11" s="36">
        <f>INDEX('TWS data'!F:F,MATCH(Table1389584567991011121314456267891011121314151617181920213456789101112131415161718192021222334567891011121314151617181920[[#This Row],[IB Ticker]],'TWS data'!B:B,0))</f>
        <v>12681</v>
      </c>
      <c r="I11" s="36">
        <f>ROUND(Table1389584567991011121314456267891011121314151617181920213456789101112131415161718192021222334567891011121314151617181920[[#This Row],[Target Quantity]],0)</f>
        <v>12290</v>
      </c>
      <c r="J11" s="40">
        <f t="shared" si="0"/>
        <v>-391</v>
      </c>
      <c r="K11" s="41">
        <f>'Nov 30'!$F11*'Nov 30'!$I11</f>
        <v>2788231.8444917593</v>
      </c>
      <c r="L11" s="42">
        <f>'Nov 30'!$K11/$K$2</f>
        <v>1.2889111601203384E-2</v>
      </c>
      <c r="M11" s="36"/>
    </row>
    <row r="12" spans="1:17" s="47" customFormat="1" ht="12.75" customHeight="1" x14ac:dyDescent="0.25">
      <c r="A12" s="36" t="s">
        <v>140</v>
      </c>
      <c r="B12" s="36" t="s">
        <v>51</v>
      </c>
      <c r="C12" s="36" t="s">
        <v>52</v>
      </c>
      <c r="D12" s="37">
        <v>1.2E-2</v>
      </c>
      <c r="E12" s="38">
        <f>'Nov 30'!$D12*$C$6*$C$2</f>
        <v>2788200.8202959998</v>
      </c>
      <c r="F12" s="38">
        <f>INDEX('TWS data'!M:M,MATCH(Table1389584567991011121314456267891011121314151617181920213456789101112131415161718192021222334567891011121314151617181920[[#This Row],[IB Ticker]],'TWS data'!B:B,0))</f>
        <v>478.09993714644878</v>
      </c>
      <c r="G12" s="39">
        <f>'Nov 30'!$E12/'Nov 30'!$F12</f>
        <v>5831.8368267049873</v>
      </c>
      <c r="H12" s="36">
        <f>INDEX('TWS data'!F:F,MATCH(Table1389584567991011121314456267891011121314151617181920213456789101112131415161718192021222334567891011121314151617181920[[#This Row],[IB Ticker]],'TWS data'!B:B,0))</f>
        <v>6364</v>
      </c>
      <c r="I12" s="36">
        <f>ROUND(Table1389584567991011121314456267891011121314151617181920213456789101112131415161718192021222334567891011121314151617181920[[#This Row],[Target Quantity]],0)</f>
        <v>5832</v>
      </c>
      <c r="J12" s="40">
        <f t="shared" si="0"/>
        <v>-532</v>
      </c>
      <c r="K12" s="41">
        <f>'Nov 30'!$F12*'Nov 30'!$I12</f>
        <v>2788278.8334380891</v>
      </c>
      <c r="L12" s="42">
        <f>'Nov 30'!$K12/$K$2</f>
        <v>1.2889328816200933E-2</v>
      </c>
      <c r="M12" s="36"/>
    </row>
    <row r="13" spans="1:17" s="47" customFormat="1" ht="12.75" customHeight="1" x14ac:dyDescent="0.25">
      <c r="A13" s="36" t="s">
        <v>140</v>
      </c>
      <c r="B13" s="36" t="s">
        <v>41</v>
      </c>
      <c r="C13" s="36" t="s">
        <v>42</v>
      </c>
      <c r="D13" s="37">
        <v>1.2E-2</v>
      </c>
      <c r="E13" s="38">
        <f>'Nov 30'!$D13*$C$6*$C$2</f>
        <v>2788200.8202959998</v>
      </c>
      <c r="F13" s="38">
        <f>INDEX('TWS data'!M:M,MATCH(Table1389584567991011121314456267891011121314151617181920213456789101112131415161718192021222334567891011121314151617181920[[#This Row],[IB Ticker]],'TWS data'!B:B,0))</f>
        <v>1513.4302998421883</v>
      </c>
      <c r="G13" s="39">
        <f>'Nov 30'!$E13/'Nov 30'!$F13</f>
        <v>1842.3054042110409</v>
      </c>
      <c r="H13" s="36">
        <f>INDEX('TWS data'!F:F,MATCH(Table1389584567991011121314456267891011121314151617181920213456789101112131415161718192021222334567891011121314151617181920[[#This Row],[IB Ticker]],'TWS data'!B:B,0))</f>
        <v>1901</v>
      </c>
      <c r="I13" s="36">
        <f>ROUND(Table1389584567991011121314456267891011121314151617181920213456789101112131415161718192021222334567891011121314151617181920[[#This Row],[Target Quantity]],0)</f>
        <v>1842</v>
      </c>
      <c r="J13" s="40">
        <f t="shared" si="0"/>
        <v>-59</v>
      </c>
      <c r="K13" s="41">
        <f>'Nov 30'!$F13*'Nov 30'!$I13</f>
        <v>2787738.6123093111</v>
      </c>
      <c r="L13" s="42">
        <f>'Nov 30'!$K13/$K$2</f>
        <v>1.2886831545239803E-2</v>
      </c>
      <c r="M13" s="36"/>
    </row>
    <row r="14" spans="1:17" s="47" customFormat="1" ht="12.75" customHeight="1" x14ac:dyDescent="0.25">
      <c r="A14" s="36" t="s">
        <v>140</v>
      </c>
      <c r="B14" s="36" t="s">
        <v>31</v>
      </c>
      <c r="C14" s="36" t="s">
        <v>32</v>
      </c>
      <c r="D14" s="37">
        <v>1.2E-2</v>
      </c>
      <c r="E14" s="38">
        <f>'Nov 30'!$D14*$C$6*$C$2</f>
        <v>2788200.8202959998</v>
      </c>
      <c r="F14" s="38">
        <f>INDEX('TWS data'!M:M,MATCH(Table1389584567991011121314456267891011121314151617181920213456789101112131415161718192021222334567891011121314151617181920[[#This Row],[IB Ticker]],'TWS data'!B:B,0))</f>
        <v>287.41004050309101</v>
      </c>
      <c r="G14" s="39">
        <f>'Nov 30'!$E14/'Nov 30'!$F14</f>
        <v>9701.1253170399013</v>
      </c>
      <c r="H14" s="36">
        <f>INDEX('TWS data'!F:F,MATCH(Table1389584567991011121314456267891011121314151617181920213456789101112131415161718192021222334567891011121314151617181920[[#This Row],[IB Ticker]],'TWS data'!B:B,0))</f>
        <v>9382</v>
      </c>
      <c r="I14" s="36">
        <f>ROUND(Table1389584567991011121314456267891011121314151617181920213456789101112131415161718192021222334567891011121314151617181920[[#This Row],[Target Quantity]],0)</f>
        <v>9701</v>
      </c>
      <c r="J14" s="40">
        <f t="shared" si="0"/>
        <v>319</v>
      </c>
      <c r="K14" s="41">
        <f>'Nov 30'!$F14*'Nov 30'!$I14</f>
        <v>2788164.8029204858</v>
      </c>
      <c r="L14" s="42">
        <f>'Nov 30'!$K14/$K$2</f>
        <v>1.2888801689279894E-2</v>
      </c>
      <c r="M14" s="36"/>
    </row>
    <row r="15" spans="1:17" s="47" customFormat="1" ht="12.75" customHeight="1" x14ac:dyDescent="0.25">
      <c r="A15" s="36" t="s">
        <v>140</v>
      </c>
      <c r="B15" s="36" t="s">
        <v>29</v>
      </c>
      <c r="C15" s="36" t="s">
        <v>30</v>
      </c>
      <c r="D15" s="37">
        <v>1.2E-2</v>
      </c>
      <c r="E15" s="38">
        <f>'Nov 30'!$D15*$C$6*$C$2</f>
        <v>2788200.8202959998</v>
      </c>
      <c r="F15" s="38">
        <f>INDEX('TWS data'!M:M,MATCH(Table1389584567991011121314456267891011121314151617181920213456789101112131415161718192021222334567891011121314151617181920[[#This Row],[IB Ticker]],'TWS data'!B:B,0))</f>
        <v>24.159996619194523</v>
      </c>
      <c r="G15" s="39">
        <f>'Nov 30'!$E15/'Nov 30'!$F15</f>
        <v>115405.67924090034</v>
      </c>
      <c r="H15" s="36">
        <f>INDEX('TWS data'!F:F,MATCH(Table1389584567991011121314456267891011121314151617181920213456789101112131415161718192021222334567891011121314151617181920[[#This Row],[IB Ticker]],'TWS data'!B:B,0))</f>
        <v>118315</v>
      </c>
      <c r="I15" s="36">
        <f>ROUND(Table1389584567991011121314456267891011121314151617181920213456789101112131415161718192021222334567891011121314151617181920[[#This Row],[Target Quantity]],0)</f>
        <v>115406</v>
      </c>
      <c r="J15" s="40">
        <f t="shared" si="0"/>
        <v>-2909</v>
      </c>
      <c r="K15" s="41">
        <f>'Nov 30'!$F15*'Nov 30'!$I15</f>
        <v>2788208.5698347632</v>
      </c>
      <c r="L15" s="42">
        <f>'Nov 30'!$K15/$K$2</f>
        <v>1.2889004009845049E-2</v>
      </c>
      <c r="M15" s="36"/>
    </row>
    <row r="16" spans="1:17" s="47" customFormat="1" ht="12.75" customHeight="1" x14ac:dyDescent="0.25">
      <c r="A16" s="36" t="s">
        <v>140</v>
      </c>
      <c r="B16" s="36" t="s">
        <v>39</v>
      </c>
      <c r="C16" s="36" t="s">
        <v>40</v>
      </c>
      <c r="D16" s="37">
        <v>6.0000000000000001E-3</v>
      </c>
      <c r="E16" s="38">
        <f>'Nov 30'!$D16*$C$6*$C$2</f>
        <v>1394100.4101479999</v>
      </c>
      <c r="F16" s="38">
        <f>INDEX('TWS data'!M:M,MATCH(Table1389584567991011121314456267891011121314151617181920213456789101112131415161718192021222334567891011121314151617181920[[#This Row],[IB Ticker]],'TWS data'!B:B,0))</f>
        <v>38.840000000000003</v>
      </c>
      <c r="G16" s="39">
        <f>'Nov 30'!$E16/'Nov 30'!$F16</f>
        <v>35893.419416786812</v>
      </c>
      <c r="H16" s="36">
        <f>INDEX('TWS data'!F:F,MATCH(Table1389584567991011121314456267891011121314151617181920213456789101112131415161718192021222334567891011121314151617181920[[#This Row],[IB Ticker]],'TWS data'!B:B,0))</f>
        <v>34475</v>
      </c>
      <c r="I16" s="36">
        <f>ROUND(Table1389584567991011121314456267891011121314151617181920213456789101112131415161718192021222334567891011121314151617181920[[#This Row],[Target Quantity]],0)</f>
        <v>35893</v>
      </c>
      <c r="J16" s="40">
        <f t="shared" si="0"/>
        <v>1418</v>
      </c>
      <c r="K16" s="41">
        <f>'Nov 30'!$F16*'Nov 30'!$I16</f>
        <v>1394084.12</v>
      </c>
      <c r="L16" s="42">
        <f>'Nov 30'!$K16/$K$2</f>
        <v>6.444408788904254E-3</v>
      </c>
      <c r="M16" s="36"/>
    </row>
    <row r="17" spans="1:13" s="47" customFormat="1" ht="12.75" customHeight="1" x14ac:dyDescent="0.25">
      <c r="A17" s="36" t="s">
        <v>140</v>
      </c>
      <c r="B17" s="36" t="s">
        <v>19</v>
      </c>
      <c r="C17" s="36" t="s">
        <v>20</v>
      </c>
      <c r="D17" s="37">
        <v>1.2E-2</v>
      </c>
      <c r="E17" s="38">
        <f>'Nov 30'!$D17*$C$6*$C$2</f>
        <v>2788200.8202959998</v>
      </c>
      <c r="F17" s="38">
        <f>INDEX('TWS data'!M:M,MATCH(Table1389584567991011121314456267891011121314151617181920213456789101112131415161718192021222334567891011121314151617181920[[#This Row],[IB Ticker]],'TWS data'!B:B,0))</f>
        <v>475.5</v>
      </c>
      <c r="G17" s="39">
        <f>'Nov 30'!$E17/'Nov 30'!$F17</f>
        <v>5863.7241225993685</v>
      </c>
      <c r="H17" s="36">
        <f>INDEX('TWS data'!F:F,MATCH(Table1389584567991011121314456267891011121314151617181920213456789101112131415161718192021222334567891011121314151617181920[[#This Row],[IB Ticker]],'TWS data'!B:B,0))</f>
        <v>5760</v>
      </c>
      <c r="I17" s="36">
        <f>ROUND(Table1389584567991011121314456267891011121314151617181920213456789101112131415161718192021222334567891011121314151617181920[[#This Row],[Target Quantity]],0)</f>
        <v>5864</v>
      </c>
      <c r="J17" s="40">
        <f t="shared" si="0"/>
        <v>104</v>
      </c>
      <c r="K17" s="41">
        <f>'Nov 30'!$F17*'Nov 30'!$I17</f>
        <v>2788332</v>
      </c>
      <c r="L17" s="42">
        <f>'Nov 30'!$K17/$K$2</f>
        <v>1.2889574588356243E-2</v>
      </c>
      <c r="M17" s="36"/>
    </row>
    <row r="18" spans="1:13" s="47" customFormat="1" ht="12.75" customHeight="1" x14ac:dyDescent="0.25">
      <c r="A18" s="36" t="s">
        <v>140</v>
      </c>
      <c r="B18" s="36" t="s">
        <v>33</v>
      </c>
      <c r="C18" s="36" t="s">
        <v>34</v>
      </c>
      <c r="D18" s="37">
        <v>6.0000000000000001E-3</v>
      </c>
      <c r="E18" s="38">
        <f>'Nov 30'!$D18*$C$6*$C$2</f>
        <v>1394100.4101479999</v>
      </c>
      <c r="F18" s="38">
        <f>INDEX('TWS data'!M:M,MATCH(Table1389584567991011121314456267891011121314151617181920213456789101112131415161718192021222334567891011121314151617181920[[#This Row],[IB Ticker]],'TWS data'!B:B,0))</f>
        <v>21.719997204165793</v>
      </c>
      <c r="G18" s="39">
        <f>'Nov 30'!$E18/'Nov 30'!$F18</f>
        <v>64185.110018366759</v>
      </c>
      <c r="H18" s="36">
        <f>INDEX('TWS data'!F:F,MATCH(Table1389584567991011121314456267891011121314151617181920213456789101112131415161718192021222334567891011121314151617181920[[#This Row],[IB Ticker]],'TWS data'!B:B,0))</f>
        <v>57228</v>
      </c>
      <c r="I18" s="36">
        <f>ROUND(Table1389584567991011121314456267891011121314151617181920213456789101112131415161718192021222334567891011121314151617181920[[#This Row],[Target Quantity]],0)</f>
        <v>64185</v>
      </c>
      <c r="J18" s="40">
        <f t="shared" si="0"/>
        <v>6957</v>
      </c>
      <c r="K18" s="41">
        <f>'Nov 30'!$F18*'Nov 30'!$I18</f>
        <v>1394098.0205493814</v>
      </c>
      <c r="L18" s="42">
        <f>'Nov 30'!$K18/$K$2</f>
        <v>6.4444730467358427E-3</v>
      </c>
      <c r="M18" s="36"/>
    </row>
    <row r="19" spans="1:13" s="47" customFormat="1" ht="12.75" customHeight="1" x14ac:dyDescent="0.25">
      <c r="A19" s="36" t="s">
        <v>140</v>
      </c>
      <c r="B19" s="36" t="s">
        <v>21</v>
      </c>
      <c r="C19" s="36" t="s">
        <v>22</v>
      </c>
      <c r="D19" s="37">
        <v>1.2E-2</v>
      </c>
      <c r="E19" s="38">
        <f>'Nov 30'!$D19*$C$6*$C$2</f>
        <v>2788200.8202959998</v>
      </c>
      <c r="F19" s="38">
        <f>INDEX('TWS data'!M:M,MATCH(Table1389584567991011121314456267891011121314151617181920213456789101112131415161718192021222334567891011121314151617181920[[#This Row],[IB Ticker]],'TWS data'!B:B,0))</f>
        <v>37.810001294759104</v>
      </c>
      <c r="G19" s="39">
        <f>'Nov 30'!$E19/'Nov 30'!$F19</f>
        <v>73742.415361474108</v>
      </c>
      <c r="H19" s="36">
        <f>INDEX('TWS data'!F:F,MATCH(Table1389584567991011121314456267891011121314151617181920213456789101112131415161718192021222334567891011121314151617181920[[#This Row],[IB Ticker]],'TWS data'!B:B,0))</f>
        <v>69511</v>
      </c>
      <c r="I19" s="36">
        <f>ROUND(Table1389584567991011121314456267891011121314151617181920213456789101112131415161718192021222334567891011121314151617181920[[#This Row],[Target Quantity]],0)</f>
        <v>73742</v>
      </c>
      <c r="J19" s="40">
        <f t="shared" si="0"/>
        <v>4231</v>
      </c>
      <c r="K19" s="41">
        <f>'Nov 30'!$F19*'Nov 30'!$I19</f>
        <v>2788185.1154781259</v>
      </c>
      <c r="L19" s="42">
        <f>'Nov 30'!$K19/$K$2</f>
        <v>1.288889558779226E-2</v>
      </c>
      <c r="M19" s="36"/>
    </row>
    <row r="20" spans="1:13" s="47" customFormat="1" ht="12.75" customHeight="1" x14ac:dyDescent="0.25">
      <c r="A20" s="36" t="s">
        <v>140</v>
      </c>
      <c r="B20" s="36" t="s">
        <v>45</v>
      </c>
      <c r="C20" s="36" t="s">
        <v>46</v>
      </c>
      <c r="D20" s="37">
        <v>6.0000000000000001E-3</v>
      </c>
      <c r="E20" s="38">
        <f>'Nov 30'!$D20*$C$6*$C$2</f>
        <v>1394100.4101479999</v>
      </c>
      <c r="F20" s="38">
        <f>INDEX('TWS data'!M:M,MATCH(Table1389584567991011121314456267891011121314151617181920213456789101112131415161718192021222334567891011121314151617181920[[#This Row],[IB Ticker]],'TWS data'!B:B,0))</f>
        <v>69.930005678005472</v>
      </c>
      <c r="G20" s="39">
        <f>'Nov 30'!$E20/'Nov 30'!$F20</f>
        <v>19935.654182085604</v>
      </c>
      <c r="H20" s="36">
        <f>INDEX('TWS data'!F:F,MATCH(Table1389584567991011121314456267891011121314151617181920213456789101112131415161718192021222334567891011121314151617181920[[#This Row],[IB Ticker]],'TWS data'!B:B,0))</f>
        <v>19373</v>
      </c>
      <c r="I20" s="36">
        <f>ROUND(Table1389584567991011121314456267891011121314151617181920213456789101112131415161718192021222334567891011121314151617181920[[#This Row],[Target Quantity]],0)</f>
        <v>19936</v>
      </c>
      <c r="J20" s="40">
        <f t="shared" si="0"/>
        <v>563</v>
      </c>
      <c r="K20" s="41">
        <f>'Nov 30'!$F20*'Nov 30'!$I20</f>
        <v>1394124.5931967171</v>
      </c>
      <c r="L20" s="42">
        <f>'Nov 30'!$K20/$K$2</f>
        <v>6.4445958836576453E-3</v>
      </c>
      <c r="M20" s="36"/>
    </row>
    <row r="21" spans="1:13" s="47" customFormat="1" ht="12.75" customHeight="1" x14ac:dyDescent="0.25">
      <c r="A21" s="36" t="s">
        <v>140</v>
      </c>
      <c r="B21" s="36" t="s">
        <v>23</v>
      </c>
      <c r="C21" s="36" t="s">
        <v>24</v>
      </c>
      <c r="D21" s="37">
        <v>1.2E-2</v>
      </c>
      <c r="E21" s="38">
        <f>'Nov 30'!$D21*$C$6*$C$2</f>
        <v>2788200.8202959998</v>
      </c>
      <c r="F21" s="38">
        <f>INDEX('TWS data'!M:M,MATCH(Table1389584567991011121314456267891011121314151617181920213456789101112131415161718192021222334567891011121314151617181920[[#This Row],[IB Ticker]],'TWS data'!B:B,0))</f>
        <v>261.95002388915435</v>
      </c>
      <c r="G21" s="39">
        <f>'Nov 30'!$E21/'Nov 30'!$F21</f>
        <v>10644.018194385975</v>
      </c>
      <c r="H21" s="36">
        <f>INDEX('TWS data'!F:F,MATCH(Table1389584567991011121314456267891011121314151617181920213456789101112131415161718192021222334567891011121314151617181920[[#This Row],[IB Ticker]],'TWS data'!B:B,0))</f>
        <v>10465</v>
      </c>
      <c r="I21" s="36">
        <f>ROUND(Table1389584567991011121314456267891011121314151617181920213456789101112131415161718192021222334567891011121314151617181920[[#This Row],[Target Quantity]],0)</f>
        <v>10644</v>
      </c>
      <c r="J21" s="40">
        <f t="shared" si="0"/>
        <v>179</v>
      </c>
      <c r="K21" s="41">
        <f>'Nov 30'!$F21*'Nov 30'!$I21</f>
        <v>2788196.054276159</v>
      </c>
      <c r="L21" s="42">
        <f>'Nov 30'!$K21/$K$2</f>
        <v>1.2888946154386609E-2</v>
      </c>
      <c r="M21" s="36"/>
    </row>
    <row r="22" spans="1:13" s="47" customFormat="1" ht="12.75" customHeight="1" x14ac:dyDescent="0.25">
      <c r="A22" s="36" t="s">
        <v>140</v>
      </c>
      <c r="B22" s="36" t="s">
        <v>47</v>
      </c>
      <c r="C22" s="36" t="s">
        <v>48</v>
      </c>
      <c r="D22" s="37">
        <v>6.0000000000000001E-3</v>
      </c>
      <c r="E22" s="38">
        <f>'Nov 30'!$D22*$C$6*$C$2</f>
        <v>1394100.4101479999</v>
      </c>
      <c r="F22" s="38">
        <f>INDEX('TWS data'!M:M,MATCH(Table1389584567991011121314456267891011121314151617181920213456789101112131415161718192021222334567891011121314151617181920[[#This Row],[IB Ticker]],'TWS data'!B:B,0))</f>
        <v>353.79005817028025</v>
      </c>
      <c r="G22" s="39">
        <f>'Nov 30'!$E22/'Nov 30'!$F22</f>
        <v>3940.4736734490575</v>
      </c>
      <c r="H22" s="36">
        <f>INDEX('TWS data'!F:F,MATCH(Table1389584567991011121314456267891011121314151617181920213456789101112131415161718192021222334567891011121314151617181920[[#This Row],[IB Ticker]],'TWS data'!B:B,0))</f>
        <v>3782</v>
      </c>
      <c r="I22" s="36">
        <f>ROUND(Table1389584567991011121314456267891011121314151617181920213456789101112131415161718192021222334567891011121314151617181920[[#This Row],[Target Quantity]],0)</f>
        <v>3940</v>
      </c>
      <c r="J22" s="40">
        <f t="shared" si="0"/>
        <v>158</v>
      </c>
      <c r="K22" s="41">
        <f>'Nov 30'!$F22*'Nov 30'!$I22</f>
        <v>1393932.8291909043</v>
      </c>
      <c r="L22" s="42">
        <f>'Nov 30'!$K22/$K$2</f>
        <v>6.4437094194717852E-3</v>
      </c>
      <c r="M22" s="36"/>
    </row>
    <row r="23" spans="1:13" s="47" customFormat="1" ht="12.75" customHeight="1" x14ac:dyDescent="0.25">
      <c r="A23" s="36" t="s">
        <v>140</v>
      </c>
      <c r="B23" s="36" t="s">
        <v>15</v>
      </c>
      <c r="C23" s="36" t="s">
        <v>16</v>
      </c>
      <c r="D23" s="37">
        <v>6.0000000000000001E-3</v>
      </c>
      <c r="E23" s="38">
        <f>'Nov 30'!$D23*$C$6*$C$2</f>
        <v>1394100.4101479999</v>
      </c>
      <c r="F23" s="38">
        <f>INDEX('TWS data'!M:M,MATCH(Table1389584567991011121314456267891011121314151617181920213456789101112131415161718192021222334567891011121314151617181920[[#This Row],[IB Ticker]],'TWS data'!B:B,0))</f>
        <v>137.57999799378072</v>
      </c>
      <c r="G23" s="39">
        <f>'Nov 30'!$E23/'Nov 30'!$F23</f>
        <v>10133.016648328632</v>
      </c>
      <c r="H23" s="36">
        <f>INDEX('TWS data'!F:F,MATCH(Table1389584567991011121314456267891011121314151617181920213456789101112131415161718192021222334567891011121314151617181920[[#This Row],[IB Ticker]],'TWS data'!B:B,0))</f>
        <v>9969</v>
      </c>
      <c r="I23" s="36">
        <f>ROUND(Table1389584567991011121314456267891011121314151617181920213456789101112131415161718192021222334567891011121314151617181920[[#This Row],[Target Quantity]],0)</f>
        <v>10133</v>
      </c>
      <c r="J23" s="40">
        <f t="shared" si="0"/>
        <v>164</v>
      </c>
      <c r="K23" s="41">
        <f>'Nov 30'!$F23*'Nov 30'!$I23</f>
        <v>1394098.1196709801</v>
      </c>
      <c r="L23" s="42">
        <f>'Nov 30'!$K23/$K$2</f>
        <v>6.4444735049435601E-3</v>
      </c>
      <c r="M23" s="36"/>
    </row>
    <row r="24" spans="1:13" s="47" customFormat="1" ht="12.75" customHeight="1" x14ac:dyDescent="0.25">
      <c r="A24" s="36" t="s">
        <v>140</v>
      </c>
      <c r="B24" s="36" t="s">
        <v>43</v>
      </c>
      <c r="C24" s="36" t="s">
        <v>44</v>
      </c>
      <c r="D24" s="37">
        <v>1.2E-2</v>
      </c>
      <c r="E24" s="38">
        <f>'Nov 30'!$D24*$C$6*$C$2</f>
        <v>2788200.8202959998</v>
      </c>
      <c r="F24" s="38">
        <f>INDEX('TWS data'!M:M,MATCH(Table1389584567991011121314456267891011121314151617181920213456789101112131415161718192021222334567891011121314151617181920[[#This Row],[IB Ticker]],'TWS data'!B:B,0))</f>
        <v>272.84998466100831</v>
      </c>
      <c r="G24" s="39">
        <f>'Nov 30'!$E24/'Nov 30'!$F24</f>
        <v>10218.805120183861</v>
      </c>
      <c r="H24" s="36">
        <f>INDEX('TWS data'!F:F,MATCH(Table1389584567991011121314456267891011121314151617181920213456789101112131415161718192021222334567891011121314151617181920[[#This Row],[IB Ticker]],'TWS data'!B:B,0))</f>
        <v>9779</v>
      </c>
      <c r="I24" s="36">
        <f>ROUND(Table1389584567991011121314456267891011121314151617181920213456789101112131415161718192021222334567891011121314151617181920[[#This Row],[Target Quantity]],0)</f>
        <v>10219</v>
      </c>
      <c r="J24" s="40">
        <f t="shared" si="0"/>
        <v>440</v>
      </c>
      <c r="K24" s="41">
        <f>'Nov 30'!$F24*'Nov 30'!$I24</f>
        <v>2788253.9932508441</v>
      </c>
      <c r="L24" s="42">
        <f>'Nov 30'!$K24/$K$2</f>
        <v>1.2889213987892724E-2</v>
      </c>
      <c r="M24" s="36"/>
    </row>
    <row r="25" spans="1:13" s="47" customFormat="1" ht="12.75" customHeight="1" x14ac:dyDescent="0.25">
      <c r="A25" s="36" t="s">
        <v>140</v>
      </c>
      <c r="B25" s="36" t="s">
        <v>25</v>
      </c>
      <c r="C25" s="36" t="s">
        <v>26</v>
      </c>
      <c r="D25" s="37">
        <v>6.0000000000000001E-3</v>
      </c>
      <c r="E25" s="38">
        <f>'Nov 30'!$D25*$C$6*$C$2</f>
        <v>1394100.4101479999</v>
      </c>
      <c r="F25" s="38">
        <f>INDEX('TWS data'!M:M,MATCH(Table1389584567991011121314456267891011121314151617181920213456789101112131415161718192021222334567891011121314151617181920[[#This Row],[IB Ticker]],'TWS data'!B:B,0))</f>
        <v>77.729977935476171</v>
      </c>
      <c r="G25" s="39">
        <f>'Nov 30'!$E25/'Nov 30'!$F25</f>
        <v>17935.170537488713</v>
      </c>
      <c r="H25" s="36">
        <f>INDEX('TWS data'!F:F,MATCH(Table1389584567991011121314456267891011121314151617181920213456789101112131415161718192021222334567891011121314151617181920[[#This Row],[IB Ticker]],'TWS data'!B:B,0))</f>
        <v>16769</v>
      </c>
      <c r="I25" s="36">
        <f>ROUND(Table1389584567991011121314456267891011121314151617181920213456789101112131415161718192021222334567891011121314151617181920[[#This Row],[Target Quantity]],0)</f>
        <v>17935</v>
      </c>
      <c r="J25" s="40">
        <f t="shared" si="0"/>
        <v>1166</v>
      </c>
      <c r="K25" s="41">
        <f>'Nov 30'!$F25*'Nov 30'!$I25</f>
        <v>1394087.1542727652</v>
      </c>
      <c r="L25" s="42">
        <f>'Nov 30'!$K25/$K$2</f>
        <v>6.4444228153850052E-3</v>
      </c>
      <c r="M25" s="36"/>
    </row>
    <row r="26" spans="1:13" s="47" customFormat="1" ht="12.75" customHeight="1" x14ac:dyDescent="0.25">
      <c r="A26" s="36" t="s">
        <v>140</v>
      </c>
      <c r="B26" s="36" t="s">
        <v>187</v>
      </c>
      <c r="C26" s="36" t="s">
        <v>196</v>
      </c>
      <c r="D26" s="37">
        <v>0</v>
      </c>
      <c r="E26" s="38">
        <f>'Nov 30'!$D26*$C$6*$C$2</f>
        <v>0</v>
      </c>
      <c r="F26" s="38">
        <f>INDEX('TWS data'!M:M,MATCH(Table1389584567991011121314456267891011121314151617181920213456789101112131415161718192021222334567891011121314151617181920[[#This Row],[IB Ticker]],'TWS data'!B:B,0))</f>
        <v>21.04</v>
      </c>
      <c r="G26" s="39">
        <f>'Nov 30'!$E26/'Nov 30'!$F26</f>
        <v>0</v>
      </c>
      <c r="H26" s="36">
        <f>INDEX('TWS data'!F:F,MATCH(Table1389584567991011121314456267891011121314151617181920213456789101112131415161718192021222334567891011121314151617181920[[#This Row],[IB Ticker]],'TWS data'!B:B,0))</f>
        <v>0</v>
      </c>
      <c r="I26" s="36">
        <f>ROUND(Table1389584567991011121314456267891011121314151617181920213456789101112131415161718192021222334567891011121314151617181920[[#This Row],[Target Quantity]],0)</f>
        <v>0</v>
      </c>
      <c r="J26" s="40">
        <f t="shared" ref="J26:J34" si="1">I26-H26</f>
        <v>0</v>
      </c>
      <c r="K26" s="41">
        <f>'Nov 30'!$F26*'Nov 30'!$I26</f>
        <v>0</v>
      </c>
      <c r="L26" s="42">
        <f>'Nov 30'!$K26/$K$2</f>
        <v>0</v>
      </c>
      <c r="M26" s="36"/>
    </row>
    <row r="27" spans="1:13" s="47" customFormat="1" ht="12.75" customHeight="1" x14ac:dyDescent="0.25">
      <c r="A27" s="36" t="s">
        <v>140</v>
      </c>
      <c r="B27" s="36" t="s">
        <v>188</v>
      </c>
      <c r="C27" s="36" t="s">
        <v>197</v>
      </c>
      <c r="D27" s="37">
        <v>0</v>
      </c>
      <c r="E27" s="38">
        <f>'Nov 30'!$D27*$C$6*$C$2</f>
        <v>0</v>
      </c>
      <c r="F27" s="38">
        <f>INDEX('TWS data'!M:M,MATCH(Table1389584567991011121314456267891011121314151617181920213456789101112131415161718192021222334567891011121314151617181920[[#This Row],[IB Ticker]],'TWS data'!B:B,0))</f>
        <v>37.090000000000003</v>
      </c>
      <c r="G27" s="39">
        <f>'Nov 30'!$E27/'Nov 30'!$F27</f>
        <v>0</v>
      </c>
      <c r="H27" s="36">
        <f>INDEX('TWS data'!F:F,MATCH(Table1389584567991011121314456267891011121314151617181920213456789101112131415161718192021222334567891011121314151617181920[[#This Row],[IB Ticker]],'TWS data'!B:B,0))</f>
        <v>0</v>
      </c>
      <c r="I27" s="36">
        <f>ROUND(Table1389584567991011121314456267891011121314151617181920213456789101112131415161718192021222334567891011121314151617181920[[#This Row],[Target Quantity]],0)</f>
        <v>0</v>
      </c>
      <c r="J27" s="40">
        <f t="shared" si="1"/>
        <v>0</v>
      </c>
      <c r="K27" s="41">
        <f>'Nov 30'!$F27*'Nov 30'!$I27</f>
        <v>0</v>
      </c>
      <c r="L27" s="42">
        <f>'Nov 30'!$K27/$K$2</f>
        <v>0</v>
      </c>
      <c r="M27" s="36"/>
    </row>
    <row r="28" spans="1:13" s="47" customFormat="1" ht="12.75" customHeight="1" x14ac:dyDescent="0.25">
      <c r="A28" s="36" t="s">
        <v>140</v>
      </c>
      <c r="B28" s="36" t="s">
        <v>189</v>
      </c>
      <c r="C28" s="36" t="s">
        <v>198</v>
      </c>
      <c r="D28" s="37">
        <v>0</v>
      </c>
      <c r="E28" s="38">
        <f>'Nov 30'!$D28*$C$6*$C$2</f>
        <v>0</v>
      </c>
      <c r="F28" s="38">
        <f>INDEX('TWS data'!M:M,MATCH(Table1389584567991011121314456267891011121314151617181920213456789101112131415161718192021222334567891011121314151617181920[[#This Row],[IB Ticker]],'TWS data'!B:B,0))</f>
        <v>17.010000000000002</v>
      </c>
      <c r="G28" s="39">
        <f>'Nov 30'!$E28/'Nov 30'!$F28</f>
        <v>0</v>
      </c>
      <c r="H28" s="36">
        <f>INDEX('TWS data'!F:F,MATCH(Table1389584567991011121314456267891011121314151617181920213456789101112131415161718192021222334567891011121314151617181920[[#This Row],[IB Ticker]],'TWS data'!B:B,0))</f>
        <v>0</v>
      </c>
      <c r="I28" s="36">
        <f>ROUND(Table1389584567991011121314456267891011121314151617181920213456789101112131415161718192021222334567891011121314151617181920[[#This Row],[Target Quantity]],0)</f>
        <v>0</v>
      </c>
      <c r="J28" s="40">
        <f>I28-H28</f>
        <v>0</v>
      </c>
      <c r="K28" s="41">
        <f>'Nov 30'!$F28*'Nov 30'!$I28</f>
        <v>0</v>
      </c>
      <c r="L28" s="42">
        <f>'Nov 30'!$K28/$K$2</f>
        <v>0</v>
      </c>
      <c r="M28" s="36"/>
    </row>
    <row r="29" spans="1:13" s="47" customFormat="1" ht="12.75" customHeight="1" x14ac:dyDescent="0.25">
      <c r="A29" s="36" t="s">
        <v>140</v>
      </c>
      <c r="B29" s="36" t="s">
        <v>190</v>
      </c>
      <c r="C29" s="36" t="s">
        <v>199</v>
      </c>
      <c r="D29" s="37">
        <v>0</v>
      </c>
      <c r="E29" s="38">
        <f>'Nov 30'!$D29*$C$6*$C$2</f>
        <v>0</v>
      </c>
      <c r="F29" s="38">
        <f>INDEX('TWS data'!M:M,MATCH(Table1389584567991011121314456267891011121314151617181920213456789101112131415161718192021222334567891011121314151617181920[[#This Row],[IB Ticker]],'TWS data'!B:B,0))</f>
        <v>456.54</v>
      </c>
      <c r="G29" s="39">
        <f>'Nov 30'!$E29/'Nov 30'!$F29</f>
        <v>0</v>
      </c>
      <c r="H29" s="36">
        <f>INDEX('TWS data'!F:F,MATCH(Table1389584567991011121314456267891011121314151617181920213456789101112131415161718192021222334567891011121314151617181920[[#This Row],[IB Ticker]],'TWS data'!B:B,0))</f>
        <v>0</v>
      </c>
      <c r="I29" s="36">
        <f>ROUND(Table1389584567991011121314456267891011121314151617181920213456789101112131415161718192021222334567891011121314151617181920[[#This Row],[Target Quantity]],0)</f>
        <v>0</v>
      </c>
      <c r="J29" s="40">
        <f t="shared" si="1"/>
        <v>0</v>
      </c>
      <c r="K29" s="41">
        <f>'Nov 30'!$F29*'Nov 30'!$I29</f>
        <v>0</v>
      </c>
      <c r="L29" s="42">
        <f>'Nov 30'!$K29/$K$2</f>
        <v>0</v>
      </c>
      <c r="M29" s="36"/>
    </row>
    <row r="30" spans="1:13" s="47" customFormat="1" ht="12.75" customHeight="1" x14ac:dyDescent="0.25">
      <c r="A30" s="36" t="s">
        <v>140</v>
      </c>
      <c r="B30" s="36" t="s">
        <v>191</v>
      </c>
      <c r="C30" s="36" t="s">
        <v>200</v>
      </c>
      <c r="D30" s="37">
        <v>0</v>
      </c>
      <c r="E30" s="38">
        <f>'Nov 30'!$D30*$C$6*$C$2</f>
        <v>0</v>
      </c>
      <c r="F30" s="38">
        <f>INDEX('TWS data'!M:M,MATCH(Table1389584567991011121314456267891011121314151617181920213456789101112131415161718192021222334567891011121314151617181920[[#This Row],[IB Ticker]],'TWS data'!B:B,0))</f>
        <v>143.83000000000001</v>
      </c>
      <c r="G30" s="39">
        <f>'Nov 30'!$E30/'Nov 30'!$F30</f>
        <v>0</v>
      </c>
      <c r="H30" s="36">
        <f>INDEX('TWS data'!F:F,MATCH(Table1389584567991011121314456267891011121314151617181920213456789101112131415161718192021222334567891011121314151617181920[[#This Row],[IB Ticker]],'TWS data'!B:B,0))</f>
        <v>0</v>
      </c>
      <c r="I30" s="36">
        <f>ROUND(Table1389584567991011121314456267891011121314151617181920213456789101112131415161718192021222334567891011121314151617181920[[#This Row],[Target Quantity]],0)</f>
        <v>0</v>
      </c>
      <c r="J30" s="40">
        <f t="shared" si="1"/>
        <v>0</v>
      </c>
      <c r="K30" s="41">
        <f>'Nov 30'!$F30*'Nov 30'!$I30</f>
        <v>0</v>
      </c>
      <c r="L30" s="42">
        <f>'Nov 30'!$K30/$K$2</f>
        <v>0</v>
      </c>
      <c r="M30" s="36"/>
    </row>
    <row r="31" spans="1:13" s="47" customFormat="1" ht="12.75" customHeight="1" x14ac:dyDescent="0.25">
      <c r="A31" s="36" t="s">
        <v>140</v>
      </c>
      <c r="B31" s="36" t="s">
        <v>192</v>
      </c>
      <c r="C31" s="36" t="s">
        <v>201</v>
      </c>
      <c r="D31" s="37">
        <v>0</v>
      </c>
      <c r="E31" s="38">
        <f>'Nov 30'!$D31*$C$6*$C$2</f>
        <v>0</v>
      </c>
      <c r="F31" s="38">
        <f>INDEX('TWS data'!M:M,MATCH(Table1389584567991011121314456267891011121314151617181920213456789101112131415161718192021222334567891011121314151617181920[[#This Row],[IB Ticker]],'TWS data'!B:B,0))</f>
        <v>179.77</v>
      </c>
      <c r="G31" s="39">
        <f>'Nov 30'!$E31/'Nov 30'!$F31</f>
        <v>0</v>
      </c>
      <c r="H31" s="36">
        <f>INDEX('TWS data'!F:F,MATCH(Table1389584567991011121314456267891011121314151617181920213456789101112131415161718192021222334567891011121314151617181920[[#This Row],[IB Ticker]],'TWS data'!B:B,0))</f>
        <v>0</v>
      </c>
      <c r="I31" s="36">
        <f>ROUND(Table1389584567991011121314456267891011121314151617181920213456789101112131415161718192021222334567891011121314151617181920[[#This Row],[Target Quantity]],0)</f>
        <v>0</v>
      </c>
      <c r="J31" s="40">
        <f t="shared" si="1"/>
        <v>0</v>
      </c>
      <c r="K31" s="41">
        <f>'Nov 30'!$F31*'Nov 30'!$I31</f>
        <v>0</v>
      </c>
      <c r="L31" s="42">
        <f>'Nov 30'!$K31/$K$2</f>
        <v>0</v>
      </c>
      <c r="M31" s="36"/>
    </row>
    <row r="32" spans="1:13" s="47" customFormat="1" ht="12.75" customHeight="1" x14ac:dyDescent="0.25">
      <c r="A32" s="36" t="s">
        <v>140</v>
      </c>
      <c r="B32" s="36" t="s">
        <v>193</v>
      </c>
      <c r="C32" s="36" t="s">
        <v>202</v>
      </c>
      <c r="D32" s="37">
        <v>0</v>
      </c>
      <c r="E32" s="38">
        <f>'Nov 30'!$D32*$C$6*$C$2</f>
        <v>0</v>
      </c>
      <c r="F32" s="38">
        <f>INDEX('TWS data'!M:M,MATCH(Table1389584567991011121314456267891011121314151617181920213456789101112131415161718192021222334567891011121314151617181920[[#This Row],[IB Ticker]],'TWS data'!B:B,0))</f>
        <v>29</v>
      </c>
      <c r="G32" s="39">
        <f>'Nov 30'!$E32/'Nov 30'!$F32</f>
        <v>0</v>
      </c>
      <c r="H32" s="36">
        <f>INDEX('TWS data'!F:F,MATCH(Table1389584567991011121314456267891011121314151617181920213456789101112131415161718192021222334567891011121314151617181920[[#This Row],[IB Ticker]],'TWS data'!B:B,0))</f>
        <v>0</v>
      </c>
      <c r="I32" s="36">
        <f>ROUND(Table1389584567991011121314456267891011121314151617181920213456789101112131415161718192021222334567891011121314151617181920[[#This Row],[Target Quantity]],0)</f>
        <v>0</v>
      </c>
      <c r="J32" s="40">
        <f t="shared" si="1"/>
        <v>0</v>
      </c>
      <c r="K32" s="41">
        <f>'Nov 30'!$F32*'Nov 30'!$I32</f>
        <v>0</v>
      </c>
      <c r="L32" s="42">
        <f>'Nov 30'!$K32/$K$2</f>
        <v>0</v>
      </c>
      <c r="M32" s="36"/>
    </row>
    <row r="33" spans="1:15" s="47" customFormat="1" ht="12.75" customHeight="1" x14ac:dyDescent="0.25">
      <c r="A33" s="36" t="s">
        <v>140</v>
      </c>
      <c r="B33" s="36" t="s">
        <v>194</v>
      </c>
      <c r="C33" s="36" t="s">
        <v>203</v>
      </c>
      <c r="D33" s="37">
        <v>0</v>
      </c>
      <c r="E33" s="38">
        <f>'Nov 30'!$D33*$C$6*$C$2</f>
        <v>0</v>
      </c>
      <c r="F33" s="38">
        <f>INDEX('TWS data'!M:M,MATCH(Table1389584567991011121314456267891011121314151617181920213456789101112131415161718192021222334567891011121314151617181920[[#This Row],[IB Ticker]],'TWS data'!B:B,0))</f>
        <v>143.5</v>
      </c>
      <c r="G33" s="39">
        <f>'Nov 30'!$E33/'Nov 30'!$F33</f>
        <v>0</v>
      </c>
      <c r="H33" s="36">
        <f>INDEX('TWS data'!F:F,MATCH(Table1389584567991011121314456267891011121314151617181920213456789101112131415161718192021222334567891011121314151617181920[[#This Row],[IB Ticker]],'TWS data'!B:B,0))</f>
        <v>0</v>
      </c>
      <c r="I33" s="36">
        <f>ROUND(Table1389584567991011121314456267891011121314151617181920213456789101112131415161718192021222334567891011121314151617181920[[#This Row],[Target Quantity]],0)</f>
        <v>0</v>
      </c>
      <c r="J33" s="40">
        <f t="shared" si="1"/>
        <v>0</v>
      </c>
      <c r="K33" s="41">
        <f>'Nov 30'!$F33*'Nov 30'!$I33</f>
        <v>0</v>
      </c>
      <c r="L33" s="42">
        <f>'Nov 30'!$K33/$K$2</f>
        <v>0</v>
      </c>
      <c r="M33" s="36"/>
    </row>
    <row r="34" spans="1:15" s="47" customFormat="1" ht="12.75" customHeight="1" x14ac:dyDescent="0.25">
      <c r="A34" s="36" t="s">
        <v>140</v>
      </c>
      <c r="B34" s="36" t="s">
        <v>195</v>
      </c>
      <c r="C34" s="36" t="s">
        <v>204</v>
      </c>
      <c r="D34" s="37">
        <v>0</v>
      </c>
      <c r="E34" s="38">
        <f>'Nov 30'!$D34*$C$6*$C$2</f>
        <v>0</v>
      </c>
      <c r="F34" s="38">
        <f>INDEX('TWS data'!M:M,MATCH(Table1389584567991011121314456267891011121314151617181920213456789101112131415161718192021222334567891011121314151617181920[[#This Row],[IB Ticker]],'TWS data'!B:B,0))</f>
        <v>168.89</v>
      </c>
      <c r="G34" s="39">
        <f>'Nov 30'!$E34/'Nov 30'!$F34</f>
        <v>0</v>
      </c>
      <c r="H34" s="36">
        <f>INDEX('TWS data'!F:F,MATCH(Table1389584567991011121314456267891011121314151617181920213456789101112131415161718192021222334567891011121314151617181920[[#This Row],[IB Ticker]],'TWS data'!B:B,0))</f>
        <v>0</v>
      </c>
      <c r="I34" s="36">
        <f>ROUND(Table1389584567991011121314456267891011121314151617181920213456789101112131415161718192021222334567891011121314151617181920[[#This Row],[Target Quantity]],0)</f>
        <v>0</v>
      </c>
      <c r="J34" s="40">
        <f t="shared" si="1"/>
        <v>0</v>
      </c>
      <c r="K34" s="41">
        <f>'Nov 30'!$F34*'Nov 30'!$I34</f>
        <v>0</v>
      </c>
      <c r="L34" s="42">
        <f>'Nov 30'!$K34/$K$2</f>
        <v>0</v>
      </c>
      <c r="M34" s="36"/>
    </row>
    <row r="35" spans="1:15" s="47" customFormat="1" ht="12.75" customHeight="1" x14ac:dyDescent="0.25">
      <c r="A35" s="36" t="s">
        <v>140</v>
      </c>
      <c r="B35" s="47" t="s">
        <v>11</v>
      </c>
      <c r="C35" s="36" t="s">
        <v>12</v>
      </c>
      <c r="D35" s="37">
        <v>1.2E-2</v>
      </c>
      <c r="E35" s="38">
        <f>'Nov 30'!$D35*$C$6*$C$2</f>
        <v>2788200.8202959998</v>
      </c>
      <c r="F35" s="38">
        <f>INDEX('TWS data'!M:M,MATCH(Table1389584567991011121314456267891011121314151617181920213456789101112131415161718192021222334567891011121314151617181920[[#This Row],[IB Ticker]],'TWS data'!B:B,0))</f>
        <v>2.4680366515434571</v>
      </c>
      <c r="G35" s="39">
        <f>'Nov 30'!$E35/'Nov 30'!$F35</f>
        <v>1129724.2358829309</v>
      </c>
      <c r="H35" s="36">
        <f>INDEX('TWS data'!F:F,MATCH(Table1389584567991011121314456267891011121314151617181920213456789101112131415161718192021222334567891011121314151617181920[[#This Row],[IB Ticker]],'TWS data'!B:B,0))</f>
        <v>1124100</v>
      </c>
      <c r="I35" s="36">
        <f>ROUND(Table1389584567991011121314456267891011121314151617181920213456789101112131415161718192021222334567891011121314151617181920[[#This Row],[Target Quantity]],-2)</f>
        <v>1129700</v>
      </c>
      <c r="J35" s="40">
        <f t="shared" si="0"/>
        <v>5600</v>
      </c>
      <c r="K35" s="41">
        <f>'Nov 30'!$F35*'Nov 30'!$I35</f>
        <v>2788141.0052486435</v>
      </c>
      <c r="L35" s="42">
        <f>'Nov 30'!$K35/$K$2</f>
        <v>1.2888691680189785E-2</v>
      </c>
      <c r="M35" s="36"/>
    </row>
    <row r="36" spans="1:15" s="47" customFormat="1" ht="12.75" customHeight="1" x14ac:dyDescent="0.25">
      <c r="A36" s="36"/>
      <c r="B36" s="36"/>
      <c r="C36" s="36"/>
      <c r="D36" s="37"/>
      <c r="E36" s="38"/>
      <c r="F36" s="38"/>
      <c r="G36" s="39"/>
      <c r="H36" s="36"/>
      <c r="I36" s="36"/>
      <c r="J36" s="48"/>
      <c r="K36" s="38"/>
      <c r="L36" s="49"/>
      <c r="M36" s="36"/>
    </row>
    <row r="37" spans="1:15" s="56" customFormat="1" ht="12.75" customHeight="1" x14ac:dyDescent="0.25">
      <c r="A37" s="50" t="s">
        <v>149</v>
      </c>
      <c r="B37" s="50"/>
      <c r="C37" s="50"/>
      <c r="D37" s="51">
        <f>SUM(D9:D36)</f>
        <v>0.18000000000000005</v>
      </c>
      <c r="E37" s="52">
        <f>'Nov 30'!$D37*$C$6*$C$2</f>
        <v>41823012.304440014</v>
      </c>
      <c r="F37" s="53"/>
      <c r="G37" s="53"/>
      <c r="H37" s="50"/>
      <c r="I37" s="50"/>
      <c r="J37" s="54"/>
      <c r="K37" s="52">
        <f>SUM(K9:K36)</f>
        <v>41822653.077688083</v>
      </c>
      <c r="L37" s="55">
        <f>'Nov 30'!$K37/$K$2</f>
        <v>0.1933328622014191</v>
      </c>
      <c r="M37" s="50"/>
    </row>
    <row r="38" spans="1:15" s="47" customFormat="1" ht="12.75" customHeight="1" x14ac:dyDescent="0.25">
      <c r="A38" s="36"/>
      <c r="B38" s="36"/>
      <c r="C38" s="36"/>
      <c r="D38" s="37"/>
      <c r="E38" s="38"/>
      <c r="F38" s="38"/>
      <c r="G38" s="39"/>
      <c r="H38" s="36"/>
      <c r="I38" s="36"/>
      <c r="J38" s="48"/>
      <c r="K38" s="38"/>
      <c r="L38" s="42"/>
      <c r="M38" s="36"/>
    </row>
    <row r="39" spans="1:15" s="46" customFormat="1" ht="12.75" customHeight="1" x14ac:dyDescent="0.25">
      <c r="A39" s="57"/>
      <c r="B39" s="50" t="s">
        <v>35</v>
      </c>
      <c r="C39" s="57" t="s">
        <v>36</v>
      </c>
      <c r="D39" s="58">
        <v>0.02</v>
      </c>
      <c r="E39" s="59">
        <f>'Nov 30'!$D39*$C$6*$C$2</f>
        <v>4647001.3671599999</v>
      </c>
      <c r="F39" s="53">
        <f>INDEX('TWS data'!M:M,MATCH(Table1389584567991011121314456267891011121314151617181920213456789101112131415161718192021222334567891011121314151617181920[[#This Row],[IB Ticker]],'TWS data'!B:B,0))</f>
        <v>16.920000605826537</v>
      </c>
      <c r="G39" s="60">
        <f>'Nov 30'!$E39/'Nov 30'!$F39</f>
        <v>274645.46103856328</v>
      </c>
      <c r="H39" s="57">
        <f>INDEX('TWS data'!F:F,MATCH(Table1389584567991011121314456267891011121314151617181920213456789101112131415161718192021222334567891011121314151617181920[[#This Row],[IB Ticker]],'TWS data'!B:B,0))</f>
        <v>264102</v>
      </c>
      <c r="I39" s="57">
        <f>ROUND(Table1389584567991011121314456267891011121314151617181920213456789101112131415161718192021222334567891011121314151617181920[[#This Row],[Target Quantity]],0)</f>
        <v>274645</v>
      </c>
      <c r="J39" s="61">
        <f>I39-H39</f>
        <v>10543</v>
      </c>
      <c r="K39" s="62">
        <f>'Nov 30'!$F39*'Nov 30'!$I39</f>
        <v>4646993.5663872296</v>
      </c>
      <c r="L39" s="55">
        <f>'Nov 30'!$K39/$K$2</f>
        <v>2.148157758314282E-2</v>
      </c>
      <c r="M39" s="50"/>
      <c r="O39" s="44"/>
    </row>
    <row r="40" spans="1:15" s="46" customFormat="1" ht="12.75" customHeight="1" x14ac:dyDescent="0.25">
      <c r="A40" s="36"/>
      <c r="B40" s="36"/>
      <c r="C40" s="36"/>
      <c r="D40" s="37"/>
      <c r="E40" s="38"/>
      <c r="F40" s="38"/>
      <c r="G40" s="39"/>
      <c r="H40" s="36"/>
      <c r="I40" s="36"/>
      <c r="J40" s="48"/>
      <c r="K40" s="41"/>
      <c r="L40" s="42"/>
      <c r="M40" s="36"/>
      <c r="O40" s="44"/>
    </row>
    <row r="41" spans="1:15" s="4" customFormat="1" ht="25.5" x14ac:dyDescent="0.2">
      <c r="A41" s="36" t="s">
        <v>150</v>
      </c>
      <c r="B41" s="63" t="s">
        <v>178</v>
      </c>
      <c r="C41" s="64" t="s">
        <v>99</v>
      </c>
      <c r="D41" s="37">
        <v>2.9000000000000001E-2</v>
      </c>
      <c r="E41" s="38">
        <f>'Nov 30'!$D41*$C$6*$C$2</f>
        <v>6738151.9823819995</v>
      </c>
      <c r="F41" s="38">
        <f>INDEX('TWS data'!M:M,MATCH(Table1389584567991011121314456267891011121314151617181920213456789101112131415161718192021222334567891011121314151617181920[[#This Row],[IB Ticker]],'TWS data'!B:B,0))</f>
        <v>157125.07142857142</v>
      </c>
      <c r="G41" s="39">
        <f>'Nov 30'!$E41/'Nov 30'!$F41</f>
        <v>42.884002668187442</v>
      </c>
      <c r="H41" s="36">
        <f>INDEX('TWS data'!F:F,MATCH(Table1389584567991011121314456267891011121314151617181920213456789101112131415161718192021222334567891011121314151617181920[[#This Row],[IB Ticker]],'TWS data'!B:B,0))</f>
        <v>42</v>
      </c>
      <c r="I41" s="36">
        <f>ROUND(Table1389584567991011121314456267891011121314151617181920213456789101112131415161718192021222334567891011121314151617181920[[#This Row],[Target Quantity]],0)</f>
        <v>43</v>
      </c>
      <c r="J41" s="40">
        <f t="shared" ref="J41:J50" si="2">I41-H41</f>
        <v>1</v>
      </c>
      <c r="K41" s="41">
        <f>'Nov 30'!$F41*'Nov 30'!$I41</f>
        <v>6756378.0714285709</v>
      </c>
      <c r="L41" s="42">
        <f>'Nov 30'!$K41/$K$2</f>
        <v>3.1232593213008017E-2</v>
      </c>
      <c r="M41" s="65"/>
    </row>
    <row r="42" spans="1:15" s="4" customFormat="1" ht="25.5" x14ac:dyDescent="0.2">
      <c r="A42" s="36" t="s">
        <v>150</v>
      </c>
      <c r="B42" s="63" t="s">
        <v>179</v>
      </c>
      <c r="C42" s="64" t="s">
        <v>103</v>
      </c>
      <c r="D42" s="37">
        <v>2.9000000000000001E-2</v>
      </c>
      <c r="E42" s="38">
        <f>'Nov 30'!$D42*$C$6*$C$2</f>
        <v>6738151.9823819995</v>
      </c>
      <c r="F42" s="38">
        <f>INDEX('TWS data'!M:M,MATCH(Table1389584567991011121314456267891011121314151617181920213456789101112131415161718192021222334567891011121314151617181920[[#This Row],[IB Ticker]],'TWS data'!B:B,0))</f>
        <v>216312.51612903227</v>
      </c>
      <c r="G42" s="39">
        <f>'Nov 30'!$E42/'Nov 30'!$F42</f>
        <v>31.15007907523314</v>
      </c>
      <c r="H42" s="36">
        <f>INDEX('TWS data'!F:F,MATCH(Table1389584567991011121314456267891011121314151617181920213456789101112131415161718192021222334567891011121314151617181920[[#This Row],[IB Ticker]],'TWS data'!B:B,0))</f>
        <v>31</v>
      </c>
      <c r="I42" s="36">
        <f>ROUND(Table1389584567991011121314456267891011121314151617181920213456789101112131415161718192021222334567891011121314151617181920[[#This Row],[Target Quantity]],0)</f>
        <v>31</v>
      </c>
      <c r="J42" s="40">
        <f t="shared" si="2"/>
        <v>0</v>
      </c>
      <c r="K42" s="41">
        <f>'Nov 30'!$F42*'Nov 30'!$I42</f>
        <v>6705688</v>
      </c>
      <c r="L42" s="42">
        <f>'Nov 30'!$K42/$K$2</f>
        <v>3.0998269087843699E-2</v>
      </c>
      <c r="M42" s="65"/>
    </row>
    <row r="43" spans="1:15" s="4" customFormat="1" ht="25.5" x14ac:dyDescent="0.2">
      <c r="A43" s="36" t="s">
        <v>150</v>
      </c>
      <c r="B43" s="63" t="s">
        <v>180</v>
      </c>
      <c r="C43" s="64" t="s">
        <v>105</v>
      </c>
      <c r="D43" s="37">
        <v>2.9000000000000001E-2</v>
      </c>
      <c r="E43" s="38">
        <f>'Nov 30'!$D43*$C$6*$C$2</f>
        <v>6738151.9823819995</v>
      </c>
      <c r="F43" s="38">
        <f>INDEX('TWS data'!M:M,MATCH(Table1389584567991011121314456267891011121314151617181920213456789101112131415161718192021222334567891011121314151617181920[[#This Row],[IB Ticker]],'TWS data'!B:B,0))</f>
        <v>175097.44736842104</v>
      </c>
      <c r="G43" s="39">
        <f>'Nov 30'!$E43/'Nov 30'!$F43</f>
        <v>38.48229705030657</v>
      </c>
      <c r="H43" s="36">
        <f>INDEX('TWS data'!F:F,MATCH(Table1389584567991011121314456267891011121314151617181920213456789101112131415161718192021222334567891011121314151617181920[[#This Row],[IB Ticker]],'TWS data'!B:B,0))</f>
        <v>38</v>
      </c>
      <c r="I43" s="36">
        <f>ROUND(Table1389584567991011121314456267891011121314151617181920213456789101112131415161718192021222334567891011121314151617181920[[#This Row],[Target Quantity]],0)</f>
        <v>38</v>
      </c>
      <c r="J43" s="40">
        <f t="shared" si="2"/>
        <v>0</v>
      </c>
      <c r="K43" s="41">
        <f>'Nov 30'!$F43*'Nov 30'!$I43</f>
        <v>6653702.9999999991</v>
      </c>
      <c r="L43" s="42">
        <f>'Nov 30'!$K43/$K$2</f>
        <v>3.075795891854689E-2</v>
      </c>
      <c r="M43" s="65"/>
    </row>
    <row r="44" spans="1:15" s="4" customFormat="1" ht="25.5" x14ac:dyDescent="0.2">
      <c r="A44" s="36" t="s">
        <v>150</v>
      </c>
      <c r="B44" s="63" t="s">
        <v>181</v>
      </c>
      <c r="C44" s="64" t="s">
        <v>107</v>
      </c>
      <c r="D44" s="37">
        <v>2.9000000000000001E-2</v>
      </c>
      <c r="E44" s="38">
        <f>'Nov 30'!$D44*$C$6*$C$2</f>
        <v>6738151.9823819995</v>
      </c>
      <c r="F44" s="38">
        <f>INDEX('TWS data'!M:M,MATCH(Table1389584567991011121314456267891011121314151617181920213456789101112131415161718192021222334567891011121314151617181920[[#This Row],[IB Ticker]],'TWS data'!B:B,0))</f>
        <v>125984.37735849057</v>
      </c>
      <c r="G44" s="39">
        <f>'Nov 30'!$E44/'Nov 30'!$F44</f>
        <v>53.484028128412142</v>
      </c>
      <c r="H44" s="36">
        <f>INDEX('TWS data'!F:F,MATCH(Table1389584567991011121314456267891011121314151617181920213456789101112131415161718192021222334567891011121314151617181920[[#This Row],[IB Ticker]],'TWS data'!B:B,0))</f>
        <v>53</v>
      </c>
      <c r="I44" s="36">
        <f>ROUND(Table1389584567991011121314456267891011121314151617181920213456789101112131415161718192021222334567891011121314151617181920[[#This Row],[Target Quantity]],0)</f>
        <v>53</v>
      </c>
      <c r="J44" s="40">
        <f t="shared" si="2"/>
        <v>0</v>
      </c>
      <c r="K44" s="41">
        <f>'Nov 30'!$F44*'Nov 30'!$I44</f>
        <v>6677172</v>
      </c>
      <c r="L44" s="42">
        <f>'Nov 30'!$K44/$K$2</f>
        <v>3.0866448662958294E-2</v>
      </c>
      <c r="M44" s="65"/>
    </row>
    <row r="45" spans="1:15" s="4" customFormat="1" ht="25.5" x14ac:dyDescent="0.2">
      <c r="A45" s="36" t="s">
        <v>150</v>
      </c>
      <c r="B45" s="63" t="s">
        <v>182</v>
      </c>
      <c r="C45" s="64" t="s">
        <v>109</v>
      </c>
      <c r="D45" s="37">
        <v>2.9000000000000001E-2</v>
      </c>
      <c r="E45" s="38">
        <f>'Nov 30'!$D45*$C$6*$C$2</f>
        <v>6738151.9823819995</v>
      </c>
      <c r="F45" s="38">
        <f>INDEX('TWS data'!M:M,MATCH(Table1389584567991011121314456267891011121314151617181920213456789101112131415161718192021222334567891011121314151617181920[[#This Row],[IB Ticker]],'TWS data'!B:B,0))</f>
        <v>138156.25</v>
      </c>
      <c r="G45" s="39">
        <f>'Nov 30'!$E45/'Nov 30'!$F45</f>
        <v>48.771966395888711</v>
      </c>
      <c r="H45" s="36">
        <f>INDEX('TWS data'!F:F,MATCH(Table1389584567991011121314456267891011121314151617181920213456789101112131415161718192021222334567891011121314151617181920[[#This Row],[IB Ticker]],'TWS data'!B:B,0))</f>
        <v>48</v>
      </c>
      <c r="I45" s="36">
        <f>ROUND(Table1389584567991011121314456267891011121314151617181920213456789101112131415161718192021222334567891011121314151617181920[[#This Row],[Target Quantity]],0)</f>
        <v>49</v>
      </c>
      <c r="J45" s="40">
        <f t="shared" si="2"/>
        <v>1</v>
      </c>
      <c r="K45" s="41">
        <f>'Nov 30'!$F45*'Nov 30'!$I45</f>
        <v>6769656.25</v>
      </c>
      <c r="L45" s="42">
        <f>'Nov 30'!$K45/$K$2</f>
        <v>3.1293974021711551E-2</v>
      </c>
      <c r="M45" s="65"/>
    </row>
    <row r="46" spans="1:15" s="4" customFormat="1" ht="25.5" x14ac:dyDescent="0.2">
      <c r="A46" s="36" t="s">
        <v>150</v>
      </c>
      <c r="B46" s="63" t="s">
        <v>184</v>
      </c>
      <c r="C46" s="64" t="s">
        <v>115</v>
      </c>
      <c r="D46" s="37">
        <v>2.9000000000000001E-2</v>
      </c>
      <c r="E46" s="38">
        <f>'Nov 30'!$D46*$C$6*$C$2</f>
        <v>6738151.9823819995</v>
      </c>
      <c r="F46" s="38">
        <f>INDEX('TWS data'!M:M,MATCH(Table1389584567991011121314456267891011121314151617181920213456789101112131415161718192021222334567891011121314151617181920[[#This Row],[IB Ticker]],'TWS data'!B:B,0))</f>
        <v>220816.73333333334</v>
      </c>
      <c r="G46" s="39">
        <f>'Nov 30'!$E46/'Nov 30'!$F46</f>
        <v>30.514680118061701</v>
      </c>
      <c r="H46" s="36">
        <f>INDEX('TWS data'!F:F,MATCH(Table1389584567991011121314456267891011121314151617181920213456789101112131415161718192021222334567891011121314151617181920[[#This Row],[IB Ticker]],'TWS data'!B:B,0))</f>
        <v>30</v>
      </c>
      <c r="I46" s="36">
        <f>ROUND(Table1389584567991011121314456267891011121314151617181920213456789101112131415161718192021222334567891011121314151617181920[[#This Row],[Target Quantity]],0)</f>
        <v>31</v>
      </c>
      <c r="J46" s="40">
        <f t="shared" si="2"/>
        <v>1</v>
      </c>
      <c r="K46" s="41">
        <f>'Nov 30'!$F46*'Nov 30'!$I46</f>
        <v>6845318.7333333334</v>
      </c>
      <c r="L46" s="42">
        <f>'Nov 30'!$K46/$K$2</f>
        <v>3.1643737687754643E-2</v>
      </c>
      <c r="M46" s="65"/>
    </row>
    <row r="47" spans="1:15" s="46" customFormat="1" ht="25.5" customHeight="1" x14ac:dyDescent="0.2">
      <c r="A47" s="36" t="s">
        <v>151</v>
      </c>
      <c r="B47" s="36" t="s">
        <v>62</v>
      </c>
      <c r="C47" s="36" t="s">
        <v>63</v>
      </c>
      <c r="D47" s="37">
        <v>2.9000000000000001E-2</v>
      </c>
      <c r="E47" s="38">
        <f>'Nov 30'!$D47*$C$6*$C$2</f>
        <v>6738151.9823819995</v>
      </c>
      <c r="F47" s="38">
        <f>INDEX('TWS data'!M:M,MATCH(Table1389584567991011121314456267891011121314151617181920213456789101112131415161718192021222334567891011121314151617181920[[#This Row],[IB Ticker]],'TWS data'!B:B,0))</f>
        <v>114803.10344827586</v>
      </c>
      <c r="G47" s="39">
        <f>'Nov 30'!$E47/'Nov 30'!$F47</f>
        <v>58.693116997641539</v>
      </c>
      <c r="H47" s="36">
        <f>INDEX('TWS data'!F:F,MATCH(Table1389584567991011121314456267891011121314151617181920213456789101112131415161718192021222334567891011121314151617181920[[#This Row],[IB Ticker]],'TWS data'!B:B,0))</f>
        <v>58</v>
      </c>
      <c r="I47" s="36">
        <f>ROUND(Table1389584567991011121314456267891011121314151617181920213456789101112131415161718192021222334567891011121314151617181920[[#This Row],[Target Quantity]],0)</f>
        <v>59</v>
      </c>
      <c r="J47" s="40">
        <f t="shared" si="2"/>
        <v>1</v>
      </c>
      <c r="K47" s="41">
        <f>'Nov 30'!$F47*'Nov 30'!$I47</f>
        <v>6773383.1034482755</v>
      </c>
      <c r="L47" s="42">
        <f>'Nov 30'!$K47/$K$2</f>
        <v>3.131120208332739E-2</v>
      </c>
      <c r="M47" s="43"/>
      <c r="O47" s="4"/>
    </row>
    <row r="48" spans="1:15" s="46" customFormat="1" ht="25.5" x14ac:dyDescent="0.2">
      <c r="A48" s="36" t="s">
        <v>151</v>
      </c>
      <c r="B48" s="36" t="s">
        <v>60</v>
      </c>
      <c r="C48" s="36" t="s">
        <v>61</v>
      </c>
      <c r="D48" s="37">
        <v>2.9000000000000001E-2</v>
      </c>
      <c r="E48" s="38">
        <f>'Nov 30'!$D48*$C$6*$C$2</f>
        <v>6738151.9823819995</v>
      </c>
      <c r="F48" s="38">
        <f>INDEX('TWS data'!M:M,MATCH(Table1389584567991011121314456267891011121314151617181920213456789101112131415161718192021222334567891011121314151617181920[[#This Row],[IB Ticker]],'TWS data'!B:B,0))</f>
        <v>136671.46938775509</v>
      </c>
      <c r="G48" s="39">
        <f>'Nov 30'!$E48/'Nov 30'!$F48</f>
        <v>49.30181853291537</v>
      </c>
      <c r="H48" s="36">
        <f>INDEX('TWS data'!F:F,MATCH(Table1389584567991011121314456267891011121314151617181920213456789101112131415161718192021222334567891011121314151617181920[[#This Row],[IB Ticker]],'TWS data'!B:B,0))</f>
        <v>49</v>
      </c>
      <c r="I48" s="36">
        <f>ROUND(Table1389584567991011121314456267891011121314151617181920213456789101112131415161718192021222334567891011121314151617181920[[#This Row],[Target Quantity]],0)</f>
        <v>49</v>
      </c>
      <c r="J48" s="40">
        <f t="shared" si="2"/>
        <v>0</v>
      </c>
      <c r="K48" s="41">
        <f>'Nov 30'!$F48*'Nov 30'!$I48</f>
        <v>6696901.9999999991</v>
      </c>
      <c r="L48" s="42">
        <f>'Nov 30'!$K48/$K$2</f>
        <v>3.0957654196097195E-2</v>
      </c>
      <c r="M48" s="43"/>
      <c r="O48" s="4"/>
    </row>
    <row r="49" spans="1:16" s="46" customFormat="1" ht="25.5" x14ac:dyDescent="0.2">
      <c r="A49" s="36" t="s">
        <v>151</v>
      </c>
      <c r="B49" s="36" t="s">
        <v>56</v>
      </c>
      <c r="C49" s="36" t="s">
        <v>57</v>
      </c>
      <c r="D49" s="37">
        <v>2.9000000000000001E-2</v>
      </c>
      <c r="E49" s="38">
        <f>'Nov 30'!$D49*$C$6*$C$2</f>
        <v>6738151.9823819995</v>
      </c>
      <c r="F49" s="38">
        <f>INDEX('TWS data'!M:M,MATCH(Table1389584567991011121314456267891011121314151617181920213456789101112131415161718192021222334567891011121314151617181920[[#This Row],[IB Ticker]],'TWS data'!B:B,0))</f>
        <v>181596.72972972973</v>
      </c>
      <c r="G49" s="39">
        <f>'Nov 30'!$E49/'Nov 30'!$F49</f>
        <v>37.105029327402455</v>
      </c>
      <c r="H49" s="36">
        <f>INDEX('TWS data'!F:F,MATCH(Table1389584567991011121314456267891011121314151617181920213456789101112131415161718192021222334567891011121314151617181920[[#This Row],[IB Ticker]],'TWS data'!B:B,0))</f>
        <v>37</v>
      </c>
      <c r="I49" s="36">
        <f>ROUND(Table1389584567991011121314456267891011121314151617181920213456789101112131415161718192021222334567891011121314151617181920[[#This Row],[Target Quantity]],0)</f>
        <v>37</v>
      </c>
      <c r="J49" s="40">
        <f t="shared" si="2"/>
        <v>0</v>
      </c>
      <c r="K49" s="41">
        <f>'Nov 30'!$F49*'Nov 30'!$I49</f>
        <v>6719079</v>
      </c>
      <c r="L49" s="42">
        <f>'Nov 30'!$K49/$K$2</f>
        <v>3.1060171434233109E-2</v>
      </c>
      <c r="M49" s="43"/>
      <c r="O49" s="4"/>
    </row>
    <row r="50" spans="1:16" s="46" customFormat="1" ht="25.5" x14ac:dyDescent="0.2">
      <c r="A50" s="36" t="s">
        <v>151</v>
      </c>
      <c r="B50" s="36" t="s">
        <v>66</v>
      </c>
      <c r="C50" s="36" t="s">
        <v>67</v>
      </c>
      <c r="D50" s="37">
        <v>2.9000000000000001E-2</v>
      </c>
      <c r="E50" s="38">
        <f>'Nov 30'!$D50*$C$6*$C$2</f>
        <v>6738151.9823819995</v>
      </c>
      <c r="F50" s="38">
        <f>INDEX('TWS data'!M:M,MATCH(Table1389584567991011121314456267891011121314151617181920213456789101112131415161718192021222334567891011121314151617181920[[#This Row],[IB Ticker]],'TWS data'!B:B,0))</f>
        <v>272555.8</v>
      </c>
      <c r="G50" s="39">
        <f>'Nov 30'!$E50/'Nov 30'!$F50</f>
        <v>24.722100877625792</v>
      </c>
      <c r="H50" s="36">
        <f>INDEX('TWS data'!F:F,MATCH(Table1389584567991011121314456267891011121314151617181920213456789101112131415161718192021222334567891011121314151617181920[[#This Row],[IB Ticker]],'TWS data'!B:B,0))</f>
        <v>25</v>
      </c>
      <c r="I50" s="36">
        <f>ROUND(Table1389584567991011121314456267891011121314151617181920213456789101112131415161718192021222334567891011121314151617181920[[#This Row],[Target Quantity]],0)</f>
        <v>25</v>
      </c>
      <c r="J50" s="40">
        <f t="shared" si="2"/>
        <v>0</v>
      </c>
      <c r="K50" s="41">
        <f>'Nov 30'!$F50*'Nov 30'!$I50</f>
        <v>6813895</v>
      </c>
      <c r="L50" s="42">
        <f>'Nov 30'!$K50/$K$2</f>
        <v>3.1498475733781936E-2</v>
      </c>
      <c r="M50" s="43"/>
      <c r="O50" s="4"/>
    </row>
    <row r="51" spans="1:16" s="67" customFormat="1" ht="12.75" x14ac:dyDescent="0.2">
      <c r="A51" s="36"/>
      <c r="B51" s="64"/>
      <c r="C51" s="64"/>
      <c r="D51" s="37"/>
      <c r="E51" s="66"/>
      <c r="F51" s="38"/>
      <c r="G51" s="39"/>
      <c r="H51" s="36"/>
      <c r="I51" s="36"/>
      <c r="J51" s="48"/>
      <c r="K51" s="38"/>
      <c r="L51" s="49"/>
      <c r="M51" s="65"/>
    </row>
    <row r="52" spans="1:16" s="17" customFormat="1" ht="12.75" x14ac:dyDescent="0.2">
      <c r="A52" s="50" t="s">
        <v>153</v>
      </c>
      <c r="B52" s="68"/>
      <c r="C52" s="68"/>
      <c r="D52" s="58">
        <f>SUBTOTAL(9,D41:D51)</f>
        <v>0.29000000000000004</v>
      </c>
      <c r="E52" s="69">
        <f>'Nov 30'!$D52*$C$6*$C$2</f>
        <v>67381519.82382001</v>
      </c>
      <c r="F52" s="70"/>
      <c r="G52" s="71"/>
      <c r="H52" s="57"/>
      <c r="I52" s="57"/>
      <c r="J52" s="61"/>
      <c r="K52" s="69">
        <f>SUM(K41:K51)</f>
        <v>67411175.158210173</v>
      </c>
      <c r="L52" s="72">
        <f>'Nov 30'!$K52/$K$2</f>
        <v>0.31162048503926271</v>
      </c>
      <c r="M52" s="73"/>
    </row>
    <row r="53" spans="1:16" s="67" customFormat="1" ht="12.75" x14ac:dyDescent="0.2">
      <c r="A53" s="36"/>
      <c r="B53" s="64"/>
      <c r="C53" s="64"/>
      <c r="D53" s="37"/>
      <c r="E53" s="66"/>
      <c r="F53" s="38"/>
      <c r="G53" s="39"/>
      <c r="H53" s="36"/>
      <c r="I53" s="36"/>
      <c r="J53" s="48"/>
      <c r="K53" s="38"/>
      <c r="L53" s="42"/>
      <c r="M53" s="65"/>
    </row>
    <row r="54" spans="1:16" s="4" customFormat="1" ht="24.75" customHeight="1" x14ac:dyDescent="0.2">
      <c r="A54" s="36" t="s">
        <v>150</v>
      </c>
      <c r="B54" s="64" t="s">
        <v>110</v>
      </c>
      <c r="C54" s="64" t="s">
        <v>111</v>
      </c>
      <c r="D54" s="37">
        <v>0.1</v>
      </c>
      <c r="E54" s="38">
        <f>'Nov 30'!$D54*$C$6*$C$2</f>
        <v>23235006.8358</v>
      </c>
      <c r="F54" s="38">
        <f>INDEX('TWS data'!M:M,MATCH(Table1389584567991011121314456267891011121314151617181920213456789101112131415161718192021222334567891011121314151617181920[[#This Row],[IB Ticker]],'TWS data'!B:B,0))</f>
        <v>416340.375</v>
      </c>
      <c r="G54" s="39">
        <f>'Nov 30'!$E54/'Nov 30'!$F54</f>
        <v>55.807719431006419</v>
      </c>
      <c r="H54" s="36">
        <f>INDEX('TWS data'!F:F,MATCH(Table1389584567991011121314456267891011121314151617181920213456789101112131415161718192021222334567891011121314151617181920[[#This Row],[IB Ticker]],'TWS data'!B:B,0))</f>
        <v>48</v>
      </c>
      <c r="I54" s="36">
        <v>48</v>
      </c>
      <c r="J54" s="40">
        <f>I54-H54</f>
        <v>0</v>
      </c>
      <c r="K54" s="41">
        <f>'Nov 30'!$F54*'Nov 30'!$I54</f>
        <v>19984338</v>
      </c>
      <c r="L54" s="42">
        <f>'Nov 30'!$K54/$K$2</f>
        <v>9.2381257056161903E-2</v>
      </c>
      <c r="M54" s="65"/>
    </row>
    <row r="55" spans="1:16" s="46" customFormat="1" ht="25.5" x14ac:dyDescent="0.25">
      <c r="A55" s="36" t="s">
        <v>151</v>
      </c>
      <c r="B55" s="36" t="s">
        <v>68</v>
      </c>
      <c r="C55" s="36" t="s">
        <v>69</v>
      </c>
      <c r="D55" s="37">
        <v>0.1</v>
      </c>
      <c r="E55" s="38">
        <f>'Nov 30'!$D55*$C$6*$C$2</f>
        <v>23235006.8358</v>
      </c>
      <c r="F55" s="38">
        <f>INDEX('TWS data'!M:M,MATCH(Table1389584567991011121314456267891011121314151617181920213456789101112131415161718192021222334567891011121314151617181920[[#This Row],[IB Ticker]],'TWS data'!B:B,0))</f>
        <v>249375</v>
      </c>
      <c r="G55" s="39">
        <f>'Nov 30'!$E55/'Nov 30'!$F55</f>
        <v>93.172959742556387</v>
      </c>
      <c r="H55" s="36">
        <f>INDEX('TWS data'!F:F,MATCH(Table1389584567991011121314456267891011121314151617181920213456789101112131415161718192021222334567891011121314151617181920[[#This Row],[IB Ticker]],'TWS data'!B:B,0))</f>
        <v>80</v>
      </c>
      <c r="I55" s="36">
        <v>80</v>
      </c>
      <c r="J55" s="40">
        <f>I55-H55</f>
        <v>0</v>
      </c>
      <c r="K55" s="41">
        <f>'Nov 30'!$F55*'Nov 30'!$I55</f>
        <v>19950000</v>
      </c>
      <c r="L55" s="42">
        <f>'Nov 30'!$K55/$K$2</f>
        <v>9.2222523371573772E-2</v>
      </c>
      <c r="M55" s="43"/>
    </row>
    <row r="56" spans="1:16" s="46" customFormat="1" ht="25.5" x14ac:dyDescent="0.25">
      <c r="A56" s="36" t="s">
        <v>151</v>
      </c>
      <c r="B56" s="36" t="s">
        <v>92</v>
      </c>
      <c r="C56" s="36" t="s">
        <v>93</v>
      </c>
      <c r="D56" s="37">
        <v>0.1</v>
      </c>
      <c r="E56" s="38">
        <f>'Nov 30'!$D56*$C$6*$C$2</f>
        <v>23235006.8358</v>
      </c>
      <c r="F56" s="38">
        <f>INDEX('TWS data'!M:M,MATCH(Table1389584567991011121314456267891011121314151617181920213456789101112131415161718192021222334567891011121314151617181920[[#This Row],[IB Ticker]],'TWS data'!B:B,0))</f>
        <v>416340.60416666669</v>
      </c>
      <c r="G56" s="39">
        <f>'Nov 30'!$E56/'Nov 30'!$F56</f>
        <v>55.80768871272214</v>
      </c>
      <c r="H56" s="36">
        <f>INDEX('TWS data'!F:F,MATCH(Table1389584567991011121314456267891011121314151617181920213456789101112131415161718192021222334567891011121314151617181920[[#This Row],[IB Ticker]],'TWS data'!B:B,0))</f>
        <v>48</v>
      </c>
      <c r="I56" s="36">
        <v>48</v>
      </c>
      <c r="J56" s="40">
        <f>I56-H56</f>
        <v>0</v>
      </c>
      <c r="K56" s="41">
        <f>'Nov 30'!$F56*'Nov 30'!$I56</f>
        <v>19984349</v>
      </c>
      <c r="L56" s="42">
        <f>'Nov 30'!$K56/$K$2</f>
        <v>9.2381307905673532E-2</v>
      </c>
      <c r="M56" s="43"/>
    </row>
    <row r="57" spans="1:16" s="46" customFormat="1" ht="25.5" x14ac:dyDescent="0.25">
      <c r="A57" s="36" t="s">
        <v>151</v>
      </c>
      <c r="B57" s="36" t="s">
        <v>95</v>
      </c>
      <c r="C57" s="36" t="s">
        <v>96</v>
      </c>
      <c r="D57" s="37">
        <v>0.1</v>
      </c>
      <c r="E57" s="38">
        <f>'Nov 30'!$D57*$C$6*$C$2</f>
        <v>23235006.8358</v>
      </c>
      <c r="F57" s="38">
        <f>INDEX('TWS data'!M:M,MATCH(Table1389584567991011121314456267891011121314151617181920213456789101112131415161718192021222334567891011121314151617181920[[#This Row],[IB Ticker]],'TWS data'!B:B,0))</f>
        <v>249791.51250000001</v>
      </c>
      <c r="G57" s="39">
        <f>'Nov 30'!$E57/'Nov 30'!$F57</f>
        <v>93.017599370194773</v>
      </c>
      <c r="H57" s="36">
        <f>INDEX('TWS data'!F:F,MATCH(Table1389584567991011121314456267891011121314151617181920213456789101112131415161718192021222334567891011121314151617181920[[#This Row],[IB Ticker]],'TWS data'!B:B,0))</f>
        <v>80</v>
      </c>
      <c r="I57" s="36">
        <v>80</v>
      </c>
      <c r="J57" s="40">
        <f>I57-H57</f>
        <v>0</v>
      </c>
      <c r="K57" s="41">
        <f>'Nov 30'!$F57*'Nov 30'!$I57</f>
        <v>19983321</v>
      </c>
      <c r="L57" s="42">
        <f>'Nov 30'!$K57/$K$2</f>
        <v>9.2376555787677242E-2</v>
      </c>
      <c r="M57" s="43"/>
    </row>
    <row r="58" spans="1:16" s="46" customFormat="1" ht="25.5" x14ac:dyDescent="0.25">
      <c r="A58" s="36" t="s">
        <v>151</v>
      </c>
      <c r="B58" s="36" t="s">
        <v>77</v>
      </c>
      <c r="C58" s="36" t="s">
        <v>78</v>
      </c>
      <c r="D58" s="37">
        <v>0.1</v>
      </c>
      <c r="E58" s="38">
        <f>'Nov 30'!$D58*$C$6*$C$2</f>
        <v>23235006.8358</v>
      </c>
      <c r="F58" s="38">
        <f>INDEX('TWS data'!M:M,MATCH(Table1389584567991011121314456267891011121314151617181920213456789101112131415161718192021222334567891011121314151617181920[[#This Row],[IB Ticker]],'TWS data'!B:B,0))</f>
        <v>166444.36885245901</v>
      </c>
      <c r="G58" s="39">
        <f>'Nov 30'!$E58/'Nov 30'!$F58</f>
        <v>139.5962326391238</v>
      </c>
      <c r="H58" s="36">
        <f>INDEX('TWS data'!F:F,MATCH(Table1389584567991011121314456267891011121314151617181920213456789101112131415161718192021222334567891011121314151617181920[[#This Row],[IB Ticker]],'TWS data'!B:B,0))</f>
        <v>122</v>
      </c>
      <c r="I58" s="36">
        <v>122</v>
      </c>
      <c r="J58" s="40">
        <f>I58-H58</f>
        <v>0</v>
      </c>
      <c r="K58" s="41">
        <f>'Nov 30'!$F58*'Nov 30'!$I58</f>
        <v>20306213</v>
      </c>
      <c r="L58" s="42">
        <f>'Nov 30'!$K58/$K$2</f>
        <v>9.3869183106799758E-2</v>
      </c>
      <c r="M58" s="43"/>
    </row>
    <row r="59" spans="1:16" s="47" customFormat="1" ht="12.75" x14ac:dyDescent="0.25">
      <c r="A59" s="36"/>
      <c r="B59" s="36"/>
      <c r="C59" s="36"/>
      <c r="D59" s="37"/>
      <c r="E59" s="38"/>
      <c r="F59" s="38"/>
      <c r="G59" s="39"/>
      <c r="H59" s="36"/>
      <c r="I59" s="36"/>
      <c r="J59" s="48"/>
      <c r="K59" s="38"/>
      <c r="L59" s="42"/>
      <c r="M59" s="36"/>
    </row>
    <row r="60" spans="1:16" s="56" customFormat="1" ht="25.5" x14ac:dyDescent="0.25">
      <c r="A60" s="50" t="s">
        <v>154</v>
      </c>
      <c r="B60" s="50"/>
      <c r="C60" s="50"/>
      <c r="D60" s="58">
        <f>SUBTOTAL(9,D54:D59)</f>
        <v>0.5</v>
      </c>
      <c r="E60" s="52">
        <f>'Nov 30'!$D60*$C$6*$C$2</f>
        <v>116175034.17899999</v>
      </c>
      <c r="F60" s="71"/>
      <c r="G60" s="71"/>
      <c r="H60" s="57"/>
      <c r="I60" s="57"/>
      <c r="J60" s="61"/>
      <c r="K60" s="52">
        <f>SUM(K54:K59)</f>
        <v>100208221</v>
      </c>
      <c r="L60" s="74">
        <f>'Nov 30'!$K60/$K$2</f>
        <v>0.46323082722788622</v>
      </c>
      <c r="M60" s="50"/>
    </row>
    <row r="61" spans="1:16" s="47" customFormat="1" ht="12.75" x14ac:dyDescent="0.25">
      <c r="A61" s="36"/>
      <c r="B61" s="36"/>
      <c r="C61" s="36"/>
      <c r="D61" s="37"/>
      <c r="E61" s="38"/>
      <c r="F61" s="38"/>
      <c r="G61" s="39"/>
      <c r="H61" s="36"/>
      <c r="I61" s="36"/>
      <c r="J61" s="48"/>
      <c r="K61" s="38"/>
      <c r="L61" s="42"/>
      <c r="M61" s="36"/>
    </row>
    <row r="62" spans="1:16" s="46" customFormat="1" ht="12.75" x14ac:dyDescent="0.25">
      <c r="A62" s="36"/>
      <c r="B62" s="36"/>
      <c r="C62" s="36"/>
      <c r="D62" s="37"/>
      <c r="E62" s="38"/>
      <c r="F62" s="38"/>
      <c r="G62" s="75"/>
      <c r="H62" s="36"/>
      <c r="I62" s="36"/>
      <c r="J62" s="40"/>
      <c r="K62" s="41"/>
      <c r="L62" s="42"/>
      <c r="M62" s="43"/>
    </row>
    <row r="63" spans="1:16" s="46" customFormat="1" ht="25.5" x14ac:dyDescent="0.25">
      <c r="A63" s="36" t="s">
        <v>155</v>
      </c>
      <c r="B63" s="36" t="s">
        <v>53</v>
      </c>
      <c r="C63" s="36" t="s">
        <v>54</v>
      </c>
      <c r="D63" s="37">
        <v>1E-3</v>
      </c>
      <c r="E63" s="38">
        <f>'Nov 30'!$D63*$C$6*$C$2</f>
        <v>232350.06835799999</v>
      </c>
      <c r="F63" s="38">
        <f>INDEX('TWS data'!M:M,MATCH(Table1389584567991011121314456267891011121314151617181920213456789101112131415161718192021222334567891011121314151617181920[[#This Row],[IB Ticker]],'TWS data'!B:B,0))</f>
        <v>50232.25</v>
      </c>
      <c r="G63" s="75">
        <f>'Nov 30'!$E63/'Nov 30'!$F63</f>
        <v>4.625515846055074</v>
      </c>
      <c r="H63" s="36">
        <f>INDEX('TWS data'!F:F,MATCH(Table1389584567991011121314456267891011121314151617181920213456789101112131415161718192021222334567891011121314151617181920[[#This Row],[IB Ticker]],'TWS data'!B:B,0))</f>
        <v>4</v>
      </c>
      <c r="I63" s="36">
        <v>4</v>
      </c>
      <c r="J63" s="40">
        <f t="shared" ref="J63:J72" si="3">I63-H63</f>
        <v>0</v>
      </c>
      <c r="K63" s="41">
        <f>'Nov 30'!$F63*'Nov 30'!$I63</f>
        <v>200929</v>
      </c>
      <c r="L63" s="42">
        <f>'Nov 30'!$K63/$K$2</f>
        <v>9.2883104754521036E-4</v>
      </c>
      <c r="M63" s="43"/>
    </row>
    <row r="64" spans="1:16" s="46" customFormat="1" ht="25.5" x14ac:dyDescent="0.25">
      <c r="A64" s="36" t="s">
        <v>155</v>
      </c>
      <c r="B64" s="36" t="s">
        <v>177</v>
      </c>
      <c r="C64" s="36" t="s">
        <v>72</v>
      </c>
      <c r="D64" s="37">
        <v>1E-3</v>
      </c>
      <c r="E64" s="38">
        <f>'Nov 30'!$D64*$C$6*$C$2</f>
        <v>232350.06835799999</v>
      </c>
      <c r="F64" s="38">
        <f>INDEX('TWS data'!M:M,MATCH(Table1389584567991011121314456267891011121314151617181920213456789101112131415161718192021222334567891011121314151617181920[[#This Row],[IB Ticker]],'TWS data'!B:B,0))</f>
        <v>86537.333333333328</v>
      </c>
      <c r="G64" s="75">
        <f>'Nov 30'!$E64/'Nov 30'!$F64</f>
        <v>2.6849691272899556</v>
      </c>
      <c r="H64" s="36">
        <f>INDEX('TWS data'!F:F,MATCH(Table1389584567991011121314456267891011121314151617181920213456789101112131415161718192021222334567891011121314151617181920[[#This Row],[IB Ticker]],'TWS data'!B:B,0))</f>
        <v>3</v>
      </c>
      <c r="I64" s="36">
        <v>3</v>
      </c>
      <c r="J64" s="40">
        <f t="shared" si="3"/>
        <v>0</v>
      </c>
      <c r="K64" s="41">
        <f>'Nov 30'!$F64*'Nov 30'!$I64</f>
        <v>259612</v>
      </c>
      <c r="L64" s="42">
        <f>'Nov 30'!$K64/$K$2</f>
        <v>1.2001039467439104E-3</v>
      </c>
      <c r="M64" s="43"/>
      <c r="P64" s="46" t="s">
        <v>159</v>
      </c>
    </row>
    <row r="65" spans="1:13" s="46" customFormat="1" ht="25.5" x14ac:dyDescent="0.25">
      <c r="A65" s="36" t="s">
        <v>155</v>
      </c>
      <c r="B65" s="36" t="s">
        <v>83</v>
      </c>
      <c r="C65" s="36" t="s">
        <v>84</v>
      </c>
      <c r="D65" s="37">
        <v>1E-3</v>
      </c>
      <c r="E65" s="38">
        <f>'Nov 30'!$D65*$C$6*$C$2</f>
        <v>232350.06835799999</v>
      </c>
      <c r="F65" s="38">
        <f>INDEX('TWS data'!M:M,MATCH(Table1389584567991011121314456267891011121314151617181920213456789101112131415161718192021222334567891011121314151617181920[[#This Row],[IB Ticker]],'TWS data'!B:B,0))</f>
        <v>97665</v>
      </c>
      <c r="G65" s="75">
        <f>'Nov 30'!$E65/'Nov 30'!$F65</f>
        <v>2.3790515369682077</v>
      </c>
      <c r="H65" s="36">
        <f>INDEX('TWS data'!F:F,MATCH(Table1389584567991011121314456267891011121314151617181920213456789101112131415161718192021222334567891011121314151617181920[[#This Row],[IB Ticker]],'TWS data'!B:B,0))</f>
        <v>2</v>
      </c>
      <c r="I65" s="36">
        <v>2</v>
      </c>
      <c r="J65" s="40">
        <f t="shared" si="3"/>
        <v>0</v>
      </c>
      <c r="K65" s="41">
        <f>'Nov 30'!$F65*'Nov 30'!$I65</f>
        <v>195330</v>
      </c>
      <c r="L65" s="42">
        <f>'Nov 30'!$K65/$K$2</f>
        <v>9.0294864612378467E-4</v>
      </c>
      <c r="M65" s="43"/>
    </row>
    <row r="66" spans="1:13" s="46" customFormat="1" ht="25.5" x14ac:dyDescent="0.25">
      <c r="A66" s="36" t="s">
        <v>155</v>
      </c>
      <c r="B66" s="36" t="s">
        <v>85</v>
      </c>
      <c r="C66" s="36" t="s">
        <v>86</v>
      </c>
      <c r="D66" s="37">
        <v>1E-3</v>
      </c>
      <c r="E66" s="38">
        <f>'Nov 30'!$D66*$C$6*$C$2</f>
        <v>232350.06835799999</v>
      </c>
      <c r="F66" s="38">
        <f>INDEX('TWS data'!M:M,MATCH(Table1389584567991011121314456267891011121314151617181920213456789101112131415161718192021222334567891011121314151617181920[[#This Row],[IB Ticker]],'TWS data'!B:B,0))</f>
        <v>241263</v>
      </c>
      <c r="G66" s="75">
        <f>'Nov 30'!$E66/'Nov 30'!$F66</f>
        <v>0.96305719632931697</v>
      </c>
      <c r="H66" s="36">
        <f>INDEX('TWS data'!F:F,MATCH(Table1389584567991011121314456267891011121314151617181920213456789101112131415161718192021222334567891011121314151617181920[[#This Row],[IB Ticker]],'TWS data'!B:B,0))</f>
        <v>1</v>
      </c>
      <c r="I66" s="36">
        <v>1</v>
      </c>
      <c r="J66" s="40">
        <f t="shared" si="3"/>
        <v>0</v>
      </c>
      <c r="K66" s="41">
        <f>'Nov 30'!$F66*'Nov 30'!$I66</f>
        <v>241263</v>
      </c>
      <c r="L66" s="42">
        <f>'Nov 30'!$K66/$K$2</f>
        <v>1.1152823386564412E-3</v>
      </c>
      <c r="M66" s="43"/>
    </row>
    <row r="67" spans="1:13" s="46" customFormat="1" ht="25.5" x14ac:dyDescent="0.25">
      <c r="A67" s="36" t="s">
        <v>155</v>
      </c>
      <c r="B67" s="36" t="s">
        <v>87</v>
      </c>
      <c r="C67" s="36" t="s">
        <v>88</v>
      </c>
      <c r="D67" s="37">
        <v>1E-3</v>
      </c>
      <c r="E67" s="38">
        <f>'Nov 30'!$D67*$C$6*$C$2</f>
        <v>232350.06835799999</v>
      </c>
      <c r="F67" s="38">
        <f>INDEX('TWS data'!M:M,MATCH(Table1389584567991011121314456267891011121314151617181920213456789101112131415161718192021222334567891011121314151617181920[[#This Row],[IB Ticker]],'TWS data'!B:B,0))</f>
        <v>12946.333333333334</v>
      </c>
      <c r="G67" s="75">
        <f>'Nov 30'!$E67/'Nov 30'!$F67</f>
        <v>17.947171787996599</v>
      </c>
      <c r="H67" s="36">
        <f>INDEX('TWS data'!F:F,MATCH(Table1389584567991011121314456267891011121314151617181920213456789101112131415161718192021222334567891011121314151617181920[[#This Row],[IB Ticker]],'TWS data'!B:B,0))</f>
        <v>18</v>
      </c>
      <c r="I67" s="36">
        <v>18</v>
      </c>
      <c r="J67" s="40">
        <f t="shared" si="3"/>
        <v>0</v>
      </c>
      <c r="K67" s="41">
        <f>'Nov 30'!$F67*'Nov 30'!$I67</f>
        <v>233034</v>
      </c>
      <c r="L67" s="42">
        <f>'Nov 30'!$K67/$K$2</f>
        <v>1.0772422812717454E-3</v>
      </c>
      <c r="M67" s="43"/>
    </row>
    <row r="68" spans="1:13" s="46" customFormat="1" ht="25.5" x14ac:dyDescent="0.25">
      <c r="A68" s="36" t="s">
        <v>155</v>
      </c>
      <c r="B68" s="36" t="s">
        <v>90</v>
      </c>
      <c r="C68" s="36" t="s">
        <v>91</v>
      </c>
      <c r="D68" s="37">
        <v>0</v>
      </c>
      <c r="E68" s="38">
        <f>'Nov 30'!$D68*$C$6*$C$2</f>
        <v>0</v>
      </c>
      <c r="F68" s="38">
        <f>INDEX('TWS data'!M:M,MATCH(Table1389584567991011121314456267891011121314151617181920213456789101112131415161718192021222334567891011121314151617181920[[#This Row],[IB Ticker]],'TWS data'!B:B,0))</f>
        <v>94896.5</v>
      </c>
      <c r="G68" s="75">
        <f>'Nov 30'!$E68/'Nov 30'!$F68</f>
        <v>0</v>
      </c>
      <c r="H68" s="36">
        <f>INDEX('TWS data'!F:F,MATCH(Table1389584567991011121314456267891011121314151617181920213456789101112131415161718192021222334567891011121314151617181920[[#This Row],[IB Ticker]],'TWS data'!B:B,0))</f>
        <v>2</v>
      </c>
      <c r="I68" s="36">
        <v>0</v>
      </c>
      <c r="J68" s="40">
        <f t="shared" si="3"/>
        <v>-2</v>
      </c>
      <c r="K68" s="41">
        <f>'Nov 30'!$F68*'Nov 30'!$I68</f>
        <v>0</v>
      </c>
      <c r="L68" s="42">
        <f>'Nov 30'!$K68/$K$2</f>
        <v>0</v>
      </c>
      <c r="M68" s="43"/>
    </row>
    <row r="69" spans="1:13" s="4" customFormat="1" ht="25.5" x14ac:dyDescent="0.2">
      <c r="A69" s="36" t="s">
        <v>155</v>
      </c>
      <c r="B69" s="64" t="s">
        <v>112</v>
      </c>
      <c r="C69" s="64" t="s">
        <v>113</v>
      </c>
      <c r="D69" s="37">
        <v>1E-3</v>
      </c>
      <c r="E69" s="38">
        <f>'Nov 30'!$D69*$C$6*$C$2</f>
        <v>232350.06835799999</v>
      </c>
      <c r="F69" s="38">
        <f>INDEX('TWS data'!M:M,MATCH(Table1389584567991011121314456267891011121314151617181920213456789101112131415161718192021222334567891011121314151617181920[[#This Row],[IB Ticker]],'TWS data'!B:B,0))</f>
        <v>69842.333333333328</v>
      </c>
      <c r="G69" s="75">
        <f>'Nov 30'!$E69/'Nov 30'!$F69</f>
        <v>3.3267798664324886</v>
      </c>
      <c r="H69" s="36">
        <f>INDEX('TWS data'!F:F,MATCH(Table1389584567991011121314456267891011121314151617181920213456789101112131415161718192021222334567891011121314151617181920[[#This Row],[IB Ticker]],'TWS data'!B:B,0))</f>
        <v>3</v>
      </c>
      <c r="I69" s="36">
        <v>3</v>
      </c>
      <c r="J69" s="40">
        <f t="shared" si="3"/>
        <v>0</v>
      </c>
      <c r="K69" s="41">
        <f>'Nov 30'!$F69*'Nov 30'!$I69</f>
        <v>209527</v>
      </c>
      <c r="L69" s="42">
        <f>'Nov 30'!$K69/$K$2</f>
        <v>9.6857687491106457E-4</v>
      </c>
      <c r="M69" s="65"/>
    </row>
    <row r="70" spans="1:13" s="46" customFormat="1" ht="25.5" x14ac:dyDescent="0.25">
      <c r="A70" s="36" t="s">
        <v>155</v>
      </c>
      <c r="B70" s="36" t="s">
        <v>81</v>
      </c>
      <c r="C70" s="36" t="s">
        <v>82</v>
      </c>
      <c r="D70" s="37">
        <v>1E-3</v>
      </c>
      <c r="E70" s="38">
        <f>'Nov 30'!$D70*$C$6*$C$2</f>
        <v>232350.06835799999</v>
      </c>
      <c r="F70" s="38">
        <f>INDEX('TWS data'!M:M,MATCH(Table1389584567991011121314456267891011121314151617181920213456789101112131415161718192021222334567891011121314151617181920[[#This Row],[IB Ticker]],'TWS data'!B:B,0))</f>
        <v>29240</v>
      </c>
      <c r="G70" s="75">
        <f>'Nov 30'!$E70/'Nov 30'!$F70</f>
        <v>7.9463087673734609</v>
      </c>
      <c r="H70" s="36">
        <f>INDEX('TWS data'!F:F,MATCH(Table1389584567991011121314456267891011121314151617181920213456789101112131415161718192021222334567891011121314151617181920[[#This Row],[IB Ticker]],'TWS data'!B:B,0))</f>
        <v>8</v>
      </c>
      <c r="I70" s="36">
        <v>8</v>
      </c>
      <c r="J70" s="40">
        <f t="shared" si="3"/>
        <v>0</v>
      </c>
      <c r="K70" s="41">
        <f>'Nov 30'!$F70*'Nov 30'!$I70</f>
        <v>233920</v>
      </c>
      <c r="L70" s="42">
        <f>'Nov 30'!$K70/$K$2</f>
        <v>1.081337978299676E-3</v>
      </c>
      <c r="M70" s="43"/>
    </row>
    <row r="71" spans="1:13" s="46" customFormat="1" ht="25.5" x14ac:dyDescent="0.25">
      <c r="A71" s="36" t="s">
        <v>155</v>
      </c>
      <c r="B71" s="36" t="s">
        <v>100</v>
      </c>
      <c r="C71" s="36" t="s">
        <v>101</v>
      </c>
      <c r="D71" s="37">
        <v>1E-3</v>
      </c>
      <c r="E71" s="38">
        <f>'Nov 30'!$D71*$C$6*$C$2</f>
        <v>232350.06835799999</v>
      </c>
      <c r="F71" s="38">
        <f>INDEX('TWS data'!M:M,MATCH(Table1389584567991011121314456267891011121314151617181920213456789101112131415161718192021222334567891011121314151617181920[[#This Row],[IB Ticker]],'TWS data'!B:B,0))</f>
        <v>8149.1071428571431</v>
      </c>
      <c r="G71" s="75">
        <f>'Nov 30'!$E71/'Nov 30'!$F71</f>
        <v>28.512334453923522</v>
      </c>
      <c r="H71" s="36">
        <f>INDEX('TWS data'!F:F,MATCH(Table1389584567991011121314456267891011121314151617181920213456789101112131415161718192021222334567891011121314151617181920[[#This Row],[IB Ticker]],'TWS data'!B:B,0))</f>
        <v>28</v>
      </c>
      <c r="I71" s="36">
        <v>28</v>
      </c>
      <c r="J71" s="40">
        <f t="shared" si="3"/>
        <v>0</v>
      </c>
      <c r="K71" s="41">
        <f>'Nov 30'!$F71*'Nov 30'!$I71</f>
        <v>228175</v>
      </c>
      <c r="L71" s="42">
        <f>'Nov 30'!$K71/$K$2</f>
        <v>1.0547806651783882E-3</v>
      </c>
      <c r="M71" s="43"/>
    </row>
    <row r="72" spans="1:13" s="46" customFormat="1" ht="25.5" x14ac:dyDescent="0.25">
      <c r="A72" s="36" t="s">
        <v>155</v>
      </c>
      <c r="B72" s="36" t="s">
        <v>74</v>
      </c>
      <c r="C72" s="36" t="s">
        <v>75</v>
      </c>
      <c r="D72" s="37">
        <v>1E-3</v>
      </c>
      <c r="E72" s="38">
        <f>'Nov 30'!$D72*$C$6*$C$2</f>
        <v>232350.06835799999</v>
      </c>
      <c r="F72" s="38">
        <f>INDEX('TWS data'!M:M,MATCH(Table1389584567991011121314456267891011121314151617181920213456789101112131415161718192021222334567891011121314151617181920[[#This Row],[IB Ticker]],'TWS data'!B:B,0))</f>
        <v>27987.428571428572</v>
      </c>
      <c r="G72" s="75">
        <f>'Nov 30'!$E72/'Nov 30'!$F72</f>
        <v>8.301944130558617</v>
      </c>
      <c r="H72" s="36">
        <f>INDEX('TWS data'!F:F,MATCH(Table1389584567991011121314456267891011121314151617181920213456789101112131415161718192021222334567891011121314151617181920[[#This Row],[IB Ticker]],'TWS data'!B:B,0))</f>
        <v>7</v>
      </c>
      <c r="I72" s="36">
        <v>7</v>
      </c>
      <c r="J72" s="40">
        <f t="shared" si="3"/>
        <v>0</v>
      </c>
      <c r="K72" s="41">
        <f>'Nov 30'!$F72*'Nov 30'!$I72</f>
        <v>195912</v>
      </c>
      <c r="L72" s="42">
        <f>'Nov 30'!$K72/$K$2</f>
        <v>9.0563904755748179E-4</v>
      </c>
      <c r="M72" s="43"/>
    </row>
    <row r="73" spans="1:13" s="46" customFormat="1" ht="25.5" x14ac:dyDescent="0.25">
      <c r="A73" s="36" t="s">
        <v>155</v>
      </c>
      <c r="B73" s="36" t="s">
        <v>185</v>
      </c>
      <c r="C73" s="36" t="s">
        <v>186</v>
      </c>
      <c r="D73" s="37">
        <v>1E-3</v>
      </c>
      <c r="E73" s="38">
        <f>'Nov 30'!$D73*$C$6*$C$2</f>
        <v>232350.06835799999</v>
      </c>
      <c r="F73" s="38">
        <f>INDEX('TWS data'!M:M,MATCH(Table1389584567991011121314456267891011121314151617181920213456789101112131415161718192021222334567891011121314151617181920[[#This Row],[IB Ticker]],'TWS data'!B:B,0))</f>
        <v>59462.5</v>
      </c>
      <c r="G73" s="75">
        <f>'Nov 30'!$E73/'Nov 30'!$F73</f>
        <v>3.9075058794702544</v>
      </c>
      <c r="H73" s="36">
        <f>INDEX('TWS data'!F:F,MATCH(Table1389584567991011121314456267891011121314151617181920213456789101112131415161718192021222334567891011121314151617181920[[#This Row],[IB Ticker]],'TWS data'!B:B,0))</f>
        <v>0</v>
      </c>
      <c r="I73" s="36">
        <v>4</v>
      </c>
      <c r="J73" s="40">
        <f t="shared" ref="J73" si="4">I73-H73</f>
        <v>4</v>
      </c>
      <c r="K73" s="41">
        <f>'Nov 30'!$F73*'Nov 30'!$I73</f>
        <v>237850</v>
      </c>
      <c r="L73" s="42">
        <f>'Nov 30'!$K73/$K$2</f>
        <v>1.0995051220014447E-3</v>
      </c>
      <c r="M73" s="43"/>
    </row>
    <row r="74" spans="1:13" s="46" customFormat="1" ht="12.75" x14ac:dyDescent="0.25">
      <c r="A74" s="36"/>
      <c r="B74" s="36"/>
      <c r="C74" s="36"/>
      <c r="D74" s="37"/>
      <c r="E74" s="38"/>
      <c r="F74" s="38"/>
      <c r="G74" s="39"/>
      <c r="H74" s="36"/>
      <c r="I74" s="36"/>
      <c r="J74" s="43"/>
      <c r="K74" s="41"/>
      <c r="L74" s="42"/>
      <c r="M74" s="43"/>
    </row>
    <row r="75" spans="1:13" s="17" customFormat="1" ht="12.75" x14ac:dyDescent="0.2">
      <c r="A75" s="50" t="s">
        <v>167</v>
      </c>
      <c r="B75" s="68"/>
      <c r="C75" s="68"/>
      <c r="D75" s="76">
        <f>SUM(D63:D74)</f>
        <v>1.0000000000000002E-2</v>
      </c>
      <c r="E75" s="52">
        <f>SUM(E62:E74)</f>
        <v>2323500.6835799995</v>
      </c>
      <c r="F75" s="71"/>
      <c r="G75" s="71"/>
      <c r="H75" s="68"/>
      <c r="I75" s="68"/>
      <c r="J75" s="50"/>
      <c r="K75" s="52">
        <f>SUM(K62:K74)</f>
        <v>2235552</v>
      </c>
      <c r="L75" s="55">
        <f>'Nov 30'!$K75/$K$2</f>
        <v>1.0334247948289148E-2</v>
      </c>
      <c r="M75" s="62"/>
    </row>
    <row r="76" spans="1:13" s="4" customFormat="1" ht="12.75" x14ac:dyDescent="0.2">
      <c r="A76" s="36"/>
      <c r="B76" s="64"/>
      <c r="C76" s="64"/>
      <c r="D76" s="77"/>
      <c r="E76" s="38"/>
      <c r="F76" s="38"/>
      <c r="G76" s="39"/>
      <c r="H76" s="64"/>
      <c r="I76" s="64"/>
      <c r="J76" s="36"/>
      <c r="K76" s="36"/>
      <c r="L76" s="42"/>
      <c r="M76" s="65"/>
    </row>
    <row r="77" spans="1:13" s="46" customFormat="1" ht="25.5" x14ac:dyDescent="0.25">
      <c r="A77" s="50" t="s">
        <v>168</v>
      </c>
      <c r="B77" s="57" t="s">
        <v>169</v>
      </c>
      <c r="C77" s="57" t="s">
        <v>170</v>
      </c>
      <c r="D77" s="58">
        <v>0</v>
      </c>
      <c r="E77" s="59">
        <f>'Nov 30'!$D77*$C$6*$C$2</f>
        <v>0</v>
      </c>
      <c r="F77" s="59">
        <v>0</v>
      </c>
      <c r="G77" s="60" t="s">
        <v>175</v>
      </c>
      <c r="H77" s="57">
        <v>0</v>
      </c>
      <c r="I77" s="57">
        <v>0</v>
      </c>
      <c r="J77" s="78">
        <f>I77-H77</f>
        <v>0</v>
      </c>
      <c r="K77" s="59">
        <f>'Nov 30'!$F77*'Nov 30'!$I77</f>
        <v>0</v>
      </c>
      <c r="L77" s="79">
        <f>'Nov 30'!$K77/$K$2</f>
        <v>0</v>
      </c>
      <c r="M77" s="57"/>
    </row>
    <row r="78" spans="1:13" s="4" customFormat="1" ht="12.75" x14ac:dyDescent="0.2">
      <c r="A78" s="36"/>
      <c r="B78" s="64"/>
      <c r="C78" s="64"/>
      <c r="D78" s="77"/>
      <c r="E78" s="38"/>
      <c r="F78" s="38"/>
      <c r="G78" s="39"/>
      <c r="H78" s="64"/>
      <c r="I78" s="64"/>
      <c r="J78" s="36"/>
      <c r="K78" s="36"/>
      <c r="L78" s="42"/>
      <c r="M78" s="65"/>
    </row>
    <row r="79" spans="1:13" s="4" customFormat="1" ht="12.75" x14ac:dyDescent="0.2">
      <c r="A79" s="36"/>
      <c r="B79" s="64"/>
      <c r="C79" s="64"/>
      <c r="D79" s="80"/>
      <c r="E79" s="66"/>
      <c r="F79" s="38"/>
      <c r="G79" s="39"/>
      <c r="H79" s="64"/>
      <c r="I79" s="64"/>
      <c r="J79" s="36"/>
      <c r="K79" s="36"/>
      <c r="L79" s="42"/>
      <c r="M79" s="65"/>
    </row>
    <row r="80" spans="1:13" s="17" customFormat="1" ht="12.75" x14ac:dyDescent="0.2">
      <c r="A80" s="50" t="s">
        <v>171</v>
      </c>
      <c r="B80" s="68"/>
      <c r="C80" s="68"/>
      <c r="D80" s="68"/>
      <c r="E80" s="81"/>
      <c r="F80" s="81"/>
      <c r="G80" s="50"/>
      <c r="H80" s="68"/>
      <c r="I80" s="68"/>
      <c r="J80" s="68"/>
      <c r="K80" s="81">
        <f>SUM(K37,K39,K52,K60,K75,K77:K77)</f>
        <v>216324594.80228549</v>
      </c>
      <c r="L80" s="55">
        <f>'Nov 30'!$K80/$K$2</f>
        <v>1</v>
      </c>
      <c r="M80" s="68"/>
    </row>
    <row r="81" spans="1:13" s="4" customFormat="1" ht="12.75" x14ac:dyDescent="0.2">
      <c r="A81" s="65"/>
      <c r="B81" s="65"/>
      <c r="C81" s="65"/>
      <c r="D81" s="82"/>
      <c r="E81" s="83"/>
      <c r="F81" s="38"/>
      <c r="G81" s="84"/>
      <c r="H81" s="65"/>
      <c r="I81" s="65"/>
      <c r="J81" s="65"/>
      <c r="K81" s="65"/>
      <c r="L81" s="42"/>
      <c r="M81" s="65"/>
    </row>
    <row r="82" spans="1:13" s="4" customFormat="1" ht="12.75" x14ac:dyDescent="0.2">
      <c r="A82" s="65"/>
      <c r="B82" s="65"/>
      <c r="C82" s="65"/>
      <c r="D82" s="82"/>
      <c r="E82" s="83"/>
      <c r="F82" s="38"/>
      <c r="G82" s="84"/>
      <c r="H82" s="65"/>
      <c r="I82" s="65"/>
      <c r="J82" s="65"/>
      <c r="K82" s="65"/>
      <c r="L82" s="42"/>
      <c r="M82" s="65"/>
    </row>
    <row r="83" spans="1:13" s="4" customFormat="1" ht="12.75" x14ac:dyDescent="0.2">
      <c r="A83" s="65"/>
      <c r="B83" s="65"/>
      <c r="C83" s="65"/>
      <c r="D83" s="82"/>
      <c r="E83" s="83"/>
      <c r="F83" s="38"/>
      <c r="G83" s="84"/>
      <c r="H83" s="65"/>
      <c r="I83" s="65"/>
      <c r="J83" s="65"/>
      <c r="K83" s="65"/>
      <c r="L83" s="42"/>
      <c r="M83" s="65"/>
    </row>
    <row r="84" spans="1:13" s="4" customFormat="1" ht="12.75" x14ac:dyDescent="0.2">
      <c r="A84" s="65"/>
      <c r="B84" s="65"/>
      <c r="C84" s="65"/>
      <c r="D84" s="82"/>
      <c r="E84" s="83"/>
      <c r="F84" s="38"/>
      <c r="G84" s="84"/>
      <c r="H84" s="65"/>
      <c r="I84" s="65"/>
      <c r="J84" s="65"/>
      <c r="K84" s="65"/>
      <c r="L84" s="42"/>
      <c r="M84" s="65"/>
    </row>
    <row r="85" spans="1:13" s="4" customFormat="1" ht="12.75" x14ac:dyDescent="0.2">
      <c r="A85" s="65"/>
      <c r="B85" s="65"/>
      <c r="C85" s="65"/>
      <c r="D85" s="82"/>
      <c r="E85" s="83"/>
      <c r="F85" s="38"/>
      <c r="G85" s="84"/>
      <c r="H85" s="65"/>
      <c r="I85" s="65"/>
      <c r="J85" s="65"/>
      <c r="K85" s="65"/>
      <c r="L85" s="42"/>
      <c r="M85" s="65"/>
    </row>
    <row r="86" spans="1:13" s="4" customFormat="1" ht="12.75" x14ac:dyDescent="0.2">
      <c r="A86" s="65"/>
      <c r="B86" s="65"/>
      <c r="C86" s="65"/>
      <c r="D86" s="82"/>
      <c r="E86" s="83"/>
      <c r="F86" s="38"/>
      <c r="G86" s="84"/>
      <c r="H86" s="65"/>
      <c r="I86" s="65"/>
      <c r="J86" s="65"/>
      <c r="K86" s="65"/>
      <c r="L86" s="42"/>
      <c r="M86" s="65"/>
    </row>
    <row r="87" spans="1:13" s="4" customFormat="1" ht="12.75" x14ac:dyDescent="0.2">
      <c r="A87" s="65"/>
      <c r="B87" s="65"/>
      <c r="C87" s="65"/>
      <c r="D87" s="82"/>
      <c r="E87" s="83"/>
      <c r="F87" s="38"/>
      <c r="G87" s="84"/>
      <c r="H87" s="65"/>
      <c r="I87" s="65"/>
      <c r="J87" s="65"/>
      <c r="K87" s="65"/>
      <c r="L87" s="42"/>
      <c r="M87" s="65"/>
    </row>
    <row r="88" spans="1:13" s="4" customFormat="1" ht="12.75" x14ac:dyDescent="0.2">
      <c r="A88" s="65"/>
      <c r="B88" s="65"/>
      <c r="C88" s="65"/>
      <c r="D88" s="82"/>
      <c r="E88" s="83"/>
      <c r="F88" s="38"/>
      <c r="G88" s="84"/>
      <c r="H88" s="65"/>
      <c r="I88" s="65"/>
      <c r="J88" s="65"/>
      <c r="K88" s="65"/>
      <c r="L88" s="42"/>
      <c r="M88" s="65"/>
    </row>
    <row r="89" spans="1:13" s="4" customFormat="1" ht="12.75" x14ac:dyDescent="0.2">
      <c r="A89" s="65"/>
      <c r="B89" s="65"/>
      <c r="C89" s="65"/>
      <c r="D89" s="82"/>
      <c r="E89" s="83"/>
      <c r="F89" s="38"/>
      <c r="G89" s="84"/>
      <c r="H89" s="65"/>
      <c r="I89" s="65"/>
      <c r="J89" s="65"/>
      <c r="K89" s="65"/>
      <c r="L89" s="42"/>
      <c r="M89" s="65"/>
    </row>
    <row r="90" spans="1:13" s="4" customFormat="1" ht="12.75" x14ac:dyDescent="0.2"/>
    <row r="91" spans="1:13" s="4" customFormat="1" ht="12.75" x14ac:dyDescent="0.2"/>
    <row r="93" spans="1:13" s="4" customFormat="1" ht="12.75" x14ac:dyDescent="0.2">
      <c r="A93" s="85"/>
      <c r="B93" s="85"/>
      <c r="E93" s="85"/>
      <c r="F93" s="85"/>
      <c r="G93" s="85"/>
      <c r="H93" s="86"/>
      <c r="M93" s="85"/>
    </row>
    <row r="94" spans="1:13" s="4" customFormat="1" ht="12.75" x14ac:dyDescent="0.2">
      <c r="A94" s="85"/>
      <c r="B94" s="85"/>
      <c r="E94" s="85"/>
      <c r="F94" s="85"/>
      <c r="G94" s="85"/>
      <c r="H94" s="86"/>
      <c r="M94" s="85"/>
    </row>
    <row r="95" spans="1:13" s="4" customFormat="1" ht="12.75" x14ac:dyDescent="0.2">
      <c r="A95" s="87"/>
      <c r="B95" s="87"/>
    </row>
    <row r="96" spans="1:13" s="4" customFormat="1" ht="12.75" x14ac:dyDescent="0.2">
      <c r="A96" s="88"/>
      <c r="B96" s="88"/>
      <c r="E96" s="88"/>
      <c r="F96" s="87"/>
      <c r="G96" s="87"/>
      <c r="M96" s="89"/>
    </row>
    <row r="97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H91"/>
  <sheetViews>
    <sheetView zoomScale="140" zoomScaleNormal="140" workbookViewId="0">
      <pane xSplit="2" topLeftCell="C1" activePane="topRight" state="frozen"/>
      <selection pane="topRight" activeCell="I4" sqref="I4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116</v>
      </c>
      <c r="C1" s="6">
        <v>44138</v>
      </c>
      <c r="D1" s="7"/>
      <c r="E1" s="8" t="s">
        <v>117</v>
      </c>
      <c r="F1" s="9"/>
      <c r="G1" s="10"/>
      <c r="K1" s="11" t="s">
        <v>118</v>
      </c>
      <c r="L1" s="11" t="s">
        <v>119</v>
      </c>
      <c r="M1" s="12" t="s">
        <v>120</v>
      </c>
    </row>
    <row r="2" spans="1:17" x14ac:dyDescent="0.25">
      <c r="A2" s="5"/>
      <c r="B2" s="5" t="s">
        <v>121</v>
      </c>
      <c r="C2" s="13">
        <v>6.7149999999999999</v>
      </c>
      <c r="D2" s="14"/>
      <c r="E2" s="15">
        <f>SUM(E29,E44,E52,E69,E31,E71)</f>
        <v>165118434.19749492</v>
      </c>
      <c r="F2" s="16"/>
      <c r="G2" s="17"/>
      <c r="H2" s="14"/>
      <c r="I2" s="14"/>
      <c r="J2" s="14"/>
      <c r="K2" s="15">
        <f>SUM(K29,K44,K52,K69,K31,K71:K71)</f>
        <v>165523044.79077926</v>
      </c>
      <c r="L2" s="18">
        <f>SUM(L52,L69,L44,L29,L31,L71)</f>
        <v>1</v>
      </c>
      <c r="M2" s="19">
        <f>K2/$C$6</f>
        <v>6.7314815400298214</v>
      </c>
      <c r="N2" s="20"/>
    </row>
    <row r="3" spans="1:17" ht="26.25" x14ac:dyDescent="0.25">
      <c r="A3" s="5"/>
      <c r="B3" s="5" t="s">
        <v>122</v>
      </c>
      <c r="C3" s="21">
        <v>18589392.960000001</v>
      </c>
      <c r="D3" s="22"/>
      <c r="E3" s="8" t="s">
        <v>123</v>
      </c>
      <c r="F3" s="16"/>
      <c r="H3" s="14"/>
      <c r="I3" s="14"/>
      <c r="J3" s="14"/>
      <c r="K3" s="8" t="s">
        <v>123</v>
      </c>
      <c r="L3" s="14"/>
      <c r="M3" s="12" t="s">
        <v>124</v>
      </c>
      <c r="N3" s="23"/>
    </row>
    <row r="4" spans="1:17" x14ac:dyDescent="0.25">
      <c r="A4" s="5"/>
      <c r="B4" s="5" t="s">
        <v>125</v>
      </c>
      <c r="C4" s="21">
        <v>6000000</v>
      </c>
      <c r="D4" s="22"/>
      <c r="E4" s="15">
        <f>SUM(E29,E69,E31)</f>
        <v>31373037.479110904</v>
      </c>
      <c r="F4" s="16"/>
      <c r="G4" s="17"/>
      <c r="H4" s="14"/>
      <c r="I4" s="14"/>
      <c r="J4" s="14"/>
      <c r="K4" s="15">
        <f>SUM(K29,K31,K69)</f>
        <v>31461101.953597885</v>
      </c>
      <c r="L4" s="14"/>
      <c r="M4" s="19">
        <f>K4/$C$6</f>
        <v>1.2794582609166567</v>
      </c>
      <c r="N4" s="23"/>
    </row>
    <row r="5" spans="1:17" x14ac:dyDescent="0.25">
      <c r="A5" s="5"/>
      <c r="B5" s="5" t="s">
        <v>126</v>
      </c>
      <c r="C5" s="21">
        <v>0</v>
      </c>
      <c r="D5" s="22"/>
      <c r="E5" s="16"/>
      <c r="F5" s="16"/>
      <c r="G5" s="24">
        <f>SUM(D29,D31,D44,D52,D69,D71:D71)</f>
        <v>1.0000039999999999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127</v>
      </c>
      <c r="C6" s="21">
        <f>C3+C4-C5</f>
        <v>24589392.960000001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128</v>
      </c>
      <c r="B8" s="30" t="s">
        <v>129</v>
      </c>
      <c r="C8" s="31" t="s">
        <v>1</v>
      </c>
      <c r="D8" s="31" t="s">
        <v>130</v>
      </c>
      <c r="E8" s="31" t="s">
        <v>131</v>
      </c>
      <c r="F8" s="31" t="s">
        <v>132</v>
      </c>
      <c r="G8" s="31" t="s">
        <v>133</v>
      </c>
      <c r="H8" s="31" t="s">
        <v>134</v>
      </c>
      <c r="I8" s="31" t="s">
        <v>135</v>
      </c>
      <c r="J8" s="31" t="s">
        <v>136</v>
      </c>
      <c r="K8" s="32" t="s">
        <v>137</v>
      </c>
      <c r="L8" s="32" t="s">
        <v>138</v>
      </c>
      <c r="M8" s="32" t="s">
        <v>139</v>
      </c>
      <c r="N8" s="33"/>
      <c r="Q8" s="35"/>
    </row>
    <row r="9" spans="1:17" s="46" customFormat="1" ht="12.75" x14ac:dyDescent="0.25">
      <c r="A9" s="36" t="s">
        <v>140</v>
      </c>
      <c r="B9" s="36" t="s">
        <v>141</v>
      </c>
      <c r="C9" s="36" t="s">
        <v>142</v>
      </c>
      <c r="D9" s="37">
        <v>0</v>
      </c>
      <c r="E9" s="38">
        <f>'Nov 03'!$D9*$C$6*$C$2</f>
        <v>0</v>
      </c>
      <c r="F9" s="38">
        <v>507.39985795454601</v>
      </c>
      <c r="G9" s="39">
        <f>'Nov 03'!$E9/'Nov 03'!$F9</f>
        <v>0</v>
      </c>
      <c r="H9" s="36">
        <v>2816</v>
      </c>
      <c r="I9" s="36">
        <f>ROUND(Table138958456799101112131445626789101112131415161718192021345678910111213141516171819202122233[[#This Row],[Target Quantity]],0)</f>
        <v>0</v>
      </c>
      <c r="J9" s="40">
        <f t="shared" ref="J9:J27" si="0">I9-H9</f>
        <v>-2816</v>
      </c>
      <c r="K9" s="41">
        <f>'Nov 03'!$F9*'Nov 03'!$I9</f>
        <v>0</v>
      </c>
      <c r="L9" s="42">
        <f>'Nov 03'!$K9/$K$2</f>
        <v>0</v>
      </c>
      <c r="M9" s="43"/>
      <c r="N9" s="44"/>
      <c r="O9" s="45"/>
    </row>
    <row r="10" spans="1:17" s="46" customFormat="1" ht="12.75" customHeight="1" x14ac:dyDescent="0.25">
      <c r="A10" s="36" t="s">
        <v>140</v>
      </c>
      <c r="B10" s="36" t="s">
        <v>49</v>
      </c>
      <c r="C10" s="36" t="s">
        <v>50</v>
      </c>
      <c r="D10" s="37">
        <v>1.2307999999999999E-2</v>
      </c>
      <c r="E10" s="38">
        <f>'Nov 03'!$D10*$C$6*$C$2</f>
        <v>2032269.5590245312</v>
      </c>
      <c r="F10" s="38">
        <v>405.96988287785803</v>
      </c>
      <c r="G10" s="39">
        <f>'Nov 03'!$E10/'Nov 03'!$F10</f>
        <v>5005.9613895939401</v>
      </c>
      <c r="H10" s="36">
        <v>3586</v>
      </c>
      <c r="I10" s="36">
        <f>ROUND(Table138958456799101112131445626789101112131415161718192021345678910111213141516171819202122233[[#This Row],[Target Quantity]],0)</f>
        <v>5006</v>
      </c>
      <c r="J10" s="40">
        <f t="shared" si="0"/>
        <v>1420</v>
      </c>
      <c r="K10" s="41">
        <f>'Nov 03'!$F10*'Nov 03'!$I10</f>
        <v>2032285.2336865573</v>
      </c>
      <c r="L10" s="42">
        <f>'Nov 03'!$K10/$K$2</f>
        <v>1.2277959460299689E-2</v>
      </c>
      <c r="M10" s="43"/>
    </row>
    <row r="11" spans="1:17" s="46" customFormat="1" ht="12.75" customHeight="1" x14ac:dyDescent="0.25">
      <c r="A11" s="36" t="s">
        <v>140</v>
      </c>
      <c r="B11" s="36" t="s">
        <v>37</v>
      </c>
      <c r="C11" s="36" t="s">
        <v>38</v>
      </c>
      <c r="D11" s="37">
        <v>1.2307999999999999E-2</v>
      </c>
      <c r="E11" s="38">
        <f>'Nov 03'!$D11*$C$6*$C$2</f>
        <v>2032269.5590245312</v>
      </c>
      <c r="F11" s="38">
        <v>83.149994156830701</v>
      </c>
      <c r="G11" s="39">
        <f>'Nov 03'!$E11/'Nov 03'!$F11</f>
        <v>24441.00663665028</v>
      </c>
      <c r="H11" s="36">
        <v>17114</v>
      </c>
      <c r="I11" s="36">
        <f>ROUND(Table138958456799101112131445626789101112131415161718192021345678910111213141516171819202122233[[#This Row],[Target Quantity]],0)</f>
        <v>24441</v>
      </c>
      <c r="J11" s="40">
        <f t="shared" si="0"/>
        <v>7327</v>
      </c>
      <c r="K11" s="41">
        <f>'Nov 03'!$F11*'Nov 03'!$I11</f>
        <v>2032269.0071870992</v>
      </c>
      <c r="L11" s="42">
        <f>'Nov 03'!$K11/$K$2</f>
        <v>1.227786142863601E-2</v>
      </c>
      <c r="M11" s="43"/>
    </row>
    <row r="12" spans="1:17" s="47" customFormat="1" ht="12.75" customHeight="1" x14ac:dyDescent="0.25">
      <c r="A12" s="36" t="s">
        <v>140</v>
      </c>
      <c r="B12" s="36" t="s">
        <v>27</v>
      </c>
      <c r="C12" s="36" t="s">
        <v>28</v>
      </c>
      <c r="D12" s="37">
        <v>1.2307999999999999E-2</v>
      </c>
      <c r="E12" s="38">
        <f>'Nov 03'!$D12*$C$6*$C$2</f>
        <v>2032269.5590245312</v>
      </c>
      <c r="F12" s="38">
        <v>201.560022893118</v>
      </c>
      <c r="G12" s="39">
        <f>'Nov 03'!$E12/'Nov 03'!$F12</f>
        <v>10082.701568763914</v>
      </c>
      <c r="H12" s="36">
        <v>6989</v>
      </c>
      <c r="I12" s="36">
        <f>ROUND(Table138958456799101112131445626789101112131415161718192021345678910111213141516171819202122233[[#This Row],[Target Quantity]],0)</f>
        <v>10083</v>
      </c>
      <c r="J12" s="40">
        <f t="shared" si="0"/>
        <v>3094</v>
      </c>
      <c r="K12" s="41">
        <f>'Nov 03'!$F12*'Nov 03'!$I12</f>
        <v>2032329.7108313087</v>
      </c>
      <c r="L12" s="42">
        <f>'Nov 03'!$K12/$K$2</f>
        <v>1.2278228166961095E-2</v>
      </c>
      <c r="M12" s="36"/>
    </row>
    <row r="13" spans="1:17" s="47" customFormat="1" ht="12.75" customHeight="1" x14ac:dyDescent="0.25">
      <c r="A13" s="36" t="s">
        <v>140</v>
      </c>
      <c r="B13" s="36" t="s">
        <v>51</v>
      </c>
      <c r="C13" s="36" t="s">
        <v>52</v>
      </c>
      <c r="D13" s="37">
        <v>1.2307999999999999E-2</v>
      </c>
      <c r="E13" s="38">
        <f>'Nov 03'!$D13*$C$6*$C$2</f>
        <v>2032269.5590245312</v>
      </c>
      <c r="F13" s="38">
        <v>453</v>
      </c>
      <c r="G13" s="39">
        <f>'Nov 03'!$E13/'Nov 03'!$F13</f>
        <v>4486.2462671623207</v>
      </c>
      <c r="H13" s="36">
        <v>2989</v>
      </c>
      <c r="I13" s="36">
        <f>ROUND(Table138958456799101112131445626789101112131415161718192021345678910111213141516171819202122233[[#This Row],[Target Quantity]],0)</f>
        <v>4486</v>
      </c>
      <c r="J13" s="40">
        <f t="shared" si="0"/>
        <v>1497</v>
      </c>
      <c r="K13" s="41">
        <f>'Nov 03'!$F13*'Nov 03'!$I13</f>
        <v>2032158</v>
      </c>
      <c r="L13" s="42">
        <f>'Nov 03'!$K13/$K$2</f>
        <v>1.2277190783728289E-2</v>
      </c>
      <c r="M13" s="36"/>
    </row>
    <row r="14" spans="1:17" s="47" customFormat="1" ht="12.75" customHeight="1" x14ac:dyDescent="0.25">
      <c r="A14" s="36" t="s">
        <v>140</v>
      </c>
      <c r="B14" s="36" t="s">
        <v>41</v>
      </c>
      <c r="C14" s="36" t="s">
        <v>42</v>
      </c>
      <c r="D14" s="37">
        <v>1.2307999999999999E-2</v>
      </c>
      <c r="E14" s="38">
        <f>'Nov 03'!$D14*$C$6*$C$2</f>
        <v>2032269.5590245312</v>
      </c>
      <c r="F14" s="38">
        <v>1215.8599656357401</v>
      </c>
      <c r="G14" s="39">
        <f>'Nov 03'!$E14/'Nov 03'!$F14</f>
        <v>1671.4667942553012</v>
      </c>
      <c r="H14" s="36">
        <v>1164</v>
      </c>
      <c r="I14" s="36">
        <f>ROUND(Table138958456799101112131445626789101112131415161718192021345678910111213141516171819202122233[[#This Row],[Target Quantity]],0)</f>
        <v>1671</v>
      </c>
      <c r="J14" s="40">
        <f t="shared" si="0"/>
        <v>507</v>
      </c>
      <c r="K14" s="41">
        <f>'Nov 03'!$F14*'Nov 03'!$I14</f>
        <v>2031702.0025773216</v>
      </c>
      <c r="L14" s="42">
        <f>'Nov 03'!$K14/$K$2</f>
        <v>1.2274435895892249E-2</v>
      </c>
      <c r="M14" s="36"/>
    </row>
    <row r="15" spans="1:17" s="47" customFormat="1" ht="12.75" customHeight="1" x14ac:dyDescent="0.25">
      <c r="A15" s="36" t="s">
        <v>140</v>
      </c>
      <c r="B15" s="36" t="s">
        <v>31</v>
      </c>
      <c r="C15" s="36" t="s">
        <v>32</v>
      </c>
      <c r="D15" s="37">
        <v>1.2307999999999999E-2</v>
      </c>
      <c r="E15" s="38">
        <f>'Nov 03'!$D15*$C$6*$C$2</f>
        <v>2032269.5590245312</v>
      </c>
      <c r="F15" s="38">
        <v>268.73990455212902</v>
      </c>
      <c r="G15" s="39">
        <f>'Nov 03'!$E15/'Nov 03'!$F15</f>
        <v>7562.2173134705426</v>
      </c>
      <c r="H15" s="36">
        <v>5448</v>
      </c>
      <c r="I15" s="36">
        <f>ROUND(Table138958456799101112131445626789101112131415161718192021345678910111213141516171819202122233[[#This Row],[Target Quantity]],0)</f>
        <v>7562</v>
      </c>
      <c r="J15" s="40">
        <f t="shared" si="0"/>
        <v>2114</v>
      </c>
      <c r="K15" s="41">
        <f>'Nov 03'!$F15*'Nov 03'!$I15</f>
        <v>2032211.1582231997</v>
      </c>
      <c r="L15" s="42">
        <f>'Nov 03'!$K15/$K$2</f>
        <v>1.2277511936733099E-2</v>
      </c>
      <c r="M15" s="36"/>
    </row>
    <row r="16" spans="1:17" s="47" customFormat="1" ht="12.75" customHeight="1" x14ac:dyDescent="0.25">
      <c r="A16" s="36" t="s">
        <v>140</v>
      </c>
      <c r="B16" s="36" t="s">
        <v>143</v>
      </c>
      <c r="C16" s="36" t="s">
        <v>144</v>
      </c>
      <c r="D16" s="37">
        <v>0</v>
      </c>
      <c r="E16" s="38">
        <f>'Nov 03'!$D16*$C$6*$C$2</f>
        <v>0</v>
      </c>
      <c r="F16" s="38">
        <v>1188.5396825396799</v>
      </c>
      <c r="G16" s="39">
        <f>'Nov 03'!$E16/'Nov 03'!$F16</f>
        <v>0</v>
      </c>
      <c r="H16" s="36">
        <v>882</v>
      </c>
      <c r="I16" s="36">
        <f>ROUND(Table138958456799101112131445626789101112131415161718192021345678910111213141516171819202122233[[#This Row],[Target Quantity]],0)</f>
        <v>0</v>
      </c>
      <c r="J16" s="40">
        <f t="shared" si="0"/>
        <v>-882</v>
      </c>
      <c r="K16" s="41">
        <f>'Nov 03'!$F16*'Nov 03'!$I16</f>
        <v>0</v>
      </c>
      <c r="L16" s="42">
        <f>'Nov 03'!$K16/$K$2</f>
        <v>0</v>
      </c>
      <c r="M16" s="36"/>
    </row>
    <row r="17" spans="1:15" s="47" customFormat="1" ht="12.75" customHeight="1" x14ac:dyDescent="0.25">
      <c r="A17" s="36" t="s">
        <v>140</v>
      </c>
      <c r="B17" s="36" t="s">
        <v>29</v>
      </c>
      <c r="C17" s="36" t="s">
        <v>30</v>
      </c>
      <c r="D17" s="37">
        <v>6.1539999999999997E-3</v>
      </c>
      <c r="E17" s="38">
        <f>'Nov 03'!$D17*$C$6*$C$2</f>
        <v>1016134.7795122656</v>
      </c>
      <c r="F17" s="38">
        <v>18.240009812339</v>
      </c>
      <c r="G17" s="39">
        <f>'Nov 03'!$E17/'Nov 03'!$F17</f>
        <v>55709.113644493264</v>
      </c>
      <c r="H17" s="36">
        <v>40765</v>
      </c>
      <c r="I17" s="36">
        <f>ROUND(Table138958456799101112131445626789101112131415161718192021345678910111213141516171819202122233[[#This Row],[Target Quantity]],0)</f>
        <v>55709</v>
      </c>
      <c r="J17" s="40">
        <f t="shared" si="0"/>
        <v>14944</v>
      </c>
      <c r="K17" s="41">
        <f>'Nov 03'!$F17*'Nov 03'!$I17</f>
        <v>1016132.7066355933</v>
      </c>
      <c r="L17" s="42">
        <f>'Nov 03'!$K17/$K$2</f>
        <v>6.1389198580776632E-3</v>
      </c>
      <c r="M17" s="36"/>
    </row>
    <row r="18" spans="1:15" s="47" customFormat="1" ht="12.75" customHeight="1" x14ac:dyDescent="0.25">
      <c r="A18" s="36" t="s">
        <v>140</v>
      </c>
      <c r="B18" s="36" t="s">
        <v>39</v>
      </c>
      <c r="C18" s="36" t="s">
        <v>40</v>
      </c>
      <c r="D18" s="37">
        <v>6.1539999999999997E-3</v>
      </c>
      <c r="E18" s="38">
        <f>'Nov 03'!$D18*$C$6*$C$2</f>
        <v>1016134.7795122656</v>
      </c>
      <c r="F18" s="38">
        <v>33.020015396458803</v>
      </c>
      <c r="G18" s="39">
        <f>'Nov 03'!$E18/'Nov 03'!$F18</f>
        <v>30773.298174211024</v>
      </c>
      <c r="H18" s="36">
        <v>22083</v>
      </c>
      <c r="I18" s="36">
        <f>ROUND(Table138958456799101112131445626789101112131415161718192021345678910111213141516171819202122233[[#This Row],[Target Quantity]],0)</f>
        <v>30773</v>
      </c>
      <c r="J18" s="40">
        <f t="shared" si="0"/>
        <v>8690</v>
      </c>
      <c r="K18" s="41">
        <f>'Nov 03'!$F18*'Nov 03'!$I18</f>
        <v>1016124.9337952267</v>
      </c>
      <c r="L18" s="42">
        <f>'Nov 03'!$K18/$K$2</f>
        <v>6.1388728988136139E-3</v>
      </c>
      <c r="M18" s="36"/>
    </row>
    <row r="19" spans="1:15" s="47" customFormat="1" ht="12.75" customHeight="1" x14ac:dyDescent="0.25">
      <c r="A19" s="36" t="s">
        <v>140</v>
      </c>
      <c r="B19" s="36" t="s">
        <v>19</v>
      </c>
      <c r="C19" s="36" t="s">
        <v>20</v>
      </c>
      <c r="D19" s="37">
        <v>1.2307999999999999E-2</v>
      </c>
      <c r="E19" s="38">
        <f>'Nov 03'!$D19*$C$6*$C$2</f>
        <v>2032269.5590245312</v>
      </c>
      <c r="F19" s="38">
        <v>458.44011254019301</v>
      </c>
      <c r="G19" s="39">
        <f>'Nov 03'!$E19/'Nov 03'!$F19</f>
        <v>4433.0099034393616</v>
      </c>
      <c r="H19" s="36">
        <v>2488</v>
      </c>
      <c r="I19" s="36">
        <f>ROUND(Table138958456799101112131445626789101112131415161718192021345678910111213141516171819202122233[[#This Row],[Target Quantity]],0)</f>
        <v>4433</v>
      </c>
      <c r="J19" s="40">
        <f t="shared" si="0"/>
        <v>1945</v>
      </c>
      <c r="K19" s="41">
        <f>'Nov 03'!$F19*'Nov 03'!$I19</f>
        <v>2032265.0188906756</v>
      </c>
      <c r="L19" s="42">
        <f>'Nov 03'!$K19/$K$2</f>
        <v>1.227783733352328E-2</v>
      </c>
      <c r="M19" s="36"/>
    </row>
    <row r="20" spans="1:15" s="47" customFormat="1" ht="12.75" customHeight="1" x14ac:dyDescent="0.25">
      <c r="A20" s="36" t="s">
        <v>140</v>
      </c>
      <c r="B20" s="36" t="s">
        <v>145</v>
      </c>
      <c r="C20" s="36" t="s">
        <v>146</v>
      </c>
      <c r="D20" s="37">
        <v>0</v>
      </c>
      <c r="E20" s="38">
        <f>'Nov 03'!$D20*$C$6*$C$2</f>
        <v>0</v>
      </c>
      <c r="F20" s="38">
        <v>179.5</v>
      </c>
      <c r="G20" s="39">
        <f>'Nov 03'!$E20/'Nov 03'!$F20</f>
        <v>0</v>
      </c>
      <c r="H20" s="36">
        <v>7480</v>
      </c>
      <c r="I20" s="36">
        <f>ROUND(Table138958456799101112131445626789101112131415161718192021345678910111213141516171819202122233[[#This Row],[Target Quantity]],0)</f>
        <v>0</v>
      </c>
      <c r="J20" s="40">
        <f t="shared" si="0"/>
        <v>-7480</v>
      </c>
      <c r="K20" s="41">
        <f>'Nov 03'!$F20*'Nov 03'!$I20</f>
        <v>0</v>
      </c>
      <c r="L20" s="42">
        <f>'Nov 03'!$K20/$K$2</f>
        <v>0</v>
      </c>
      <c r="M20" s="36"/>
    </row>
    <row r="21" spans="1:15" s="47" customFormat="1" ht="12.75" customHeight="1" x14ac:dyDescent="0.25">
      <c r="A21" s="36" t="s">
        <v>140</v>
      </c>
      <c r="B21" s="36" t="s">
        <v>33</v>
      </c>
      <c r="C21" s="36" t="s">
        <v>34</v>
      </c>
      <c r="D21" s="37">
        <v>6.1539999999999997E-3</v>
      </c>
      <c r="E21" s="38">
        <f>'Nov 03'!$D21*$C$6*$C$2</f>
        <v>1016134.7795122656</v>
      </c>
      <c r="F21" s="38">
        <v>20.830008529840701</v>
      </c>
      <c r="G21" s="39">
        <f>'Nov 03'!$E21/'Nov 03'!$F21</f>
        <v>48782.254604292117</v>
      </c>
      <c r="H21" s="36">
        <v>36343</v>
      </c>
      <c r="I21" s="36">
        <f>ROUND(Table138958456799101112131445626789101112131415161718192021345678910111213141516171819202122233[[#This Row],[Target Quantity]],0)</f>
        <v>48782</v>
      </c>
      <c r="J21" s="40">
        <f t="shared" si="0"/>
        <v>12439</v>
      </c>
      <c r="K21" s="41">
        <f>'Nov 03'!$F21*'Nov 03'!$I21</f>
        <v>1016129.476102689</v>
      </c>
      <c r="L21" s="42">
        <f>'Nov 03'!$K21/$K$2</f>
        <v>6.1389003409590146E-3</v>
      </c>
      <c r="M21" s="36"/>
    </row>
    <row r="22" spans="1:15" s="47" customFormat="1" ht="12.75" customHeight="1" x14ac:dyDescent="0.25">
      <c r="A22" s="36" t="s">
        <v>140</v>
      </c>
      <c r="B22" s="36" t="s">
        <v>21</v>
      </c>
      <c r="C22" s="36" t="s">
        <v>22</v>
      </c>
      <c r="D22" s="37">
        <v>1.2307999999999999E-2</v>
      </c>
      <c r="E22" s="38">
        <f>'Nov 03'!$D22*$C$6*$C$2</f>
        <v>2032269.5590245312</v>
      </c>
      <c r="F22" s="38">
        <v>35.100007086000403</v>
      </c>
      <c r="G22" s="39">
        <f>'Nov 03'!$E22/'Nov 03'!$F22</f>
        <v>57899.405947273997</v>
      </c>
      <c r="H22" s="36">
        <v>42337</v>
      </c>
      <c r="I22" s="36">
        <f>ROUND(Table138958456799101112131445626789101112131415161718192021345678910111213141516171819202122233[[#This Row],[Target Quantity]],0)</f>
        <v>57899</v>
      </c>
      <c r="J22" s="40">
        <f t="shared" si="0"/>
        <v>15562</v>
      </c>
      <c r="K22" s="41">
        <f>'Nov 03'!$F22*'Nov 03'!$I22</f>
        <v>2032255.3102723374</v>
      </c>
      <c r="L22" s="42">
        <f>'Nov 03'!$K22/$K$2</f>
        <v>1.2277778679344035E-2</v>
      </c>
      <c r="M22" s="36"/>
    </row>
    <row r="23" spans="1:15" s="47" customFormat="1" ht="12.75" customHeight="1" x14ac:dyDescent="0.25">
      <c r="A23" s="36" t="s">
        <v>140</v>
      </c>
      <c r="B23" s="36" t="s">
        <v>147</v>
      </c>
      <c r="C23" s="36" t="s">
        <v>148</v>
      </c>
      <c r="D23" s="37">
        <v>6.1539999999999997E-3</v>
      </c>
      <c r="E23" s="38">
        <f>'Nov 03'!$D23*$C$6*$C$2</f>
        <v>1016134.7795122656</v>
      </c>
      <c r="F23" s="38">
        <v>192.729984301413</v>
      </c>
      <c r="G23" s="39">
        <f>'Nov 03'!$E23/'Nov 03'!$F23</f>
        <v>5272.3232619742175</v>
      </c>
      <c r="H23" s="36">
        <v>3822</v>
      </c>
      <c r="I23" s="36">
        <f>ROUND(Table138958456799101112131445626789101112131415161718192021345678910111213141516171819202122233[[#This Row],[Target Quantity]],0)</f>
        <v>5272</v>
      </c>
      <c r="J23" s="40">
        <f t="shared" si="0"/>
        <v>1450</v>
      </c>
      <c r="K23" s="41">
        <f>'Nov 03'!$F23*'Nov 03'!$I23</f>
        <v>1016072.4772370494</v>
      </c>
      <c r="L23" s="42">
        <f>'Nov 03'!$K23/$K$2</f>
        <v>6.13855598488635E-3</v>
      </c>
      <c r="M23" s="36"/>
    </row>
    <row r="24" spans="1:15" s="47" customFormat="1" ht="12.75" customHeight="1" x14ac:dyDescent="0.25">
      <c r="A24" s="36" t="s">
        <v>140</v>
      </c>
      <c r="B24" s="36" t="s">
        <v>45</v>
      </c>
      <c r="C24" s="36" t="s">
        <v>46</v>
      </c>
      <c r="D24" s="37">
        <v>6.1539999999999997E-3</v>
      </c>
      <c r="E24" s="38">
        <f>'Nov 03'!$D24*$C$6*$C$2</f>
        <v>1016134.7795122656</v>
      </c>
      <c r="F24" s="38">
        <v>66.449969089463906</v>
      </c>
      <c r="G24" s="39">
        <f>'Nov 03'!$E24/'Nov 03'!$F24</f>
        <v>15291.726895225609</v>
      </c>
      <c r="H24" s="36">
        <v>11323</v>
      </c>
      <c r="I24" s="36">
        <f>ROUND(Table138958456799101112131445626789101112131415161718192021345678910111213141516171819202122233[[#This Row],[Target Quantity]],0)</f>
        <v>15292</v>
      </c>
      <c r="J24" s="40">
        <f t="shared" si="0"/>
        <v>3969</v>
      </c>
      <c r="K24" s="41">
        <f>'Nov 03'!$F24*'Nov 03'!$I24</f>
        <v>1016152.9273160821</v>
      </c>
      <c r="L24" s="42">
        <f>'Nov 03'!$K24/$K$2</f>
        <v>6.1390420204056597E-3</v>
      </c>
      <c r="M24" s="36"/>
    </row>
    <row r="25" spans="1:15" s="47" customFormat="1" ht="12.75" customHeight="1" x14ac:dyDescent="0.25">
      <c r="A25" s="36" t="s">
        <v>140</v>
      </c>
      <c r="B25" s="36" t="s">
        <v>23</v>
      </c>
      <c r="C25" s="36" t="s">
        <v>24</v>
      </c>
      <c r="D25" s="37">
        <v>1.2307999999999999E-2</v>
      </c>
      <c r="E25" s="38">
        <f>'Nov 03'!$D25*$C$6*$C$2</f>
        <v>2032269.5590245312</v>
      </c>
      <c r="F25" s="38">
        <v>231.7</v>
      </c>
      <c r="G25" s="39">
        <f>'Nov 03'!$E25/'Nov 03'!$F25</f>
        <v>8771.1245534075588</v>
      </c>
      <c r="H25" s="36">
        <v>0</v>
      </c>
      <c r="I25" s="36">
        <f>ROUND(Table138958456799101112131445626789101112131415161718192021345678910111213141516171819202122233[[#This Row],[Target Quantity]],0)</f>
        <v>8771</v>
      </c>
      <c r="J25" s="40">
        <f t="shared" si="0"/>
        <v>8771</v>
      </c>
      <c r="K25" s="41">
        <f>'Nov 03'!$F25*'Nov 03'!$I25</f>
        <v>2032240.7</v>
      </c>
      <c r="L25" s="42">
        <f>'Nov 03'!$K25/$K$2</f>
        <v>1.2277690412043516E-2</v>
      </c>
      <c r="M25" s="36"/>
    </row>
    <row r="26" spans="1:15" s="47" customFormat="1" ht="12.75" customHeight="1" x14ac:dyDescent="0.25">
      <c r="A26" s="36" t="s">
        <v>140</v>
      </c>
      <c r="B26" s="36" t="s">
        <v>172</v>
      </c>
      <c r="C26" s="36" t="s">
        <v>173</v>
      </c>
      <c r="D26" s="37">
        <v>6.1539999999999997E-3</v>
      </c>
      <c r="E26" s="38">
        <f>'Nov 03'!$D26*$C$6*$C$2</f>
        <v>1016134.7795122656</v>
      </c>
      <c r="F26" s="38">
        <v>29.6</v>
      </c>
      <c r="G26" s="39">
        <f>'Nov 03'!$E26/'Nov 03'!$F26</f>
        <v>34328.877686225183</v>
      </c>
      <c r="H26" s="36">
        <v>0</v>
      </c>
      <c r="I26" s="36">
        <f>ROUND(Table138958456799101112131445626789101112131415161718192021345678910111213141516171819202122233[[#This Row],[Target Quantity]],0)</f>
        <v>34329</v>
      </c>
      <c r="J26" s="40">
        <f t="shared" si="0"/>
        <v>34329</v>
      </c>
      <c r="K26" s="41">
        <f>'Nov 03'!$F26*'Nov 03'!$I26</f>
        <v>1016138.4</v>
      </c>
      <c r="L26" s="42">
        <f>'Nov 03'!$K26/$K$2</f>
        <v>6.1389542542816108E-3</v>
      </c>
      <c r="M26" s="36"/>
    </row>
    <row r="27" spans="1:15" s="47" customFormat="1" ht="12.75" customHeight="1" x14ac:dyDescent="0.25">
      <c r="A27" s="36" t="s">
        <v>140</v>
      </c>
      <c r="B27" s="47" t="s">
        <v>11</v>
      </c>
      <c r="C27" s="36" t="s">
        <v>12</v>
      </c>
      <c r="D27" s="37">
        <v>1.2307999999999999E-2</v>
      </c>
      <c r="E27" s="38">
        <f>'Nov 03'!$D27*$C$6*$C$2</f>
        <v>2032269.5590245312</v>
      </c>
      <c r="F27" s="38">
        <v>2.3133991355396399</v>
      </c>
      <c r="G27" s="39">
        <f>'Nov 03'!$E27/'Nov 03'!$F27</f>
        <v>878477.70313550741</v>
      </c>
      <c r="H27" s="36">
        <v>0</v>
      </c>
      <c r="I27" s="36">
        <f>ROUND(Table138958456799101112131445626789101112131415161718192021345678910111213141516171819202122233[[#This Row],[Target Quantity]],0)</f>
        <v>878478</v>
      </c>
      <c r="J27" s="40">
        <f t="shared" si="0"/>
        <v>878478</v>
      </c>
      <c r="K27" s="41">
        <f>'Nov 03'!$F27*'Nov 03'!$I27</f>
        <v>2032270.2457905919</v>
      </c>
      <c r="L27" s="42">
        <f>'Nov 03'!$K27/$K$2</f>
        <v>1.2277868911603075E-2</v>
      </c>
      <c r="M27" s="36"/>
    </row>
    <row r="28" spans="1:15" s="47" customFormat="1" ht="12.75" customHeight="1" x14ac:dyDescent="0.25">
      <c r="A28" s="36"/>
      <c r="B28" s="36"/>
      <c r="C28" s="36"/>
      <c r="D28" s="37"/>
      <c r="E28" s="38"/>
      <c r="F28" s="38"/>
      <c r="G28" s="39"/>
      <c r="H28" s="36"/>
      <c r="I28" s="36"/>
      <c r="J28" s="48"/>
      <c r="K28" s="38"/>
      <c r="L28" s="49"/>
      <c r="M28" s="36"/>
    </row>
    <row r="29" spans="1:15" s="56" customFormat="1" ht="12.75" customHeight="1" x14ac:dyDescent="0.25">
      <c r="A29" s="50" t="s">
        <v>149</v>
      </c>
      <c r="B29" s="50"/>
      <c r="C29" s="50"/>
      <c r="D29" s="51">
        <f>SUM(D9:D28)</f>
        <v>0.16000399999999998</v>
      </c>
      <c r="E29" s="52">
        <f>'Nov 03'!$D29*$C$6*$C$2</f>
        <v>26419504.267318904</v>
      </c>
      <c r="F29" s="53"/>
      <c r="G29" s="53"/>
      <c r="H29" s="50"/>
      <c r="I29" s="50"/>
      <c r="J29" s="54"/>
      <c r="K29" s="52">
        <f>SUM(K9:K28)</f>
        <v>26418737.308545727</v>
      </c>
      <c r="L29" s="55">
        <f>'Nov 03'!$K29/$K$2</f>
        <v>0.15960760836618823</v>
      </c>
      <c r="M29" s="50"/>
    </row>
    <row r="30" spans="1:15" s="47" customFormat="1" ht="12.75" customHeight="1" x14ac:dyDescent="0.25">
      <c r="A30" s="36"/>
      <c r="B30" s="36"/>
      <c r="C30" s="36"/>
      <c r="D30" s="37"/>
      <c r="E30" s="38"/>
      <c r="F30" s="38"/>
      <c r="G30" s="39"/>
      <c r="H30" s="36"/>
      <c r="I30" s="36"/>
      <c r="J30" s="48"/>
      <c r="K30" s="38"/>
      <c r="L30" s="42"/>
      <c r="M30" s="36"/>
    </row>
    <row r="31" spans="1:15" s="46" customFormat="1" ht="12.75" customHeight="1" x14ac:dyDescent="0.25">
      <c r="A31" s="57"/>
      <c r="B31" s="50" t="s">
        <v>35</v>
      </c>
      <c r="C31" s="57" t="s">
        <v>36</v>
      </c>
      <c r="D31" s="58">
        <v>0.02</v>
      </c>
      <c r="E31" s="59">
        <f>'Nov 03'!$D31*$C$6*$C$2</f>
        <v>3302355.4745279998</v>
      </c>
      <c r="F31" s="53">
        <v>18.079997180716099</v>
      </c>
      <c r="G31" s="60">
        <f>'Nov 03'!$E31/'Nov 03'!$F31</f>
        <v>182652.43304629778</v>
      </c>
      <c r="H31" s="57">
        <v>127692</v>
      </c>
      <c r="I31" s="57">
        <f>ROUND(Table138958456799101112131445626789101112131415161718192021345678910111213141516171819202122233[[#This Row],[Target Quantity]],0)</f>
        <v>182652</v>
      </c>
      <c r="J31" s="61">
        <f>I31-H31</f>
        <v>54960</v>
      </c>
      <c r="K31" s="62">
        <f>'Nov 03'!$F31*'Nov 03'!$I31</f>
        <v>3302347.6450521569</v>
      </c>
      <c r="L31" s="55">
        <f>'Nov 03'!$K31/$K$2</f>
        <v>1.9950984161911212E-2</v>
      </c>
      <c r="M31" s="50"/>
      <c r="O31" s="44"/>
    </row>
    <row r="32" spans="1:15" s="46" customFormat="1" ht="12.75" customHeight="1" x14ac:dyDescent="0.25">
      <c r="A32" s="36"/>
      <c r="B32" s="36"/>
      <c r="C32" s="36"/>
      <c r="D32" s="37"/>
      <c r="E32" s="38"/>
      <c r="F32" s="38"/>
      <c r="G32" s="39"/>
      <c r="H32" s="36"/>
      <c r="I32" s="36"/>
      <c r="J32" s="48"/>
      <c r="K32" s="41"/>
      <c r="L32" s="42"/>
      <c r="M32" s="36"/>
      <c r="O32" s="44"/>
    </row>
    <row r="33" spans="1:13" s="4" customFormat="1" ht="25.5" x14ac:dyDescent="0.2">
      <c r="A33" s="36" t="s">
        <v>150</v>
      </c>
      <c r="B33" s="63" t="s">
        <v>98</v>
      </c>
      <c r="C33" s="64" t="s">
        <v>99</v>
      </c>
      <c r="D33" s="37">
        <v>3.1E-2</v>
      </c>
      <c r="E33" s="38">
        <f>'Nov 03'!$D33*$C$6*$C$2</f>
        <v>5118650.9855184006</v>
      </c>
      <c r="F33" s="38">
        <v>157119.08695652199</v>
      </c>
      <c r="G33" s="39">
        <f>'Nov 03'!$E33/'Nov 03'!$F33</f>
        <v>32.57816147400878</v>
      </c>
      <c r="H33" s="36">
        <v>23</v>
      </c>
      <c r="I33" s="36">
        <v>33</v>
      </c>
      <c r="J33" s="40">
        <f t="shared" ref="J33:J42" si="1">I33-H33</f>
        <v>10</v>
      </c>
      <c r="K33" s="41">
        <f>'Nov 03'!$F33*'Nov 03'!$I33</f>
        <v>5184929.8695652261</v>
      </c>
      <c r="L33" s="42">
        <f>'Nov 03'!$K33/$K$2</f>
        <v>3.1324519652952042E-2</v>
      </c>
      <c r="M33" s="65"/>
    </row>
    <row r="34" spans="1:13" s="4" customFormat="1" ht="25.5" x14ac:dyDescent="0.2">
      <c r="A34" s="36" t="s">
        <v>150</v>
      </c>
      <c r="B34" s="63" t="s">
        <v>102</v>
      </c>
      <c r="C34" s="64" t="s">
        <v>103</v>
      </c>
      <c r="D34" s="37">
        <v>3.1E-2</v>
      </c>
      <c r="E34" s="38">
        <f>'Nov 03'!$D34*$C$6*$C$2</f>
        <v>5118650.9855184006</v>
      </c>
      <c r="F34" s="38">
        <v>214738.647058823</v>
      </c>
      <c r="G34" s="39">
        <f>'Nov 03'!$E34/'Nov 03'!$F34</f>
        <v>23.836654722502079</v>
      </c>
      <c r="H34" s="36">
        <v>17</v>
      </c>
      <c r="I34" s="36">
        <v>24</v>
      </c>
      <c r="J34" s="40">
        <f t="shared" si="1"/>
        <v>7</v>
      </c>
      <c r="K34" s="41">
        <f>'Nov 03'!$F34*'Nov 03'!$I34</f>
        <v>5153727.5294117518</v>
      </c>
      <c r="L34" s="42">
        <f>'Nov 03'!$K34/$K$2</f>
        <v>3.1136012124028115E-2</v>
      </c>
      <c r="M34" s="65"/>
    </row>
    <row r="35" spans="1:13" s="4" customFormat="1" ht="25.5" x14ac:dyDescent="0.2">
      <c r="A35" s="36" t="s">
        <v>150</v>
      </c>
      <c r="B35" s="63" t="s">
        <v>104</v>
      </c>
      <c r="C35" s="64" t="s">
        <v>105</v>
      </c>
      <c r="D35" s="37">
        <v>3.1E-2</v>
      </c>
      <c r="E35" s="38">
        <f>'Nov 03'!$D35*$C$6*$C$2</f>
        <v>5118650.9855184006</v>
      </c>
      <c r="F35" s="38">
        <v>172163.33333333299</v>
      </c>
      <c r="G35" s="39">
        <f>'Nov 03'!$E35/'Nov 03'!$F35</f>
        <v>29.731365479593471</v>
      </c>
      <c r="H35" s="36">
        <v>21</v>
      </c>
      <c r="I35" s="36">
        <v>30</v>
      </c>
      <c r="J35" s="40">
        <f t="shared" si="1"/>
        <v>9</v>
      </c>
      <c r="K35" s="41">
        <f>'Nov 03'!$F35*'Nov 03'!$I35</f>
        <v>5164899.9999999898</v>
      </c>
      <c r="L35" s="42">
        <f>'Nov 03'!$K35/$K$2</f>
        <v>3.1203510100532593E-2</v>
      </c>
      <c r="M35" s="65"/>
    </row>
    <row r="36" spans="1:13" s="4" customFormat="1" ht="25.5" x14ac:dyDescent="0.2">
      <c r="A36" s="36" t="s">
        <v>150</v>
      </c>
      <c r="B36" s="63" t="s">
        <v>106</v>
      </c>
      <c r="C36" s="64" t="s">
        <v>107</v>
      </c>
      <c r="D36" s="37">
        <v>3.1E-2</v>
      </c>
      <c r="E36" s="38">
        <f>'Nov 03'!$D36*$C$6*$C$2</f>
        <v>5118650.9855184006</v>
      </c>
      <c r="F36" s="38">
        <v>125546.892857143</v>
      </c>
      <c r="G36" s="39">
        <f>'Nov 03'!$E36/'Nov 03'!$F36</f>
        <v>40.770829679893382</v>
      </c>
      <c r="H36" s="36">
        <v>28</v>
      </c>
      <c r="I36" s="36">
        <v>41</v>
      </c>
      <c r="J36" s="40">
        <f t="shared" si="1"/>
        <v>13</v>
      </c>
      <c r="K36" s="41">
        <f>'Nov 03'!$F36*'Nov 03'!$I36</f>
        <v>5147422.6071428629</v>
      </c>
      <c r="L36" s="42">
        <f>'Nov 03'!$K36/$K$2</f>
        <v>3.1097921220874066E-2</v>
      </c>
      <c r="M36" s="65"/>
    </row>
    <row r="37" spans="1:13" s="4" customFormat="1" ht="25.5" x14ac:dyDescent="0.2">
      <c r="A37" s="36" t="s">
        <v>150</v>
      </c>
      <c r="B37" s="63" t="s">
        <v>108</v>
      </c>
      <c r="C37" s="64" t="s">
        <v>109</v>
      </c>
      <c r="D37" s="37">
        <v>3.1E-2</v>
      </c>
      <c r="E37" s="38">
        <f>'Nov 03'!$D37*$C$6*$C$2</f>
        <v>5118650.9855184006</v>
      </c>
      <c r="F37" s="38">
        <v>138140.615384615</v>
      </c>
      <c r="G37" s="39">
        <f>'Nov 03'!$E37/'Nov 03'!$F37</f>
        <v>37.053917642301712</v>
      </c>
      <c r="H37" s="36">
        <v>26</v>
      </c>
      <c r="I37" s="36">
        <v>37</v>
      </c>
      <c r="J37" s="40">
        <f t="shared" si="1"/>
        <v>11</v>
      </c>
      <c r="K37" s="41">
        <f>'Nov 03'!$F37*'Nov 03'!$I37</f>
        <v>5111202.769230755</v>
      </c>
      <c r="L37" s="42">
        <f>'Nov 03'!$K37/$K$2</f>
        <v>3.0879100705834061E-2</v>
      </c>
      <c r="M37" s="65"/>
    </row>
    <row r="38" spans="1:13" s="4" customFormat="1" ht="25.5" x14ac:dyDescent="0.2">
      <c r="A38" s="36" t="s">
        <v>150</v>
      </c>
      <c r="B38" s="63" t="s">
        <v>114</v>
      </c>
      <c r="C38" s="64" t="s">
        <v>115</v>
      </c>
      <c r="D38" s="37">
        <v>3.1E-2</v>
      </c>
      <c r="E38" s="38">
        <f>'Nov 03'!$D38*$C$6*$C$2</f>
        <v>5118650.9855184006</v>
      </c>
      <c r="F38" s="38">
        <v>220801.5625</v>
      </c>
      <c r="G38" s="39">
        <f>'Nov 03'!$E38/'Nov 03'!$F38</f>
        <v>23.182132080783624</v>
      </c>
      <c r="H38" s="36">
        <v>16</v>
      </c>
      <c r="I38" s="36">
        <v>23</v>
      </c>
      <c r="J38" s="40">
        <f t="shared" si="1"/>
        <v>7</v>
      </c>
      <c r="K38" s="41">
        <f>'Nov 03'!$F38*'Nov 03'!$I38</f>
        <v>5078435.9375</v>
      </c>
      <c r="L38" s="42">
        <f>'Nov 03'!$K38/$K$2</f>
        <v>3.0681141371699215E-2</v>
      </c>
      <c r="M38" s="65"/>
    </row>
    <row r="39" spans="1:13" s="46" customFormat="1" ht="25.5" customHeight="1" x14ac:dyDescent="0.25">
      <c r="A39" s="36" t="s">
        <v>151</v>
      </c>
      <c r="B39" s="36" t="s">
        <v>152</v>
      </c>
      <c r="C39" s="36" t="s">
        <v>63</v>
      </c>
      <c r="D39" s="37">
        <v>3.1E-2</v>
      </c>
      <c r="E39" s="38">
        <f>'Nov 03'!$D39*$C$6*$C$2</f>
        <v>5118650.9855184006</v>
      </c>
      <c r="F39" s="38">
        <v>114575.838709677</v>
      </c>
      <c r="G39" s="39">
        <f>'Nov 03'!$E39/'Nov 03'!$F39</f>
        <v>44.674785217924679</v>
      </c>
      <c r="H39" s="36">
        <v>31</v>
      </c>
      <c r="I39" s="36">
        <v>45</v>
      </c>
      <c r="J39" s="40">
        <f t="shared" si="1"/>
        <v>14</v>
      </c>
      <c r="K39" s="41">
        <f>'Nov 03'!$F39*'Nov 03'!$I39</f>
        <v>5155912.7419354655</v>
      </c>
      <c r="L39" s="42">
        <f>'Nov 03'!$K39/$K$2</f>
        <v>3.1149213986804841E-2</v>
      </c>
      <c r="M39" s="43"/>
    </row>
    <row r="40" spans="1:13" s="46" customFormat="1" ht="25.5" x14ac:dyDescent="0.25">
      <c r="A40" s="36" t="s">
        <v>151</v>
      </c>
      <c r="B40" s="36" t="s">
        <v>60</v>
      </c>
      <c r="C40" s="36" t="s">
        <v>61</v>
      </c>
      <c r="D40" s="37">
        <v>3.1E-2</v>
      </c>
      <c r="E40" s="38">
        <f>'Nov 03'!$D40*$C$6*$C$2</f>
        <v>5118650.9855184006</v>
      </c>
      <c r="F40" s="38">
        <v>132846.74074074099</v>
      </c>
      <c r="G40" s="39">
        <f>'Nov 03'!$E40/'Nov 03'!$F40</f>
        <v>38.530497300703665</v>
      </c>
      <c r="H40" s="36">
        <v>27</v>
      </c>
      <c r="I40" s="36">
        <v>39</v>
      </c>
      <c r="J40" s="40">
        <f t="shared" si="1"/>
        <v>12</v>
      </c>
      <c r="K40" s="41">
        <f>'Nov 03'!$F40*'Nov 03'!$I40</f>
        <v>5181022.8888888983</v>
      </c>
      <c r="L40" s="42">
        <f>'Nov 03'!$K40/$K$2</f>
        <v>3.1300915805637208E-2</v>
      </c>
      <c r="M40" s="43"/>
    </row>
    <row r="41" spans="1:13" s="46" customFormat="1" ht="25.5" x14ac:dyDescent="0.25">
      <c r="A41" s="36" t="s">
        <v>151</v>
      </c>
      <c r="B41" s="36" t="s">
        <v>56</v>
      </c>
      <c r="C41" s="36" t="s">
        <v>57</v>
      </c>
      <c r="D41" s="37">
        <v>3.1E-2</v>
      </c>
      <c r="E41" s="38">
        <f>'Nov 03'!$D41*$C$6*$C$2</f>
        <v>5118650.9855184006</v>
      </c>
      <c r="F41" s="38">
        <v>174607.19047619001</v>
      </c>
      <c r="G41" s="39">
        <f>'Nov 03'!$E41/'Nov 03'!$F41</f>
        <v>29.315235939360676</v>
      </c>
      <c r="H41" s="36">
        <v>21</v>
      </c>
      <c r="I41" s="36">
        <v>29</v>
      </c>
      <c r="J41" s="40">
        <f t="shared" si="1"/>
        <v>8</v>
      </c>
      <c r="K41" s="41">
        <f>'Nov 03'!$F41*'Nov 03'!$I41</f>
        <v>5063608.5238095103</v>
      </c>
      <c r="L41" s="42">
        <f>'Nov 03'!$K41/$K$2</f>
        <v>3.0591562221501542E-2</v>
      </c>
      <c r="M41" s="43"/>
    </row>
    <row r="42" spans="1:13" s="46" customFormat="1" ht="25.5" x14ac:dyDescent="0.25">
      <c r="A42" s="36" t="s">
        <v>151</v>
      </c>
      <c r="B42" s="36" t="s">
        <v>66</v>
      </c>
      <c r="C42" s="36" t="s">
        <v>67</v>
      </c>
      <c r="D42" s="37">
        <v>3.1E-2</v>
      </c>
      <c r="E42" s="38">
        <f>'Nov 03'!$D42*$C$6*$C$2</f>
        <v>5118650.9855184006</v>
      </c>
      <c r="F42" s="38">
        <v>266993</v>
      </c>
      <c r="G42" s="39">
        <f>'Nov 03'!$E42/'Nov 03'!$F42</f>
        <v>19.171480096925389</v>
      </c>
      <c r="H42" s="36">
        <v>13</v>
      </c>
      <c r="I42" s="36">
        <v>19</v>
      </c>
      <c r="J42" s="40">
        <f t="shared" si="1"/>
        <v>6</v>
      </c>
      <c r="K42" s="41">
        <f>'Nov 03'!$F42*'Nov 03'!$I42</f>
        <v>5072867</v>
      </c>
      <c r="L42" s="42">
        <f>'Nov 03'!$K42/$K$2</f>
        <v>3.0647496887288968E-2</v>
      </c>
      <c r="M42" s="43"/>
    </row>
    <row r="43" spans="1:13" s="67" customFormat="1" ht="12.75" x14ac:dyDescent="0.2">
      <c r="A43" s="36"/>
      <c r="B43" s="64"/>
      <c r="C43" s="64"/>
      <c r="D43" s="37"/>
      <c r="E43" s="66"/>
      <c r="F43" s="38"/>
      <c r="G43" s="39"/>
      <c r="H43" s="36"/>
      <c r="I43" s="36"/>
      <c r="J43" s="48"/>
      <c r="K43" s="38"/>
      <c r="L43" s="49"/>
      <c r="M43" s="65"/>
    </row>
    <row r="44" spans="1:13" s="17" customFormat="1" ht="12.75" x14ac:dyDescent="0.2">
      <c r="A44" s="50" t="s">
        <v>153</v>
      </c>
      <c r="B44" s="68"/>
      <c r="C44" s="68"/>
      <c r="D44" s="58">
        <f>SUBTOTAL(9,D33:D43)</f>
        <v>0.31000000000000005</v>
      </c>
      <c r="E44" s="69">
        <f>'Nov 03'!$D44*$C$6*$C$2</f>
        <v>51186509.855184011</v>
      </c>
      <c r="F44" s="70"/>
      <c r="G44" s="71"/>
      <c r="H44" s="57"/>
      <c r="I44" s="57"/>
      <c r="J44" s="61"/>
      <c r="K44" s="69">
        <f>SUM(K33:K43)</f>
        <v>51314029.86748445</v>
      </c>
      <c r="L44" s="72">
        <f>'Nov 03'!$K44/$K$2</f>
        <v>0.31001139407715261</v>
      </c>
      <c r="M44" s="73"/>
    </row>
    <row r="45" spans="1:13" s="67" customFormat="1" ht="12.75" x14ac:dyDescent="0.2">
      <c r="A45" s="36"/>
      <c r="B45" s="64"/>
      <c r="C45" s="64"/>
      <c r="D45" s="37"/>
      <c r="E45" s="66"/>
      <c r="F45" s="38"/>
      <c r="G45" s="39"/>
      <c r="H45" s="36"/>
      <c r="I45" s="36"/>
      <c r="J45" s="48"/>
      <c r="K45" s="38"/>
      <c r="L45" s="42"/>
      <c r="M45" s="65"/>
    </row>
    <row r="46" spans="1:13" s="4" customFormat="1" ht="24.75" customHeight="1" x14ac:dyDescent="0.2">
      <c r="A46" s="36" t="s">
        <v>150</v>
      </c>
      <c r="B46" s="64" t="s">
        <v>110</v>
      </c>
      <c r="C46" s="64" t="s">
        <v>111</v>
      </c>
      <c r="D46" s="37">
        <v>0.1</v>
      </c>
      <c r="E46" s="38">
        <f>'Nov 03'!$D46*$C$6*$C$2</f>
        <v>16511777.372640001</v>
      </c>
      <c r="F46" s="38">
        <v>416335.39393939398</v>
      </c>
      <c r="G46" s="39">
        <f>'Nov 03'!$E46/'Nov 03'!$F46</f>
        <v>39.659797396527914</v>
      </c>
      <c r="H46" s="36">
        <v>33</v>
      </c>
      <c r="I46" s="36">
        <v>40</v>
      </c>
      <c r="J46" s="40">
        <f>I46-H46</f>
        <v>7</v>
      </c>
      <c r="K46" s="41">
        <f>'Nov 03'!$F46*'Nov 03'!$I46</f>
        <v>16653415.75757576</v>
      </c>
      <c r="L46" s="42">
        <f>'Nov 03'!$K46/$K$2</f>
        <v>0.10061085922280875</v>
      </c>
      <c r="M46" s="65"/>
    </row>
    <row r="47" spans="1:13" s="46" customFormat="1" ht="25.5" x14ac:dyDescent="0.25">
      <c r="A47" s="36" t="s">
        <v>151</v>
      </c>
      <c r="B47" s="36" t="s">
        <v>68</v>
      </c>
      <c r="C47" s="36" t="s">
        <v>69</v>
      </c>
      <c r="D47" s="37">
        <v>0.1</v>
      </c>
      <c r="E47" s="38">
        <f>'Nov 03'!$D47*$C$6*$C$2</f>
        <v>16511777.372640001</v>
      </c>
      <c r="F47" s="38">
        <v>249393.872727273</v>
      </c>
      <c r="G47" s="39">
        <f>'Nov 03'!$E47/'Nov 03'!$F47</f>
        <v>66.207630492576726</v>
      </c>
      <c r="H47" s="36">
        <v>55</v>
      </c>
      <c r="I47" s="36">
        <v>66</v>
      </c>
      <c r="J47" s="40">
        <f>I47-H47</f>
        <v>11</v>
      </c>
      <c r="K47" s="41">
        <f>'Nov 03'!$F47*'Nov 03'!$I47</f>
        <v>16459995.600000018</v>
      </c>
      <c r="L47" s="42">
        <f>'Nov 03'!$K47/$K$2</f>
        <v>9.9442320075765964E-2</v>
      </c>
      <c r="M47" s="43"/>
    </row>
    <row r="48" spans="1:13" s="46" customFormat="1" ht="25.5" x14ac:dyDescent="0.25">
      <c r="A48" s="36" t="s">
        <v>151</v>
      </c>
      <c r="B48" s="36" t="s">
        <v>92</v>
      </c>
      <c r="C48" s="36" t="s">
        <v>93</v>
      </c>
      <c r="D48" s="37">
        <v>0.1</v>
      </c>
      <c r="E48" s="38">
        <f>'Nov 03'!$D48*$C$6*$C$2</f>
        <v>16511777.372640001</v>
      </c>
      <c r="F48" s="38">
        <v>416351.03030302998</v>
      </c>
      <c r="G48" s="39">
        <f>'Nov 03'!$E48/'Nov 03'!$F48</f>
        <v>39.658307944193979</v>
      </c>
      <c r="H48" s="36">
        <v>33</v>
      </c>
      <c r="I48" s="36">
        <v>40</v>
      </c>
      <c r="J48" s="40">
        <f>I48-H48</f>
        <v>7</v>
      </c>
      <c r="K48" s="41">
        <f>'Nov 03'!$F48*'Nov 03'!$I48</f>
        <v>16654041.2121212</v>
      </c>
      <c r="L48" s="42">
        <f>'Nov 03'!$K48/$K$2</f>
        <v>0.10061463787819919</v>
      </c>
      <c r="M48" s="43"/>
    </row>
    <row r="49" spans="1:16" s="46" customFormat="1" ht="25.5" x14ac:dyDescent="0.25">
      <c r="A49" s="36" t="s">
        <v>151</v>
      </c>
      <c r="B49" s="36" t="s">
        <v>95</v>
      </c>
      <c r="C49" s="36" t="s">
        <v>96</v>
      </c>
      <c r="D49" s="37">
        <v>0.1</v>
      </c>
      <c r="E49" s="38">
        <f>'Nov 03'!$D49*$C$6*$C$2</f>
        <v>16511777.372640001</v>
      </c>
      <c r="F49" s="38">
        <v>249789.01818181801</v>
      </c>
      <c r="G49" s="39">
        <f>'Nov 03'!$E49/'Nov 03'!$F49</f>
        <v>66.102895526901435</v>
      </c>
      <c r="H49" s="36">
        <v>55</v>
      </c>
      <c r="I49" s="36">
        <v>66</v>
      </c>
      <c r="J49" s="40">
        <f>I49-H49</f>
        <v>11</v>
      </c>
      <c r="K49" s="41">
        <f>'Nov 03'!$F49*'Nov 03'!$I49</f>
        <v>16486075.199999988</v>
      </c>
      <c r="L49" s="42">
        <f>'Nov 03'!$K49/$K$2</f>
        <v>9.9599878801398006E-2</v>
      </c>
      <c r="M49" s="43"/>
    </row>
    <row r="50" spans="1:16" s="46" customFormat="1" ht="25.5" x14ac:dyDescent="0.25">
      <c r="A50" s="36" t="s">
        <v>151</v>
      </c>
      <c r="B50" s="36" t="s">
        <v>77</v>
      </c>
      <c r="C50" s="36" t="s">
        <v>78</v>
      </c>
      <c r="D50" s="37">
        <v>0.1</v>
      </c>
      <c r="E50" s="38">
        <f>'Nov 03'!$D50*$C$6*$C$2</f>
        <v>16511777.372640001</v>
      </c>
      <c r="F50" s="38">
        <v>161709.658823529</v>
      </c>
      <c r="G50" s="39">
        <f>'Nov 03'!$E50/'Nov 03'!$F50</f>
        <v>102.10755184796366</v>
      </c>
      <c r="H50" s="36">
        <v>85</v>
      </c>
      <c r="I50" s="36">
        <v>102</v>
      </c>
      <c r="J50" s="40">
        <f>I50-H50</f>
        <v>17</v>
      </c>
      <c r="K50" s="41">
        <f>'Nov 03'!$F50*'Nov 03'!$I50</f>
        <v>16494385.199999958</v>
      </c>
      <c r="L50" s="42">
        <f>'Nov 03'!$K50/$K$2</f>
        <v>9.9650083291114064E-2</v>
      </c>
      <c r="M50" s="43"/>
    </row>
    <row r="51" spans="1:16" s="47" customFormat="1" ht="12.75" x14ac:dyDescent="0.25">
      <c r="A51" s="36"/>
      <c r="B51" s="36"/>
      <c r="C51" s="36"/>
      <c r="D51" s="37"/>
      <c r="E51" s="38"/>
      <c r="F51" s="38"/>
      <c r="G51" s="39"/>
      <c r="H51" s="36"/>
      <c r="I51" s="36"/>
      <c r="J51" s="48"/>
      <c r="K51" s="38"/>
      <c r="L51" s="42"/>
      <c r="M51" s="36"/>
    </row>
    <row r="52" spans="1:16" s="56" customFormat="1" ht="25.5" x14ac:dyDescent="0.25">
      <c r="A52" s="50" t="s">
        <v>154</v>
      </c>
      <c r="B52" s="50"/>
      <c r="C52" s="50"/>
      <c r="D52" s="58">
        <f>SUBTOTAL(9,D46:D51)</f>
        <v>0.5</v>
      </c>
      <c r="E52" s="52">
        <f>'Nov 03'!$D52*$C$6*$C$2</f>
        <v>82558886.863199994</v>
      </c>
      <c r="F52" s="71"/>
      <c r="G52" s="71"/>
      <c r="H52" s="57"/>
      <c r="I52" s="57"/>
      <c r="J52" s="61"/>
      <c r="K52" s="52">
        <f>SUM(K46:K51)</f>
        <v>82747912.969696924</v>
      </c>
      <c r="L52" s="74">
        <f>'Nov 03'!$K52/$K$2</f>
        <v>0.49991777926928599</v>
      </c>
      <c r="M52" s="50"/>
    </row>
    <row r="53" spans="1:16" s="47" customFormat="1" ht="12.75" x14ac:dyDescent="0.25">
      <c r="A53" s="36"/>
      <c r="B53" s="36"/>
      <c r="C53" s="36"/>
      <c r="D53" s="37"/>
      <c r="E53" s="38"/>
      <c r="F53" s="38"/>
      <c r="G53" s="39"/>
      <c r="H53" s="36"/>
      <c r="I53" s="36"/>
      <c r="J53" s="48"/>
      <c r="K53" s="38"/>
      <c r="L53" s="42"/>
      <c r="M53" s="36"/>
    </row>
    <row r="54" spans="1:16" s="46" customFormat="1" ht="12.75" x14ac:dyDescent="0.25">
      <c r="A54" s="36"/>
      <c r="B54" s="36"/>
      <c r="C54" s="36"/>
      <c r="D54" s="37"/>
      <c r="E54" s="38"/>
      <c r="F54" s="38"/>
      <c r="G54" s="75"/>
      <c r="H54" s="36"/>
      <c r="I54" s="36"/>
      <c r="J54" s="40"/>
      <c r="K54" s="41"/>
      <c r="L54" s="42"/>
      <c r="M54" s="43"/>
    </row>
    <row r="55" spans="1:16" s="46" customFormat="1" ht="25.5" x14ac:dyDescent="0.25">
      <c r="A55" s="36" t="s">
        <v>155</v>
      </c>
      <c r="B55" s="36" t="s">
        <v>156</v>
      </c>
      <c r="C55" s="36" t="s">
        <v>54</v>
      </c>
      <c r="D55" s="37">
        <v>1E-3</v>
      </c>
      <c r="E55" s="38">
        <f>'Nov 03'!$D55*$C$6*$C$2</f>
        <v>165117.77372640002</v>
      </c>
      <c r="F55" s="38">
        <v>47119</v>
      </c>
      <c r="G55" s="75">
        <f>'Nov 03'!$E55/'Nov 03'!$F55</f>
        <v>3.50427160437191</v>
      </c>
      <c r="H55" s="36">
        <v>2</v>
      </c>
      <c r="I55" s="36">
        <v>3</v>
      </c>
      <c r="J55" s="40">
        <f t="shared" ref="J55:J66" si="2">I55-H55</f>
        <v>1</v>
      </c>
      <c r="K55" s="41">
        <f>'Nov 03'!$F55*'Nov 03'!$I55</f>
        <v>141357</v>
      </c>
      <c r="L55" s="42">
        <f>'Nov 03'!$K55/$K$2</f>
        <v>8.5400193174717709E-4</v>
      </c>
      <c r="M55" s="43"/>
    </row>
    <row r="56" spans="1:16" s="46" customFormat="1" ht="25.5" x14ac:dyDescent="0.25">
      <c r="A56" s="36" t="s">
        <v>155</v>
      </c>
      <c r="B56" s="90" t="s">
        <v>157</v>
      </c>
      <c r="C56" s="90" t="s">
        <v>158</v>
      </c>
      <c r="D56" s="91">
        <v>0</v>
      </c>
      <c r="E56" s="92">
        <f>'Nov 03'!$D56*$C$6*$C$2</f>
        <v>0</v>
      </c>
      <c r="F56" s="92">
        <v>169951</v>
      </c>
      <c r="G56" s="93">
        <f>'Nov 03'!$E56/'Nov 03'!$F56</f>
        <v>0</v>
      </c>
      <c r="H56" s="90">
        <v>1</v>
      </c>
      <c r="I56" s="90">
        <v>0</v>
      </c>
      <c r="J56" s="94">
        <f t="shared" si="2"/>
        <v>-1</v>
      </c>
      <c r="K56" s="95">
        <f>'Nov 03'!$F56*'Nov 03'!$I56</f>
        <v>0</v>
      </c>
      <c r="L56" s="42">
        <f>'Nov 03'!$K56/$K$2</f>
        <v>0</v>
      </c>
      <c r="M56" s="43"/>
      <c r="P56" s="46" t="s">
        <v>159</v>
      </c>
    </row>
    <row r="57" spans="1:16" s="46" customFormat="1" ht="25.5" x14ac:dyDescent="0.25">
      <c r="A57" s="36" t="s">
        <v>155</v>
      </c>
      <c r="B57" s="36" t="s">
        <v>71</v>
      </c>
      <c r="C57" s="36" t="s">
        <v>72</v>
      </c>
      <c r="D57" s="37">
        <v>1E-3</v>
      </c>
      <c r="E57" s="38">
        <f>'Nov 03'!$D57*$C$6*$C$2</f>
        <v>165117.77372640002</v>
      </c>
      <c r="F57" s="38">
        <v>77350</v>
      </c>
      <c r="G57" s="75">
        <f>'Nov 03'!$E57/'Nov 03'!$F57</f>
        <v>2.1346835646593409</v>
      </c>
      <c r="H57" s="36">
        <v>0</v>
      </c>
      <c r="I57" s="36">
        <v>2</v>
      </c>
      <c r="J57" s="40">
        <f t="shared" si="2"/>
        <v>2</v>
      </c>
      <c r="K57" s="41">
        <f>'Nov 03'!$F57*'Nov 03'!$I57</f>
        <v>154700</v>
      </c>
      <c r="L57" s="42">
        <f>'Nov 03'!$K57/$K$2</f>
        <v>9.3461306367062318E-4</v>
      </c>
      <c r="M57" s="43"/>
      <c r="P57" s="46" t="s">
        <v>159</v>
      </c>
    </row>
    <row r="58" spans="1:16" s="46" customFormat="1" ht="25.5" x14ac:dyDescent="0.25">
      <c r="A58" s="36" t="s">
        <v>155</v>
      </c>
      <c r="B58" s="36" t="s">
        <v>160</v>
      </c>
      <c r="C58" s="36" t="s">
        <v>84</v>
      </c>
      <c r="D58" s="37">
        <v>1E-3</v>
      </c>
      <c r="E58" s="38">
        <f>'Nov 03'!$D58*$C$6*$C$2</f>
        <v>165117.77372640002</v>
      </c>
      <c r="F58" s="38">
        <v>91897</v>
      </c>
      <c r="G58" s="75">
        <f>'Nov 03'!$E58/'Nov 03'!$F58</f>
        <v>1.7967700112778437</v>
      </c>
      <c r="H58" s="36">
        <v>1</v>
      </c>
      <c r="I58" s="36">
        <v>2</v>
      </c>
      <c r="J58" s="40">
        <f t="shared" si="2"/>
        <v>1</v>
      </c>
      <c r="K58" s="41">
        <f>'Nov 03'!$F58*'Nov 03'!$I58</f>
        <v>183794</v>
      </c>
      <c r="L58" s="42">
        <f>'Nov 03'!$K58/$K$2</f>
        <v>1.1103831507710312E-3</v>
      </c>
      <c r="M58" s="43"/>
    </row>
    <row r="59" spans="1:16" s="46" customFormat="1" ht="25.5" x14ac:dyDescent="0.25">
      <c r="A59" s="36" t="s">
        <v>155</v>
      </c>
      <c r="B59" s="36" t="s">
        <v>161</v>
      </c>
      <c r="C59" s="36" t="s">
        <v>86</v>
      </c>
      <c r="D59" s="37">
        <v>1E-3</v>
      </c>
      <c r="E59" s="38">
        <f>'Nov 03'!$D59*$C$6*$C$2</f>
        <v>165117.77372640002</v>
      </c>
      <c r="F59" s="38">
        <v>224958</v>
      </c>
      <c r="G59" s="75">
        <f>'Nov 03'!$E59/'Nov 03'!$F59</f>
        <v>0.73399378429040096</v>
      </c>
      <c r="H59" s="36">
        <v>1</v>
      </c>
      <c r="I59" s="36">
        <v>1</v>
      </c>
      <c r="J59" s="40">
        <f t="shared" si="2"/>
        <v>0</v>
      </c>
      <c r="K59" s="41">
        <f>'Nov 03'!$F59*'Nov 03'!$I59</f>
        <v>224958</v>
      </c>
      <c r="L59" s="42">
        <f>'Nov 03'!$K59/$K$2</f>
        <v>1.3590735977842021E-3</v>
      </c>
      <c r="M59" s="43"/>
    </row>
    <row r="60" spans="1:16" s="46" customFormat="1" ht="25.5" x14ac:dyDescent="0.25">
      <c r="A60" s="36" t="s">
        <v>155</v>
      </c>
      <c r="B60" s="36" t="s">
        <v>87</v>
      </c>
      <c r="C60" s="36" t="s">
        <v>88</v>
      </c>
      <c r="D60" s="37">
        <v>1E-3</v>
      </c>
      <c r="E60" s="38">
        <f>'Nov 03'!$D60*$C$6*$C$2</f>
        <v>165117.77372640002</v>
      </c>
      <c r="F60" s="38">
        <v>11288.2</v>
      </c>
      <c r="G60" s="75">
        <f>'Nov 03'!$E60/'Nov 03'!$F60</f>
        <v>14.627467065289418</v>
      </c>
      <c r="H60" s="36">
        <v>10</v>
      </c>
      <c r="I60" s="36">
        <v>15</v>
      </c>
      <c r="J60" s="40">
        <f t="shared" si="2"/>
        <v>5</v>
      </c>
      <c r="K60" s="41">
        <f>'Nov 03'!$F60*'Nov 03'!$I60</f>
        <v>169323</v>
      </c>
      <c r="L60" s="42">
        <f>'Nov 03'!$K60/$K$2</f>
        <v>1.0229572577886291E-3</v>
      </c>
      <c r="M60" s="43"/>
    </row>
    <row r="61" spans="1:16" s="46" customFormat="1" ht="25.5" x14ac:dyDescent="0.25">
      <c r="A61" s="36" t="s">
        <v>155</v>
      </c>
      <c r="B61" s="36" t="s">
        <v>162</v>
      </c>
      <c r="C61" s="36" t="s">
        <v>91</v>
      </c>
      <c r="D61" s="37">
        <v>1E-3</v>
      </c>
      <c r="E61" s="38">
        <f>'Nov 03'!$D61*$C$6*$C$2</f>
        <v>165117.77372640002</v>
      </c>
      <c r="F61" s="38">
        <v>89948</v>
      </c>
      <c r="G61" s="75">
        <f>'Nov 03'!$E61/'Nov 03'!$F61</f>
        <v>1.835702558438209</v>
      </c>
      <c r="H61" s="36">
        <v>1</v>
      </c>
      <c r="I61" s="36">
        <v>2</v>
      </c>
      <c r="J61" s="40">
        <f t="shared" si="2"/>
        <v>1</v>
      </c>
      <c r="K61" s="41">
        <f>'Nov 03'!$F61*'Nov 03'!$I61</f>
        <v>179896</v>
      </c>
      <c r="L61" s="42">
        <f>'Nov 03'!$K61/$K$2</f>
        <v>1.0868335598066608E-3</v>
      </c>
      <c r="M61" s="43"/>
    </row>
    <row r="62" spans="1:16" s="4" customFormat="1" ht="25.5" x14ac:dyDescent="0.2">
      <c r="A62" s="36" t="s">
        <v>155</v>
      </c>
      <c r="B62" s="64" t="s">
        <v>163</v>
      </c>
      <c r="C62" s="64" t="s">
        <v>113</v>
      </c>
      <c r="D62" s="37">
        <v>1E-3</v>
      </c>
      <c r="E62" s="38">
        <f>'Nov 03'!$D62*$C$6*$C$2</f>
        <v>165117.77372640002</v>
      </c>
      <c r="F62" s="38">
        <v>63834</v>
      </c>
      <c r="G62" s="75">
        <f>'Nov 03'!$E62/'Nov 03'!$F62</f>
        <v>2.5866744012031209</v>
      </c>
      <c r="H62" s="36">
        <v>2</v>
      </c>
      <c r="I62" s="36">
        <v>3</v>
      </c>
      <c r="J62" s="40">
        <f t="shared" si="2"/>
        <v>1</v>
      </c>
      <c r="K62" s="41">
        <f>'Nov 03'!$F62*'Nov 03'!$I62</f>
        <v>191502</v>
      </c>
      <c r="L62" s="42">
        <f>'Nov 03'!$K62/$K$2</f>
        <v>1.1569506846738958E-3</v>
      </c>
      <c r="M62" s="65"/>
    </row>
    <row r="63" spans="1:16" s="46" customFormat="1" ht="25.5" x14ac:dyDescent="0.25">
      <c r="A63" s="36" t="s">
        <v>155</v>
      </c>
      <c r="B63" s="36" t="s">
        <v>164</v>
      </c>
      <c r="C63" s="36" t="s">
        <v>82</v>
      </c>
      <c r="D63" s="37">
        <v>1E-3</v>
      </c>
      <c r="E63" s="38">
        <f>'Nov 03'!$D63*$C$6*$C$2</f>
        <v>165117.77372640002</v>
      </c>
      <c r="F63" s="38">
        <v>31740</v>
      </c>
      <c r="G63" s="75">
        <f>'Nov 03'!$E63/'Nov 03'!$F63</f>
        <v>5.2021982900567112</v>
      </c>
      <c r="H63" s="36">
        <v>3</v>
      </c>
      <c r="I63" s="36">
        <v>5</v>
      </c>
      <c r="J63" s="40">
        <f t="shared" si="2"/>
        <v>2</v>
      </c>
      <c r="K63" s="41">
        <f>'Nov 03'!$F63*'Nov 03'!$I63</f>
        <v>158700</v>
      </c>
      <c r="L63" s="42">
        <f>'Nov 03'!$K63/$K$2</f>
        <v>9.5877888302862253E-4</v>
      </c>
      <c r="M63" s="43"/>
    </row>
    <row r="64" spans="1:16" s="46" customFormat="1" ht="25.5" x14ac:dyDescent="0.25">
      <c r="A64" s="36" t="s">
        <v>155</v>
      </c>
      <c r="B64" s="36" t="s">
        <v>100</v>
      </c>
      <c r="C64" s="36" t="s">
        <v>101</v>
      </c>
      <c r="D64" s="37">
        <v>1E-3</v>
      </c>
      <c r="E64" s="38">
        <f>'Nov 03'!$D64*$C$6*$C$2</f>
        <v>165117.77372640002</v>
      </c>
      <c r="F64" s="38">
        <v>7596</v>
      </c>
      <c r="G64" s="75">
        <f>'Nov 03'!$E64/'Nov 03'!$F64</f>
        <v>21.737463629067932</v>
      </c>
      <c r="H64" s="36">
        <v>16</v>
      </c>
      <c r="I64" s="36">
        <v>22</v>
      </c>
      <c r="J64" s="40">
        <f t="shared" si="2"/>
        <v>6</v>
      </c>
      <c r="K64" s="41">
        <f>'Nov 03'!$F64*'Nov 03'!$I64</f>
        <v>167112</v>
      </c>
      <c r="L64" s="42">
        <f>'Nov 03'!$K64/$K$2</f>
        <v>1.009599601138495E-3</v>
      </c>
      <c r="M64" s="43"/>
    </row>
    <row r="65" spans="1:13" s="46" customFormat="1" ht="25.5" x14ac:dyDescent="0.25">
      <c r="A65" s="36" t="s">
        <v>155</v>
      </c>
      <c r="B65" s="90" t="s">
        <v>165</v>
      </c>
      <c r="C65" s="90" t="s">
        <v>166</v>
      </c>
      <c r="D65" s="91">
        <v>0</v>
      </c>
      <c r="E65" s="92">
        <f>'Nov 03'!$D65*$C$6*$C$2</f>
        <v>0</v>
      </c>
      <c r="F65" s="92">
        <v>44713.333333333299</v>
      </c>
      <c r="G65" s="93">
        <f>'Nov 03'!$E65/'Nov 03'!$F65</f>
        <v>0</v>
      </c>
      <c r="H65" s="90">
        <v>3</v>
      </c>
      <c r="I65" s="90">
        <v>0</v>
      </c>
      <c r="J65" s="94">
        <f t="shared" si="2"/>
        <v>-3</v>
      </c>
      <c r="K65" s="95">
        <f>'Nov 03'!$F65*'Nov 03'!$I65</f>
        <v>0</v>
      </c>
      <c r="L65" s="42">
        <f>'Nov 03'!$K65/$K$2</f>
        <v>0</v>
      </c>
      <c r="M65" s="43"/>
    </row>
    <row r="66" spans="1:13" s="46" customFormat="1" ht="25.5" x14ac:dyDescent="0.25">
      <c r="A66" s="36" t="s">
        <v>155</v>
      </c>
      <c r="B66" s="36" t="s">
        <v>174</v>
      </c>
      <c r="C66" s="36" t="s">
        <v>75</v>
      </c>
      <c r="D66" s="37">
        <v>1E-3</v>
      </c>
      <c r="E66" s="38">
        <f>'Nov 03'!$D66*$C$6*$C$2</f>
        <v>165117.77372640002</v>
      </c>
      <c r="F66" s="38">
        <v>28112.5</v>
      </c>
      <c r="G66" s="75">
        <f>'Nov 03'!$E66/'Nov 03'!$F66</f>
        <v>5.8734646056522903</v>
      </c>
      <c r="H66" s="36">
        <v>0</v>
      </c>
      <c r="I66" s="36">
        <v>6</v>
      </c>
      <c r="J66" s="40">
        <f t="shared" si="2"/>
        <v>6</v>
      </c>
      <c r="K66" s="41">
        <f>'Nov 03'!$F66*'Nov 03'!$I66</f>
        <v>168675</v>
      </c>
      <c r="L66" s="42">
        <f>'Nov 03'!$K66/$K$2</f>
        <v>1.0190423950526334E-3</v>
      </c>
      <c r="M66" s="43"/>
    </row>
    <row r="67" spans="1:13" s="46" customFormat="1" ht="12.75" x14ac:dyDescent="0.25">
      <c r="A67" s="36"/>
      <c r="B67" s="36"/>
      <c r="C67" s="36"/>
      <c r="D67" s="37"/>
      <c r="E67" s="38"/>
      <c r="F67" s="38"/>
      <c r="G67" s="39"/>
      <c r="H67" s="36"/>
      <c r="I67" s="36"/>
      <c r="J67" s="43"/>
      <c r="K67" s="41"/>
      <c r="L67" s="42"/>
      <c r="M67" s="43"/>
    </row>
    <row r="68" spans="1:13" s="46" customFormat="1" ht="12.75" x14ac:dyDescent="0.25">
      <c r="A68" s="36"/>
      <c r="B68" s="36"/>
      <c r="C68" s="36"/>
      <c r="D68" s="37"/>
      <c r="E68" s="38"/>
      <c r="F68" s="38"/>
      <c r="G68" s="39"/>
      <c r="H68" s="36"/>
      <c r="I68" s="36"/>
      <c r="J68" s="43"/>
      <c r="K68" s="41"/>
      <c r="L68" s="42"/>
      <c r="M68" s="43"/>
    </row>
    <row r="69" spans="1:13" s="17" customFormat="1" ht="12.75" x14ac:dyDescent="0.2">
      <c r="A69" s="50" t="s">
        <v>167</v>
      </c>
      <c r="B69" s="68"/>
      <c r="C69" s="68"/>
      <c r="D69" s="76">
        <f>SUM(D55:D68)</f>
        <v>1.0000000000000002E-2</v>
      </c>
      <c r="E69" s="52">
        <f>SUM(E54:E68)</f>
        <v>1651177.7372640001</v>
      </c>
      <c r="F69" s="71"/>
      <c r="G69" s="71"/>
      <c r="H69" s="68"/>
      <c r="I69" s="68"/>
      <c r="J69" s="50"/>
      <c r="K69" s="52">
        <f>SUM(K54:K68)</f>
        <v>1740017</v>
      </c>
      <c r="L69" s="55">
        <f>'Nov 03'!$K69/$K$2</f>
        <v>1.0512234125461971E-2</v>
      </c>
      <c r="M69" s="62"/>
    </row>
    <row r="70" spans="1:13" s="4" customFormat="1" ht="12.75" x14ac:dyDescent="0.2">
      <c r="A70" s="36"/>
      <c r="B70" s="64"/>
      <c r="C70" s="64"/>
      <c r="D70" s="77"/>
      <c r="E70" s="38"/>
      <c r="F70" s="38"/>
      <c r="G70" s="39"/>
      <c r="H70" s="64"/>
      <c r="I70" s="64"/>
      <c r="J70" s="36"/>
      <c r="K70" s="36"/>
      <c r="L70" s="42"/>
      <c r="M70" s="65"/>
    </row>
    <row r="71" spans="1:13" s="46" customFormat="1" ht="25.5" x14ac:dyDescent="0.25">
      <c r="A71" s="50" t="s">
        <v>168</v>
      </c>
      <c r="B71" s="57" t="s">
        <v>169</v>
      </c>
      <c r="C71" s="57" t="s">
        <v>170</v>
      </c>
      <c r="D71" s="58">
        <v>0</v>
      </c>
      <c r="E71" s="59">
        <f>'Nov 03'!$D71*$C$6*$C$2</f>
        <v>0</v>
      </c>
      <c r="F71" s="59">
        <v>32250</v>
      </c>
      <c r="G71" s="60">
        <f>'Nov 03'!$E71/'Nov 03'!$F71</f>
        <v>0</v>
      </c>
      <c r="H71" s="57">
        <v>7</v>
      </c>
      <c r="I71" s="57">
        <v>0</v>
      </c>
      <c r="J71" s="78">
        <f>I71-H71</f>
        <v>-7</v>
      </c>
      <c r="K71" s="59">
        <f>'Nov 03'!$F71*'Nov 03'!$I71</f>
        <v>0</v>
      </c>
      <c r="L71" s="79">
        <f>'Nov 03'!$K71/$K$2</f>
        <v>0</v>
      </c>
      <c r="M71" s="57"/>
    </row>
    <row r="72" spans="1:13" s="4" customFormat="1" ht="12.75" x14ac:dyDescent="0.2">
      <c r="A72" s="36"/>
      <c r="B72" s="64"/>
      <c r="C72" s="64"/>
      <c r="D72" s="77"/>
      <c r="E72" s="38"/>
      <c r="F72" s="38"/>
      <c r="G72" s="39"/>
      <c r="H72" s="64"/>
      <c r="I72" s="64"/>
      <c r="J72" s="36"/>
      <c r="K72" s="36"/>
      <c r="L72" s="42"/>
      <c r="M72" s="65"/>
    </row>
    <row r="73" spans="1:13" s="4" customFormat="1" ht="12.75" x14ac:dyDescent="0.2">
      <c r="A73" s="36"/>
      <c r="B73" s="64"/>
      <c r="C73" s="64"/>
      <c r="D73" s="80"/>
      <c r="E73" s="66"/>
      <c r="F73" s="38"/>
      <c r="G73" s="39"/>
      <c r="H73" s="64"/>
      <c r="I73" s="64"/>
      <c r="J73" s="36"/>
      <c r="K73" s="36"/>
      <c r="L73" s="42"/>
      <c r="M73" s="65"/>
    </row>
    <row r="74" spans="1:13" s="17" customFormat="1" ht="12.75" x14ac:dyDescent="0.2">
      <c r="A74" s="50" t="s">
        <v>171</v>
      </c>
      <c r="B74" s="68"/>
      <c r="C74" s="68"/>
      <c r="D74" s="68"/>
      <c r="E74" s="81"/>
      <c r="F74" s="81"/>
      <c r="G74" s="50"/>
      <c r="H74" s="68"/>
      <c r="I74" s="68"/>
      <c r="J74" s="68"/>
      <c r="K74" s="81">
        <f>SUM(K29,K31,K44,K52,K69,K71:K71)</f>
        <v>165523044.79077926</v>
      </c>
      <c r="L74" s="55">
        <f>'Nov 03'!$K74/$K$2</f>
        <v>1</v>
      </c>
      <c r="M74" s="68"/>
    </row>
    <row r="75" spans="1:13" s="4" customFormat="1" ht="12.75" x14ac:dyDescent="0.2">
      <c r="A75" s="65"/>
      <c r="B75" s="65"/>
      <c r="C75" s="65"/>
      <c r="D75" s="82"/>
      <c r="E75" s="83"/>
      <c r="F75" s="38"/>
      <c r="G75" s="84"/>
      <c r="H75" s="65"/>
      <c r="I75" s="65"/>
      <c r="J75" s="65"/>
      <c r="K75" s="65"/>
      <c r="L75" s="42"/>
      <c r="M75" s="65"/>
    </row>
    <row r="76" spans="1:13" s="4" customFormat="1" ht="12.75" x14ac:dyDescent="0.2">
      <c r="A76" s="65"/>
      <c r="B76" s="65"/>
      <c r="C76" s="65"/>
      <c r="D76" s="82"/>
      <c r="E76" s="83"/>
      <c r="F76" s="38"/>
      <c r="G76" s="84"/>
      <c r="H76" s="65"/>
      <c r="I76" s="65"/>
      <c r="J76" s="65"/>
      <c r="K76" s="65"/>
      <c r="L76" s="42"/>
      <c r="M76" s="65"/>
    </row>
    <row r="77" spans="1:13" s="4" customFormat="1" ht="12.75" x14ac:dyDescent="0.2">
      <c r="A77" s="65"/>
      <c r="B77" s="65"/>
      <c r="C77" s="65"/>
      <c r="D77" s="82"/>
      <c r="E77" s="83"/>
      <c r="F77" s="38"/>
      <c r="G77" s="84"/>
      <c r="H77" s="65"/>
      <c r="I77" s="65"/>
      <c r="J77" s="65"/>
      <c r="K77" s="65"/>
      <c r="L77" s="42"/>
      <c r="M77" s="65"/>
    </row>
    <row r="78" spans="1:13" s="4" customFormat="1" ht="12.75" x14ac:dyDescent="0.2">
      <c r="A78" s="65"/>
      <c r="B78" s="65"/>
      <c r="C78" s="65"/>
      <c r="D78" s="82"/>
      <c r="E78" s="83"/>
      <c r="F78" s="38"/>
      <c r="G78" s="84"/>
      <c r="H78" s="65"/>
      <c r="I78" s="65"/>
      <c r="J78" s="65"/>
      <c r="K78" s="65"/>
      <c r="L78" s="42"/>
      <c r="M78" s="65"/>
    </row>
    <row r="79" spans="1:13" s="4" customFormat="1" ht="12.75" x14ac:dyDescent="0.2">
      <c r="A79" s="65"/>
      <c r="B79" s="65"/>
      <c r="C79" s="65"/>
      <c r="D79" s="82"/>
      <c r="E79" s="83"/>
      <c r="F79" s="38"/>
      <c r="G79" s="84"/>
      <c r="H79" s="65"/>
      <c r="I79" s="65"/>
      <c r="J79" s="65"/>
      <c r="K79" s="65"/>
      <c r="L79" s="42"/>
      <c r="M79" s="65"/>
    </row>
    <row r="80" spans="1:13" s="4" customFormat="1" ht="12.75" x14ac:dyDescent="0.2">
      <c r="A80" s="65"/>
      <c r="B80" s="65"/>
      <c r="C80" s="65"/>
      <c r="D80" s="82"/>
      <c r="E80" s="83"/>
      <c r="F80" s="38"/>
      <c r="G80" s="84"/>
      <c r="H80" s="65"/>
      <c r="I80" s="65"/>
      <c r="J80" s="65"/>
      <c r="K80" s="65"/>
      <c r="L80" s="42"/>
      <c r="M80" s="65"/>
    </row>
    <row r="81" spans="1:13" s="4" customFormat="1" ht="12.75" x14ac:dyDescent="0.2">
      <c r="A81" s="65"/>
      <c r="B81" s="65"/>
      <c r="C81" s="65"/>
      <c r="D81" s="82"/>
      <c r="E81" s="83"/>
      <c r="F81" s="38"/>
      <c r="G81" s="84"/>
      <c r="H81" s="65"/>
      <c r="I81" s="65"/>
      <c r="J81" s="65"/>
      <c r="K81" s="65"/>
      <c r="L81" s="42"/>
      <c r="M81" s="65"/>
    </row>
    <row r="82" spans="1:13" s="4" customFormat="1" ht="12.75" x14ac:dyDescent="0.2">
      <c r="A82" s="65"/>
      <c r="B82" s="65"/>
      <c r="C82" s="65"/>
      <c r="D82" s="82"/>
      <c r="E82" s="83"/>
      <c r="F82" s="38"/>
      <c r="G82" s="84"/>
      <c r="H82" s="65"/>
      <c r="I82" s="65"/>
      <c r="J82" s="65"/>
      <c r="K82" s="65"/>
      <c r="L82" s="42"/>
      <c r="M82" s="65"/>
    </row>
    <row r="83" spans="1:13" s="4" customFormat="1" ht="12.75" x14ac:dyDescent="0.2">
      <c r="A83" s="65"/>
      <c r="B83" s="65"/>
      <c r="C83" s="65"/>
      <c r="D83" s="82"/>
      <c r="E83" s="83"/>
      <c r="F83" s="38"/>
      <c r="G83" s="84"/>
      <c r="H83" s="65"/>
      <c r="I83" s="65"/>
      <c r="J83" s="65"/>
      <c r="K83" s="65"/>
      <c r="L83" s="42"/>
      <c r="M83" s="65"/>
    </row>
    <row r="84" spans="1:13" s="4" customFormat="1" ht="12.75" x14ac:dyDescent="0.2"/>
    <row r="85" spans="1:13" s="4" customFormat="1" ht="12.75" x14ac:dyDescent="0.2"/>
    <row r="87" spans="1:13" s="4" customFormat="1" ht="12.75" x14ac:dyDescent="0.2">
      <c r="A87" s="85"/>
      <c r="B87" s="85"/>
      <c r="E87" s="85"/>
      <c r="F87" s="85"/>
      <c r="G87" s="85"/>
      <c r="H87" s="86"/>
      <c r="M87" s="85"/>
    </row>
    <row r="88" spans="1:13" s="4" customFormat="1" ht="12.75" x14ac:dyDescent="0.2">
      <c r="A88" s="85"/>
      <c r="B88" s="85"/>
      <c r="E88" s="85"/>
      <c r="F88" s="85"/>
      <c r="G88" s="85"/>
      <c r="H88" s="86"/>
      <c r="M88" s="85"/>
    </row>
    <row r="89" spans="1:13" s="4" customFormat="1" ht="12.75" x14ac:dyDescent="0.2">
      <c r="A89" s="87"/>
      <c r="B89" s="87"/>
    </row>
    <row r="90" spans="1:13" s="4" customFormat="1" ht="12.75" x14ac:dyDescent="0.2">
      <c r="A90" s="88"/>
      <c r="B90" s="88"/>
      <c r="E90" s="88"/>
      <c r="F90" s="87"/>
      <c r="G90" s="87"/>
      <c r="M90" s="89"/>
    </row>
    <row r="91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H86"/>
  <sheetViews>
    <sheetView topLeftCell="A4" zoomScale="140" zoomScaleNormal="140" workbookViewId="0">
      <pane xSplit="2" topLeftCell="C1" activePane="topRight" state="frozen"/>
      <selection activeCell="A4" sqref="A4"/>
      <selection pane="topRight" activeCell="G19" sqref="G19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116</v>
      </c>
      <c r="C1" s="6">
        <v>44139</v>
      </c>
      <c r="D1" s="7"/>
      <c r="E1" s="8" t="s">
        <v>117</v>
      </c>
      <c r="F1" s="9"/>
      <c r="G1" s="10"/>
      <c r="K1" s="11" t="s">
        <v>118</v>
      </c>
      <c r="L1" s="11" t="s">
        <v>119</v>
      </c>
      <c r="M1" s="12" t="s">
        <v>120</v>
      </c>
    </row>
    <row r="2" spans="1:17" x14ac:dyDescent="0.25">
      <c r="A2" s="5"/>
      <c r="B2" s="5" t="s">
        <v>121</v>
      </c>
      <c r="C2" s="13">
        <v>7.1</v>
      </c>
      <c r="D2" s="14"/>
      <c r="E2" s="15">
        <f>SUM(E26,E41,E49,E64,E28,E66)</f>
        <v>180341561.93236229</v>
      </c>
      <c r="F2" s="16"/>
      <c r="G2" s="17"/>
      <c r="H2" s="14"/>
      <c r="I2" s="14"/>
      <c r="J2" s="14"/>
      <c r="K2" s="15">
        <f>SUM(K26,K41,K49,K64,K28,K66:K66)</f>
        <v>179896594.51408169</v>
      </c>
      <c r="L2" s="18">
        <f>SUM(L49,L64,L41,L26,L28,L66)</f>
        <v>1</v>
      </c>
      <c r="M2" s="19">
        <f>K2/$C$6</f>
        <v>7.0825100793587952</v>
      </c>
      <c r="N2" s="20"/>
    </row>
    <row r="3" spans="1:17" ht="26.25" x14ac:dyDescent="0.25">
      <c r="A3" s="5"/>
      <c r="B3" s="5" t="s">
        <v>122</v>
      </c>
      <c r="C3" s="21">
        <v>25400118.390000001</v>
      </c>
      <c r="D3" s="22"/>
      <c r="E3" s="8" t="s">
        <v>123</v>
      </c>
      <c r="F3" s="16"/>
      <c r="H3" s="14"/>
      <c r="I3" s="14"/>
      <c r="J3" s="14"/>
      <c r="K3" s="8" t="s">
        <v>123</v>
      </c>
      <c r="L3" s="14"/>
      <c r="M3" s="12" t="s">
        <v>124</v>
      </c>
      <c r="N3" s="23"/>
    </row>
    <row r="4" spans="1:17" x14ac:dyDescent="0.25">
      <c r="A4" s="5"/>
      <c r="B4" s="5" t="s">
        <v>125</v>
      </c>
      <c r="C4" s="21">
        <v>0</v>
      </c>
      <c r="D4" s="22"/>
      <c r="E4" s="15">
        <f>SUM(E26,E64,E28)</f>
        <v>34265481.071472272</v>
      </c>
      <c r="F4" s="16"/>
      <c r="G4" s="17"/>
      <c r="H4" s="14"/>
      <c r="I4" s="14"/>
      <c r="J4" s="14"/>
      <c r="K4" s="15">
        <f>SUM(K26,K28,K64)</f>
        <v>34288906.562601946</v>
      </c>
      <c r="L4" s="14"/>
      <c r="M4" s="19">
        <f>K4/$C$6</f>
        <v>1.3499506591316304</v>
      </c>
      <c r="N4" s="23"/>
    </row>
    <row r="5" spans="1:17" x14ac:dyDescent="0.25">
      <c r="A5" s="5"/>
      <c r="B5" s="5" t="s">
        <v>126</v>
      </c>
      <c r="C5" s="21">
        <v>0</v>
      </c>
      <c r="D5" s="22"/>
      <c r="E5" s="16"/>
      <c r="F5" s="16"/>
      <c r="G5" s="24">
        <f>SUM(D26,D28,D41,D49,D64,D66:D66)</f>
        <v>1.0000039999999999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127</v>
      </c>
      <c r="C6" s="21">
        <f>C3+C4-C5</f>
        <v>25400118.390000001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128</v>
      </c>
      <c r="B8" s="30" t="s">
        <v>129</v>
      </c>
      <c r="C8" s="31" t="s">
        <v>1</v>
      </c>
      <c r="D8" s="31" t="s">
        <v>130</v>
      </c>
      <c r="E8" s="31" t="s">
        <v>131</v>
      </c>
      <c r="F8" s="31" t="s">
        <v>132</v>
      </c>
      <c r="G8" s="31" t="s">
        <v>133</v>
      </c>
      <c r="H8" s="31" t="s">
        <v>134</v>
      </c>
      <c r="I8" s="31" t="s">
        <v>135</v>
      </c>
      <c r="J8" s="31" t="s">
        <v>136</v>
      </c>
      <c r="K8" s="32" t="s">
        <v>137</v>
      </c>
      <c r="L8" s="32" t="s">
        <v>138</v>
      </c>
      <c r="M8" s="32" t="s">
        <v>139</v>
      </c>
      <c r="N8" s="33"/>
      <c r="Q8" s="35"/>
    </row>
    <row r="9" spans="1:17" s="46" customFormat="1" ht="12.75" customHeight="1" x14ac:dyDescent="0.25">
      <c r="A9" s="36" t="s">
        <v>140</v>
      </c>
      <c r="B9" s="36" t="s">
        <v>49</v>
      </c>
      <c r="C9" s="36" t="s">
        <v>50</v>
      </c>
      <c r="D9" s="37">
        <v>1.2307999999999999E-2</v>
      </c>
      <c r="E9" s="38">
        <f>'Nov 04'!$D9*$C$6*$C$2</f>
        <v>2219635.065723252</v>
      </c>
      <c r="F9" s="38">
        <v>427.90990811026802</v>
      </c>
      <c r="G9" s="39">
        <f>'Nov 04'!$E9/'Nov 04'!$F9</f>
        <v>5187.1551082459973</v>
      </c>
      <c r="H9" s="36">
        <v>5006</v>
      </c>
      <c r="I9" s="36">
        <f>ROUND(Table1389584567991011121314456267891011121314151617181920213456789101112131415161718192021222334[[#This Row],[Target Quantity]],0)</f>
        <v>5187</v>
      </c>
      <c r="J9" s="40">
        <f t="shared" ref="J9:J24" si="0">I9-H9</f>
        <v>181</v>
      </c>
      <c r="K9" s="41">
        <f>'Nov 04'!$F9*'Nov 04'!$I9</f>
        <v>2219568.6933679604</v>
      </c>
      <c r="L9" s="42">
        <f>'Nov 04'!$K9/$K$2</f>
        <v>1.2338025071365206E-2</v>
      </c>
      <c r="M9" s="43"/>
    </row>
    <row r="10" spans="1:17" s="46" customFormat="1" ht="12.75" customHeight="1" x14ac:dyDescent="0.25">
      <c r="A10" s="36" t="s">
        <v>140</v>
      </c>
      <c r="B10" s="36" t="s">
        <v>37</v>
      </c>
      <c r="C10" s="36" t="s">
        <v>38</v>
      </c>
      <c r="D10" s="37">
        <v>1.2307999999999999E-2</v>
      </c>
      <c r="E10" s="38">
        <f>'Nov 04'!$D10*$C$6*$C$2</f>
        <v>2219635.065723252</v>
      </c>
      <c r="F10" s="38">
        <v>85.009983224909007</v>
      </c>
      <c r="G10" s="39">
        <f>'Nov 04'!$E10/'Nov 04'!$F10</f>
        <v>26110.287068882408</v>
      </c>
      <c r="H10" s="36">
        <v>24441</v>
      </c>
      <c r="I10" s="36">
        <f>ROUND(Table1389584567991011121314456267891011121314151617181920213456789101112131415161718192021222334[[#This Row],[Target Quantity]],0)</f>
        <v>26110</v>
      </c>
      <c r="J10" s="40">
        <f t="shared" si="0"/>
        <v>1669</v>
      </c>
      <c r="K10" s="41">
        <f>'Nov 04'!$F10*'Nov 04'!$I10</f>
        <v>2219610.662002374</v>
      </c>
      <c r="L10" s="42">
        <f>'Nov 04'!$K10/$K$2</f>
        <v>1.2338258364466318E-2</v>
      </c>
      <c r="M10" s="43"/>
    </row>
    <row r="11" spans="1:17" s="47" customFormat="1" ht="12.75" customHeight="1" x14ac:dyDescent="0.25">
      <c r="A11" s="36" t="s">
        <v>140</v>
      </c>
      <c r="B11" s="36" t="s">
        <v>27</v>
      </c>
      <c r="C11" s="36" t="s">
        <v>28</v>
      </c>
      <c r="D11" s="37">
        <v>1.2307999999999999E-2</v>
      </c>
      <c r="E11" s="38">
        <f>'Nov 04'!$D11*$C$6*$C$2</f>
        <v>2219635.065723252</v>
      </c>
      <c r="F11" s="38">
        <v>208.430030744818</v>
      </c>
      <c r="G11" s="39">
        <f>'Nov 04'!$E11/'Nov 04'!$F11</f>
        <v>10649.30546616271</v>
      </c>
      <c r="H11" s="36">
        <v>10083</v>
      </c>
      <c r="I11" s="36">
        <f>ROUND(Table1389584567991011121314456267891011121314151617181920213456789101112131415161718192021222334[[#This Row],[Target Quantity]],0)</f>
        <v>10649</v>
      </c>
      <c r="J11" s="40">
        <f t="shared" si="0"/>
        <v>566</v>
      </c>
      <c r="K11" s="41">
        <f>'Nov 04'!$F11*'Nov 04'!$I11</f>
        <v>2219571.3974015671</v>
      </c>
      <c r="L11" s="42">
        <f>'Nov 04'!$K11/$K$2</f>
        <v>1.2338040102409091E-2</v>
      </c>
      <c r="M11" s="36"/>
    </row>
    <row r="12" spans="1:17" s="47" customFormat="1" ht="12.75" customHeight="1" x14ac:dyDescent="0.25">
      <c r="A12" s="36" t="s">
        <v>140</v>
      </c>
      <c r="B12" s="36" t="s">
        <v>51</v>
      </c>
      <c r="C12" s="36" t="s">
        <v>52</v>
      </c>
      <c r="D12" s="37">
        <v>1.2307999999999999E-2</v>
      </c>
      <c r="E12" s="38">
        <f>'Nov 04'!$D12*$C$6*$C$2</f>
        <v>2219635.065723252</v>
      </c>
      <c r="F12" s="38">
        <v>466</v>
      </c>
      <c r="G12" s="39">
        <f>'Nov 04'!$E12/'Nov 04'!$F12</f>
        <v>4763.1653770885232</v>
      </c>
      <c r="H12" s="36">
        <v>4486</v>
      </c>
      <c r="I12" s="36">
        <f>ROUND(Table1389584567991011121314456267891011121314151617181920213456789101112131415161718192021222334[[#This Row],[Target Quantity]],0)</f>
        <v>4763</v>
      </c>
      <c r="J12" s="40">
        <f t="shared" si="0"/>
        <v>277</v>
      </c>
      <c r="K12" s="41">
        <f>'Nov 04'!$F12*'Nov 04'!$I12</f>
        <v>2219558</v>
      </c>
      <c r="L12" s="42">
        <f>'Nov 04'!$K12/$K$2</f>
        <v>1.2337965629617633E-2</v>
      </c>
      <c r="M12" s="36"/>
    </row>
    <row r="13" spans="1:17" s="47" customFormat="1" ht="12.75" customHeight="1" x14ac:dyDescent="0.25">
      <c r="A13" s="36" t="s">
        <v>140</v>
      </c>
      <c r="B13" s="36" t="s">
        <v>41</v>
      </c>
      <c r="C13" s="36" t="s">
        <v>42</v>
      </c>
      <c r="D13" s="37">
        <v>1.2307999999999999E-2</v>
      </c>
      <c r="E13" s="38">
        <f>'Nov 04'!$D13*$C$6*$C$2</f>
        <v>2219635.065723252</v>
      </c>
      <c r="F13" s="38">
        <v>1233.97007779773</v>
      </c>
      <c r="G13" s="39">
        <f>'Nov 04'!$E13/'Nov 04'!$F13</f>
        <v>1798.7754368279668</v>
      </c>
      <c r="H13" s="36">
        <v>1671</v>
      </c>
      <c r="I13" s="36">
        <f>ROUND(Table1389584567991011121314456267891011121314151617181920213456789101112131415161718192021222334[[#This Row],[Target Quantity]],0)</f>
        <v>1799</v>
      </c>
      <c r="J13" s="40">
        <f t="shared" si="0"/>
        <v>128</v>
      </c>
      <c r="K13" s="41">
        <f>'Nov 04'!$F13*'Nov 04'!$I13</f>
        <v>2219912.1699581165</v>
      </c>
      <c r="L13" s="42">
        <f>'Nov 04'!$K13/$K$2</f>
        <v>1.233993437148889E-2</v>
      </c>
      <c r="M13" s="36"/>
    </row>
    <row r="14" spans="1:17" s="47" customFormat="1" ht="12.75" customHeight="1" x14ac:dyDescent="0.25">
      <c r="A14" s="36" t="s">
        <v>140</v>
      </c>
      <c r="B14" s="36" t="s">
        <v>31</v>
      </c>
      <c r="C14" s="36" t="s">
        <v>32</v>
      </c>
      <c r="D14" s="37">
        <v>1.2307999999999999E-2</v>
      </c>
      <c r="E14" s="38">
        <f>'Nov 04'!$D14*$C$6*$C$2</f>
        <v>2219635.065723252</v>
      </c>
      <c r="F14" s="38">
        <v>273.66001057921198</v>
      </c>
      <c r="G14" s="39">
        <f>'Nov 04'!$E14/'Nov 04'!$F14</f>
        <v>8110.9222389683773</v>
      </c>
      <c r="H14" s="36">
        <v>7562</v>
      </c>
      <c r="I14" s="36">
        <f>ROUND(Table1389584567991011121314456267891011121314151617181920213456789101112131415161718192021222334[[#This Row],[Target Quantity]],0)</f>
        <v>8111</v>
      </c>
      <c r="J14" s="40">
        <f t="shared" si="0"/>
        <v>549</v>
      </c>
      <c r="K14" s="41">
        <f>'Nov 04'!$F14*'Nov 04'!$I14</f>
        <v>2219656.3458079882</v>
      </c>
      <c r="L14" s="42">
        <f>'Nov 04'!$K14/$K$2</f>
        <v>1.233851230927132E-2</v>
      </c>
      <c r="M14" s="36"/>
    </row>
    <row r="15" spans="1:17" s="47" customFormat="1" ht="12.75" customHeight="1" x14ac:dyDescent="0.25">
      <c r="A15" s="36" t="s">
        <v>140</v>
      </c>
      <c r="B15" s="36" t="s">
        <v>29</v>
      </c>
      <c r="C15" s="36" t="s">
        <v>30</v>
      </c>
      <c r="D15" s="37">
        <v>6.1539999999999997E-3</v>
      </c>
      <c r="E15" s="38">
        <f>'Nov 04'!$D15*$C$6*$C$2</f>
        <v>1109817.532861626</v>
      </c>
      <c r="F15" s="38">
        <v>18.500008975210498</v>
      </c>
      <c r="G15" s="39">
        <f>'Nov 04'!$E15/'Nov 04'!$F15</f>
        <v>59990.107807447603</v>
      </c>
      <c r="H15" s="36">
        <v>55709</v>
      </c>
      <c r="I15" s="36">
        <f>ROUND(Table1389584567991011121314456267891011121314151617181920213456789101112131415161718192021222334[[#This Row],[Target Quantity]],0)</f>
        <v>59990</v>
      </c>
      <c r="J15" s="40">
        <f t="shared" si="0"/>
        <v>4281</v>
      </c>
      <c r="K15" s="41">
        <f>'Nov 04'!$F15*'Nov 04'!$I15</f>
        <v>1109815.5384228779</v>
      </c>
      <c r="L15" s="42">
        <f>'Nov 04'!$K15/$K$2</f>
        <v>6.1691859227274333E-3</v>
      </c>
      <c r="M15" s="36"/>
    </row>
    <row r="16" spans="1:17" s="47" customFormat="1" ht="12.75" customHeight="1" x14ac:dyDescent="0.25">
      <c r="A16" s="36" t="s">
        <v>140</v>
      </c>
      <c r="B16" s="36" t="s">
        <v>39</v>
      </c>
      <c r="C16" s="36" t="s">
        <v>40</v>
      </c>
      <c r="D16" s="37">
        <v>6.1539999999999997E-3</v>
      </c>
      <c r="E16" s="38">
        <f>'Nov 04'!$D16*$C$6*$C$2</f>
        <v>1109817.532861626</v>
      </c>
      <c r="F16" s="38">
        <v>33.7299905761544</v>
      </c>
      <c r="G16" s="39">
        <f>'Nov 04'!$E16/'Nov 04'!$F16</f>
        <v>32902.989710474976</v>
      </c>
      <c r="H16" s="36">
        <v>30773</v>
      </c>
      <c r="I16" s="36">
        <f>ROUND(Table1389584567991011121314456267891011121314151617181920213456789101112131415161718192021222334[[#This Row],[Target Quantity]],0)</f>
        <v>32903</v>
      </c>
      <c r="J16" s="40">
        <f t="shared" si="0"/>
        <v>2130</v>
      </c>
      <c r="K16" s="41">
        <f>'Nov 04'!$F16*'Nov 04'!$I16</f>
        <v>1109817.8799272082</v>
      </c>
      <c r="L16" s="42">
        <f>'Nov 04'!$K16/$K$2</f>
        <v>6.1691989385620942E-3</v>
      </c>
      <c r="M16" s="36"/>
    </row>
    <row r="17" spans="1:15" s="47" customFormat="1" ht="12.75" customHeight="1" x14ac:dyDescent="0.25">
      <c r="A17" s="36" t="s">
        <v>140</v>
      </c>
      <c r="B17" s="36" t="s">
        <v>19</v>
      </c>
      <c r="C17" s="36" t="s">
        <v>20</v>
      </c>
      <c r="D17" s="37">
        <v>1.2307999999999999E-2</v>
      </c>
      <c r="E17" s="38">
        <f>'Nov 04'!$D17*$C$6*$C$2</f>
        <v>2219635.065723252</v>
      </c>
      <c r="F17" s="38">
        <v>465.009925558313</v>
      </c>
      <c r="G17" s="39">
        <f>'Nov 04'!$E17/'Nov 04'!$F17</f>
        <v>4773.3068558875439</v>
      </c>
      <c r="H17" s="36">
        <v>4433</v>
      </c>
      <c r="I17" s="36">
        <f>ROUND(Table1389584567991011121314456267891011121314151617181920213456789101112131415161718192021222334[[#This Row],[Target Quantity]],0)</f>
        <v>4773</v>
      </c>
      <c r="J17" s="40">
        <f t="shared" si="0"/>
        <v>340</v>
      </c>
      <c r="K17" s="41">
        <f>'Nov 04'!$F17*'Nov 04'!$I17</f>
        <v>2219492.3746898281</v>
      </c>
      <c r="L17" s="42">
        <f>'Nov 04'!$K17/$K$2</f>
        <v>1.2337600834995761E-2</v>
      </c>
      <c r="M17" s="36"/>
    </row>
    <row r="18" spans="1:15" s="47" customFormat="1" ht="12.75" customHeight="1" x14ac:dyDescent="0.25">
      <c r="A18" s="36" t="s">
        <v>140</v>
      </c>
      <c r="B18" s="36" t="s">
        <v>33</v>
      </c>
      <c r="C18" s="36" t="s">
        <v>34</v>
      </c>
      <c r="D18" s="37">
        <v>6.1539999999999997E-3</v>
      </c>
      <c r="E18" s="38">
        <f>'Nov 04'!$D18*$C$6*$C$2</f>
        <v>1109817.532861626</v>
      </c>
      <c r="F18" s="38">
        <v>20.950002049936401</v>
      </c>
      <c r="G18" s="39">
        <f>'Nov 04'!$E18/'Nov 04'!$F18</f>
        <v>52974.578723967003</v>
      </c>
      <c r="H18" s="36">
        <v>48782</v>
      </c>
      <c r="I18" s="36">
        <f>ROUND(Table1389584567991011121314456267891011121314151617181920213456789101112131415161718192021222334[[#This Row],[Target Quantity]],0)</f>
        <v>52975</v>
      </c>
      <c r="J18" s="40">
        <f t="shared" si="0"/>
        <v>4193</v>
      </c>
      <c r="K18" s="41">
        <f>'Nov 04'!$F18*'Nov 04'!$I18</f>
        <v>1109826.3585953808</v>
      </c>
      <c r="L18" s="42">
        <f>'Nov 04'!$K18/$K$2</f>
        <v>6.1692460693496196E-3</v>
      </c>
      <c r="M18" s="36"/>
    </row>
    <row r="19" spans="1:15" s="47" customFormat="1" ht="12.75" customHeight="1" x14ac:dyDescent="0.25">
      <c r="A19" s="36" t="s">
        <v>140</v>
      </c>
      <c r="B19" s="36" t="s">
        <v>21</v>
      </c>
      <c r="C19" s="36" t="s">
        <v>22</v>
      </c>
      <c r="D19" s="37">
        <v>1.2307999999999999E-2</v>
      </c>
      <c r="E19" s="38">
        <f>'Nov 04'!$D19*$C$6*$C$2</f>
        <v>2219635.065723252</v>
      </c>
      <c r="F19" s="38">
        <v>36.949999136427202</v>
      </c>
      <c r="G19" s="39">
        <f>'Nov 04'!$E19/'Nov 04'!$F19</f>
        <v>60071.315767231565</v>
      </c>
      <c r="H19" s="36">
        <v>57899</v>
      </c>
      <c r="I19" s="36">
        <f>ROUND(Table1389584567991011121314456267891011121314151617181920213456789101112131415161718192021222334[[#This Row],[Target Quantity]],0)</f>
        <v>60071</v>
      </c>
      <c r="J19" s="40">
        <f t="shared" si="0"/>
        <v>2172</v>
      </c>
      <c r="K19" s="41">
        <f>'Nov 04'!$F19*'Nov 04'!$I19</f>
        <v>2219623.3981243186</v>
      </c>
      <c r="L19" s="42">
        <f>'Nov 04'!$K19/$K$2</f>
        <v>1.233832916137039E-2</v>
      </c>
      <c r="M19" s="36"/>
    </row>
    <row r="20" spans="1:15" s="47" customFormat="1" ht="12.75" customHeight="1" x14ac:dyDescent="0.25">
      <c r="A20" s="36" t="s">
        <v>140</v>
      </c>
      <c r="B20" s="36" t="s">
        <v>147</v>
      </c>
      <c r="C20" s="36" t="s">
        <v>148</v>
      </c>
      <c r="D20" s="37">
        <v>6.1539999999999997E-3</v>
      </c>
      <c r="E20" s="38">
        <f>'Nov 04'!$D20*$C$6*$C$2</f>
        <v>1109817.532861626</v>
      </c>
      <c r="F20" s="38">
        <v>197.76991654021199</v>
      </c>
      <c r="G20" s="39">
        <f>'Nov 04'!$E20/'Nov 04'!$F20</f>
        <v>5611.6600152175824</v>
      </c>
      <c r="H20" s="36">
        <v>5272</v>
      </c>
      <c r="I20" s="36">
        <f>ROUND(Table1389584567991011121314456267891011121314151617181920213456789101112131415161718192021222334[[#This Row],[Target Quantity]],0)</f>
        <v>5612</v>
      </c>
      <c r="J20" s="40">
        <f t="shared" si="0"/>
        <v>340</v>
      </c>
      <c r="K20" s="41">
        <f>'Nov 04'!$F20*'Nov 04'!$I20</f>
        <v>1109884.7716236697</v>
      </c>
      <c r="L20" s="42">
        <f>'Nov 04'!$K20/$K$2</f>
        <v>6.1695707727073825E-3</v>
      </c>
      <c r="M20" s="36"/>
    </row>
    <row r="21" spans="1:15" s="47" customFormat="1" ht="12.75" customHeight="1" x14ac:dyDescent="0.25">
      <c r="A21" s="36" t="s">
        <v>140</v>
      </c>
      <c r="B21" s="36" t="s">
        <v>45</v>
      </c>
      <c r="C21" s="36" t="s">
        <v>46</v>
      </c>
      <c r="D21" s="37">
        <v>6.1539999999999997E-3</v>
      </c>
      <c r="E21" s="38">
        <f>'Nov 04'!$D21*$C$6*$C$2</f>
        <v>1109817.532861626</v>
      </c>
      <c r="F21" s="38">
        <v>67.319971226785199</v>
      </c>
      <c r="G21" s="39">
        <f>'Nov 04'!$E21/'Nov 04'!$F21</f>
        <v>16485.710148670605</v>
      </c>
      <c r="H21" s="36">
        <v>15292</v>
      </c>
      <c r="I21" s="36">
        <f>ROUND(Table1389584567991011121314456267891011121314151617181920213456789101112131415161718192021222334[[#This Row],[Target Quantity]],0)</f>
        <v>16486</v>
      </c>
      <c r="J21" s="40">
        <f t="shared" si="0"/>
        <v>1194</v>
      </c>
      <c r="K21" s="41">
        <f>'Nov 04'!$F21*'Nov 04'!$I21</f>
        <v>1109837.0456447809</v>
      </c>
      <c r="L21" s="42">
        <f>'Nov 04'!$K21/$K$2</f>
        <v>6.1693054759739026E-3</v>
      </c>
      <c r="M21" s="36"/>
    </row>
    <row r="22" spans="1:15" s="47" customFormat="1" ht="12.75" customHeight="1" x14ac:dyDescent="0.25">
      <c r="A22" s="36" t="s">
        <v>140</v>
      </c>
      <c r="B22" s="36" t="s">
        <v>23</v>
      </c>
      <c r="C22" s="36" t="s">
        <v>24</v>
      </c>
      <c r="D22" s="37">
        <v>1.2307999999999999E-2</v>
      </c>
      <c r="E22" s="38">
        <f>'Nov 04'!$D22*$C$6*$C$2</f>
        <v>2219635.065723252</v>
      </c>
      <c r="F22" s="38">
        <v>239.95998175806599</v>
      </c>
      <c r="G22" s="39">
        <f>'Nov 04'!$E22/'Nov 04'!$F22</f>
        <v>9250.0218138920627</v>
      </c>
      <c r="H22" s="36">
        <v>8771</v>
      </c>
      <c r="I22" s="36">
        <f>ROUND(Table1389584567991011121314456267891011121314151617181920213456789101112131415161718192021222334[[#This Row],[Target Quantity]],0)</f>
        <v>9250</v>
      </c>
      <c r="J22" s="40">
        <f t="shared" si="0"/>
        <v>479</v>
      </c>
      <c r="K22" s="41">
        <f>'Nov 04'!$F22*'Nov 04'!$I22</f>
        <v>2219629.8312621103</v>
      </c>
      <c r="L22" s="42">
        <f>'Nov 04'!$K22/$K$2</f>
        <v>1.2338364921568125E-2</v>
      </c>
      <c r="M22" s="36"/>
    </row>
    <row r="23" spans="1:15" s="47" customFormat="1" ht="12.75" customHeight="1" x14ac:dyDescent="0.25">
      <c r="A23" s="36" t="s">
        <v>140</v>
      </c>
      <c r="B23" s="36" t="s">
        <v>172</v>
      </c>
      <c r="C23" s="36" t="s">
        <v>173</v>
      </c>
      <c r="D23" s="37">
        <v>6.1539999999999997E-3</v>
      </c>
      <c r="E23" s="38">
        <f>'Nov 04'!$D23*$C$6*$C$2</f>
        <v>1109817.532861626</v>
      </c>
      <c r="F23" s="38">
        <v>30.130006699874698</v>
      </c>
      <c r="G23" s="39">
        <f>'Nov 04'!$E23/'Nov 04'!$F23</f>
        <v>36834.294260752402</v>
      </c>
      <c r="H23" s="36">
        <v>34329</v>
      </c>
      <c r="I23" s="36">
        <f>ROUND(Table1389584567991011121314456267891011121314151617181920213456789101112131415161718192021222334[[#This Row],[Target Quantity]],0)</f>
        <v>36834</v>
      </c>
      <c r="J23" s="40">
        <f t="shared" si="0"/>
        <v>2505</v>
      </c>
      <c r="K23" s="41">
        <f>'Nov 04'!$F23*'Nov 04'!$I23</f>
        <v>1109808.6667831847</v>
      </c>
      <c r="L23" s="42">
        <f>'Nov 04'!$K23/$K$2</f>
        <v>6.1691477250077282E-3</v>
      </c>
      <c r="M23" s="36"/>
    </row>
    <row r="24" spans="1:15" s="47" customFormat="1" ht="12.75" customHeight="1" x14ac:dyDescent="0.25">
      <c r="A24" s="36" t="s">
        <v>140</v>
      </c>
      <c r="B24" s="47" t="s">
        <v>11</v>
      </c>
      <c r="C24" s="36" t="s">
        <v>12</v>
      </c>
      <c r="D24" s="37">
        <v>1.2307999999999999E-2</v>
      </c>
      <c r="E24" s="38">
        <f>'Nov 04'!$D24*$C$6*$C$2</f>
        <v>2219635.065723252</v>
      </c>
      <c r="F24" s="38">
        <v>2.3116812749003999</v>
      </c>
      <c r="G24" s="39">
        <f>'Nov 04'!$E24/'Nov 04'!$F24</f>
        <v>960182.13662213716</v>
      </c>
      <c r="H24" s="36">
        <v>878500</v>
      </c>
      <c r="I24" s="36">
        <f>ROUND(Table1389584567991011121314456267891011121314151617181920213456789101112131415161718192021222334[[#This Row],[Target Quantity]],0)</f>
        <v>960182</v>
      </c>
      <c r="J24" s="40">
        <f t="shared" si="0"/>
        <v>81682</v>
      </c>
      <c r="K24" s="41">
        <f>'Nov 04'!$F24*'Nov 04'!$I24</f>
        <v>2219634.749896416</v>
      </c>
      <c r="L24" s="42">
        <f>'Nov 04'!$K24/$K$2</f>
        <v>1.2338392263021247E-2</v>
      </c>
      <c r="M24" s="36"/>
    </row>
    <row r="25" spans="1:15" s="47" customFormat="1" ht="12.75" customHeight="1" x14ac:dyDescent="0.25">
      <c r="A25" s="36"/>
      <c r="B25" s="36"/>
      <c r="C25" s="36"/>
      <c r="D25" s="37"/>
      <c r="E25" s="38"/>
      <c r="F25" s="38"/>
      <c r="G25" s="39"/>
      <c r="H25" s="36"/>
      <c r="I25" s="36"/>
      <c r="J25" s="48"/>
      <c r="K25" s="38"/>
      <c r="L25" s="49"/>
      <c r="M25" s="36"/>
    </row>
    <row r="26" spans="1:15" s="56" customFormat="1" ht="12.75" customHeight="1" x14ac:dyDescent="0.25">
      <c r="A26" s="50" t="s">
        <v>149</v>
      </c>
      <c r="B26" s="50"/>
      <c r="C26" s="50"/>
      <c r="D26" s="51">
        <f>SUM(D9:D25)</f>
        <v>0.16000399999999998</v>
      </c>
      <c r="E26" s="52">
        <f>'Nov 04'!$D26*$C$6*$C$2</f>
        <v>28855255.85440227</v>
      </c>
      <c r="F26" s="53"/>
      <c r="G26" s="53"/>
      <c r="H26" s="50"/>
      <c r="I26" s="50"/>
      <c r="J26" s="54"/>
      <c r="K26" s="52">
        <f>SUM(K9:K25)</f>
        <v>28855247.883507784</v>
      </c>
      <c r="L26" s="55">
        <f>'Nov 04'!$K26/$K$2</f>
        <v>0.16039907793390215</v>
      </c>
      <c r="M26" s="50"/>
    </row>
    <row r="27" spans="1:15" s="47" customFormat="1" ht="12.75" customHeight="1" x14ac:dyDescent="0.25">
      <c r="A27" s="36"/>
      <c r="B27" s="36"/>
      <c r="C27" s="36"/>
      <c r="D27" s="37"/>
      <c r="E27" s="38"/>
      <c r="F27" s="38"/>
      <c r="G27" s="39"/>
      <c r="H27" s="36"/>
      <c r="I27" s="36"/>
      <c r="J27" s="48"/>
      <c r="K27" s="38"/>
      <c r="L27" s="42"/>
      <c r="M27" s="36"/>
    </row>
    <row r="28" spans="1:15" s="46" customFormat="1" ht="12.75" customHeight="1" x14ac:dyDescent="0.25">
      <c r="A28" s="57"/>
      <c r="B28" s="50" t="s">
        <v>35</v>
      </c>
      <c r="C28" s="57" t="s">
        <v>36</v>
      </c>
      <c r="D28" s="58">
        <v>0.02</v>
      </c>
      <c r="E28" s="59">
        <f>'Nov 04'!$D28*$C$6*$C$2</f>
        <v>3606816.8113799999</v>
      </c>
      <c r="F28" s="53">
        <v>18.059999343012901</v>
      </c>
      <c r="G28" s="60">
        <f>'Nov 04'!$E28/'Nov 04'!$F28</f>
        <v>199713.00900270601</v>
      </c>
      <c r="H28" s="57">
        <v>182652</v>
      </c>
      <c r="I28" s="57">
        <f>ROUND(Table1389584567991011121314456267891011121314151617181920213456789101112131415161718192021222334[[#This Row],[Target Quantity]],0)</f>
        <v>199713</v>
      </c>
      <c r="J28" s="61">
        <f>I28-H28</f>
        <v>17061</v>
      </c>
      <c r="K28" s="62">
        <f>'Nov 04'!$F28*'Nov 04'!$I28</f>
        <v>3606816.6487911353</v>
      </c>
      <c r="L28" s="55">
        <f>'Nov 04'!$K28/$K$2</f>
        <v>2.0049388141746095E-2</v>
      </c>
      <c r="M28" s="50"/>
      <c r="O28" s="44"/>
    </row>
    <row r="29" spans="1:15" s="46" customFormat="1" ht="12.75" customHeight="1" x14ac:dyDescent="0.25">
      <c r="A29" s="36"/>
      <c r="B29" s="36"/>
      <c r="C29" s="36"/>
      <c r="D29" s="37"/>
      <c r="E29" s="38"/>
      <c r="F29" s="38"/>
      <c r="G29" s="39"/>
      <c r="H29" s="36"/>
      <c r="I29" s="36"/>
      <c r="J29" s="48"/>
      <c r="K29" s="41"/>
      <c r="L29" s="42"/>
      <c r="M29" s="36"/>
      <c r="O29" s="44"/>
    </row>
    <row r="30" spans="1:15" s="4" customFormat="1" ht="25.5" x14ac:dyDescent="0.2">
      <c r="A30" s="36" t="s">
        <v>150</v>
      </c>
      <c r="B30" s="63" t="s">
        <v>98</v>
      </c>
      <c r="C30" s="64" t="s">
        <v>99</v>
      </c>
      <c r="D30" s="37">
        <v>3.1E-2</v>
      </c>
      <c r="E30" s="38">
        <f>'Nov 04'!$D30*$C$6*$C$2</f>
        <v>5590566.057639</v>
      </c>
      <c r="F30" s="38">
        <v>158224.39393939401</v>
      </c>
      <c r="G30" s="39">
        <f>'Nov 04'!$E30/'Nov 04'!$F30</f>
        <v>35.333148817624171</v>
      </c>
      <c r="H30" s="36">
        <v>33</v>
      </c>
      <c r="I30" s="36">
        <v>35</v>
      </c>
      <c r="J30" s="40">
        <f t="shared" ref="J30:J39" si="1">I30-H30</f>
        <v>2</v>
      </c>
      <c r="K30" s="41">
        <f>'Nov 04'!$F30*'Nov 04'!$I30</f>
        <v>5537853.7878787899</v>
      </c>
      <c r="L30" s="42">
        <f>'Nov 04'!$K30/$K$2</f>
        <v>3.0783538748118469E-2</v>
      </c>
      <c r="M30" s="65"/>
    </row>
    <row r="31" spans="1:15" s="4" customFormat="1" ht="25.5" x14ac:dyDescent="0.2">
      <c r="A31" s="36" t="s">
        <v>150</v>
      </c>
      <c r="B31" s="63" t="s">
        <v>102</v>
      </c>
      <c r="C31" s="64" t="s">
        <v>103</v>
      </c>
      <c r="D31" s="37">
        <v>3.1E-2</v>
      </c>
      <c r="E31" s="38">
        <f>'Nov 04'!$D31*$C$6*$C$2</f>
        <v>5590566.057639</v>
      </c>
      <c r="F31" s="38">
        <v>218250</v>
      </c>
      <c r="G31" s="39">
        <f>'Nov 04'!$E31/'Nov 04'!$F31</f>
        <v>25.615422944508591</v>
      </c>
      <c r="H31" s="36">
        <v>24</v>
      </c>
      <c r="I31" s="36">
        <v>26</v>
      </c>
      <c r="J31" s="40">
        <f t="shared" si="1"/>
        <v>2</v>
      </c>
      <c r="K31" s="41">
        <f>'Nov 04'!$F31*'Nov 04'!$I31</f>
        <v>5674500</v>
      </c>
      <c r="L31" s="42">
        <f>'Nov 04'!$K31/$K$2</f>
        <v>3.1543120731814742E-2</v>
      </c>
      <c r="M31" s="65"/>
    </row>
    <row r="32" spans="1:15" s="4" customFormat="1" ht="25.5" x14ac:dyDescent="0.2">
      <c r="A32" s="36" t="s">
        <v>150</v>
      </c>
      <c r="B32" s="63" t="s">
        <v>104</v>
      </c>
      <c r="C32" s="64" t="s">
        <v>105</v>
      </c>
      <c r="D32" s="37">
        <v>3.1E-2</v>
      </c>
      <c r="E32" s="38">
        <f>'Nov 04'!$D32*$C$6*$C$2</f>
        <v>5590566.057639</v>
      </c>
      <c r="F32" s="38">
        <v>173968.76666666701</v>
      </c>
      <c r="G32" s="39">
        <f>'Nov 04'!$E32/'Nov 04'!$F32</f>
        <v>32.13545836276927</v>
      </c>
      <c r="H32" s="36">
        <v>30</v>
      </c>
      <c r="I32" s="36">
        <v>32</v>
      </c>
      <c r="J32" s="40">
        <f t="shared" si="1"/>
        <v>2</v>
      </c>
      <c r="K32" s="41">
        <f>'Nov 04'!$F32*'Nov 04'!$I32</f>
        <v>5567000.5333333444</v>
      </c>
      <c r="L32" s="42">
        <f>'Nov 04'!$K32/$K$2</f>
        <v>3.0945558187859854E-2</v>
      </c>
      <c r="M32" s="65"/>
    </row>
    <row r="33" spans="1:13" s="4" customFormat="1" ht="25.5" x14ac:dyDescent="0.2">
      <c r="A33" s="36" t="s">
        <v>150</v>
      </c>
      <c r="B33" s="63" t="s">
        <v>106</v>
      </c>
      <c r="C33" s="64" t="s">
        <v>107</v>
      </c>
      <c r="D33" s="37">
        <v>3.1E-2</v>
      </c>
      <c r="E33" s="38">
        <f>'Nov 04'!$D33*$C$6*$C$2</f>
        <v>5590566.057639</v>
      </c>
      <c r="F33" s="38">
        <v>125718.756097561</v>
      </c>
      <c r="G33" s="39">
        <f>'Nov 04'!$E33/'Nov 04'!$F33</f>
        <v>44.468830516431268</v>
      </c>
      <c r="H33" s="36">
        <v>41</v>
      </c>
      <c r="I33" s="36">
        <v>44</v>
      </c>
      <c r="J33" s="40">
        <f t="shared" si="1"/>
        <v>3</v>
      </c>
      <c r="K33" s="41">
        <f>'Nov 04'!$F33*'Nov 04'!$I33</f>
        <v>5531625.2682926841</v>
      </c>
      <c r="L33" s="42">
        <f>'Nov 04'!$K33/$K$2</f>
        <v>3.0748915971612167E-2</v>
      </c>
      <c r="M33" s="65"/>
    </row>
    <row r="34" spans="1:13" s="4" customFormat="1" ht="25.5" x14ac:dyDescent="0.2">
      <c r="A34" s="36" t="s">
        <v>150</v>
      </c>
      <c r="B34" s="63" t="s">
        <v>108</v>
      </c>
      <c r="C34" s="64" t="s">
        <v>109</v>
      </c>
      <c r="D34" s="37">
        <v>3.1E-2</v>
      </c>
      <c r="E34" s="38">
        <f>'Nov 04'!$D34*$C$6*$C$2</f>
        <v>5590566.057639</v>
      </c>
      <c r="F34" s="38">
        <v>138703.135135135</v>
      </c>
      <c r="G34" s="39">
        <f>'Nov 04'!$E34/'Nov 04'!$F34</f>
        <v>40.30598192457763</v>
      </c>
      <c r="H34" s="36">
        <v>37</v>
      </c>
      <c r="I34" s="36">
        <v>40</v>
      </c>
      <c r="J34" s="40">
        <f t="shared" si="1"/>
        <v>3</v>
      </c>
      <c r="K34" s="41">
        <f>'Nov 04'!$F34*'Nov 04'!$I34</f>
        <v>5548125.4054054003</v>
      </c>
      <c r="L34" s="42">
        <f>'Nov 04'!$K34/$K$2</f>
        <v>3.0840636090924512E-2</v>
      </c>
      <c r="M34" s="65"/>
    </row>
    <row r="35" spans="1:13" s="4" customFormat="1" ht="25.5" x14ac:dyDescent="0.2">
      <c r="A35" s="36" t="s">
        <v>150</v>
      </c>
      <c r="B35" s="63" t="s">
        <v>114</v>
      </c>
      <c r="C35" s="64" t="s">
        <v>115</v>
      </c>
      <c r="D35" s="37">
        <v>3.1E-2</v>
      </c>
      <c r="E35" s="38">
        <f>'Nov 04'!$D35*$C$6*$C$2</f>
        <v>5590566.057639</v>
      </c>
      <c r="F35" s="38">
        <v>220820.30434782599</v>
      </c>
      <c r="G35" s="39">
        <f>'Nov 04'!$E35/'Nov 04'!$F35</f>
        <v>25.317264524882628</v>
      </c>
      <c r="H35" s="36">
        <v>23</v>
      </c>
      <c r="I35" s="36">
        <v>25</v>
      </c>
      <c r="J35" s="40">
        <f t="shared" si="1"/>
        <v>2</v>
      </c>
      <c r="K35" s="41">
        <f>'Nov 04'!$F35*'Nov 04'!$I35</f>
        <v>5520507.6086956495</v>
      </c>
      <c r="L35" s="42">
        <f>'Nov 04'!$K35/$K$2</f>
        <v>3.0687115693363073E-2</v>
      </c>
      <c r="M35" s="65"/>
    </row>
    <row r="36" spans="1:13" s="46" customFormat="1" ht="25.5" customHeight="1" x14ac:dyDescent="0.25">
      <c r="A36" s="36" t="s">
        <v>151</v>
      </c>
      <c r="B36" s="36" t="s">
        <v>152</v>
      </c>
      <c r="C36" s="36" t="s">
        <v>63</v>
      </c>
      <c r="D36" s="37">
        <v>3.1E-2</v>
      </c>
      <c r="E36" s="38">
        <f>'Nov 04'!$D36*$C$6*$C$2</f>
        <v>5590566.057639</v>
      </c>
      <c r="F36" s="38">
        <v>114167.222222222</v>
      </c>
      <c r="G36" s="39">
        <f>'Nov 04'!$E36/'Nov 04'!$F36</f>
        <v>48.968223530543497</v>
      </c>
      <c r="H36" s="36">
        <v>45</v>
      </c>
      <c r="I36" s="36">
        <v>49</v>
      </c>
      <c r="J36" s="40">
        <f t="shared" si="1"/>
        <v>4</v>
      </c>
      <c r="K36" s="41">
        <f>'Nov 04'!$F36*'Nov 04'!$I36</f>
        <v>5594193.8888888778</v>
      </c>
      <c r="L36" s="42">
        <f>'Nov 04'!$K36/$K$2</f>
        <v>3.1096719223614785E-2</v>
      </c>
      <c r="M36" s="43"/>
    </row>
    <row r="37" spans="1:13" s="46" customFormat="1" ht="25.5" x14ac:dyDescent="0.25">
      <c r="A37" s="36" t="s">
        <v>151</v>
      </c>
      <c r="B37" s="36" t="s">
        <v>60</v>
      </c>
      <c r="C37" s="36" t="s">
        <v>61</v>
      </c>
      <c r="D37" s="37">
        <v>3.1E-2</v>
      </c>
      <c r="E37" s="38">
        <f>'Nov 04'!$D37*$C$6*$C$2</f>
        <v>5590566.057639</v>
      </c>
      <c r="F37" s="38">
        <v>132681.66666666701</v>
      </c>
      <c r="G37" s="39">
        <f>'Nov 04'!$E37/'Nov 04'!$F37</f>
        <v>42.13518113006559</v>
      </c>
      <c r="H37" s="36">
        <v>39</v>
      </c>
      <c r="I37" s="36">
        <v>42</v>
      </c>
      <c r="J37" s="40">
        <f t="shared" si="1"/>
        <v>3</v>
      </c>
      <c r="K37" s="41">
        <f>'Nov 04'!$F37*'Nov 04'!$I37</f>
        <v>5572630.000000014</v>
      </c>
      <c r="L37" s="42">
        <f>'Nov 04'!$K37/$K$2</f>
        <v>3.097685097959877E-2</v>
      </c>
      <c r="M37" s="43"/>
    </row>
    <row r="38" spans="1:13" s="46" customFormat="1" ht="25.5" x14ac:dyDescent="0.25">
      <c r="A38" s="36" t="s">
        <v>151</v>
      </c>
      <c r="B38" s="36" t="s">
        <v>56</v>
      </c>
      <c r="C38" s="36" t="s">
        <v>57</v>
      </c>
      <c r="D38" s="37">
        <v>3.1E-2</v>
      </c>
      <c r="E38" s="38">
        <f>'Nov 04'!$D38*$C$6*$C$2</f>
        <v>5590566.057639</v>
      </c>
      <c r="F38" s="38">
        <v>174677.310344828</v>
      </c>
      <c r="G38" s="39">
        <f>'Nov 04'!$E38/'Nov 04'!$F38</f>
        <v>32.005107283840943</v>
      </c>
      <c r="H38" s="36">
        <v>29</v>
      </c>
      <c r="I38" s="36">
        <v>32</v>
      </c>
      <c r="J38" s="40">
        <f t="shared" si="1"/>
        <v>3</v>
      </c>
      <c r="K38" s="41">
        <f>'Nov 04'!$F38*'Nov 04'!$I38</f>
        <v>5589673.9310344961</v>
      </c>
      <c r="L38" s="42">
        <f>'Nov 04'!$K38/$K$2</f>
        <v>3.1071593912785023E-2</v>
      </c>
      <c r="M38" s="43"/>
    </row>
    <row r="39" spans="1:13" s="46" customFormat="1" ht="25.5" x14ac:dyDescent="0.25">
      <c r="A39" s="36" t="s">
        <v>151</v>
      </c>
      <c r="B39" s="36" t="s">
        <v>66</v>
      </c>
      <c r="C39" s="36" t="s">
        <v>67</v>
      </c>
      <c r="D39" s="37">
        <v>3.1E-2</v>
      </c>
      <c r="E39" s="38">
        <f>'Nov 04'!$D39*$C$6*$C$2</f>
        <v>5590566.057639</v>
      </c>
      <c r="F39" s="38">
        <v>268032.10526315798</v>
      </c>
      <c r="G39" s="39">
        <f>'Nov 04'!$E39/'Nov 04'!$F39</f>
        <v>20.857822431943731</v>
      </c>
      <c r="H39" s="36">
        <v>19</v>
      </c>
      <c r="I39" s="36">
        <v>21</v>
      </c>
      <c r="J39" s="40">
        <f t="shared" si="1"/>
        <v>2</v>
      </c>
      <c r="K39" s="41">
        <f>'Nov 04'!$F39*'Nov 04'!$I39</f>
        <v>5628674.2105263174</v>
      </c>
      <c r="L39" s="42">
        <f>'Nov 04'!$K39/$K$2</f>
        <v>3.1288386674188678E-2</v>
      </c>
      <c r="M39" s="43"/>
    </row>
    <row r="40" spans="1:13" s="67" customFormat="1" ht="12.75" x14ac:dyDescent="0.2">
      <c r="A40" s="36"/>
      <c r="B40" s="64"/>
      <c r="C40" s="64"/>
      <c r="D40" s="37"/>
      <c r="E40" s="66"/>
      <c r="F40" s="38"/>
      <c r="G40" s="39"/>
      <c r="H40" s="36"/>
      <c r="I40" s="36"/>
      <c r="J40" s="48"/>
      <c r="K40" s="38"/>
      <c r="L40" s="49"/>
      <c r="M40" s="65"/>
    </row>
    <row r="41" spans="1:13" s="17" customFormat="1" ht="12.75" x14ac:dyDescent="0.2">
      <c r="A41" s="50" t="s">
        <v>153</v>
      </c>
      <c r="B41" s="68"/>
      <c r="C41" s="68"/>
      <c r="D41" s="58">
        <f>SUBTOTAL(9,D30:D40)</f>
        <v>0.31000000000000005</v>
      </c>
      <c r="E41" s="69">
        <f>'Nov 04'!$D41*$C$6*$C$2</f>
        <v>55905660.576390006</v>
      </c>
      <c r="F41" s="70"/>
      <c r="G41" s="71"/>
      <c r="H41" s="57"/>
      <c r="I41" s="57"/>
      <c r="J41" s="61"/>
      <c r="K41" s="69">
        <f>SUM(K30:K40)</f>
        <v>55764784.634055577</v>
      </c>
      <c r="L41" s="72">
        <f>'Nov 04'!$K41/$K$2</f>
        <v>0.30998243621388011</v>
      </c>
      <c r="M41" s="73"/>
    </row>
    <row r="42" spans="1:13" s="67" customFormat="1" ht="12.75" x14ac:dyDescent="0.2">
      <c r="A42" s="36"/>
      <c r="B42" s="64"/>
      <c r="C42" s="64"/>
      <c r="D42" s="37"/>
      <c r="E42" s="66"/>
      <c r="F42" s="38"/>
      <c r="G42" s="39"/>
      <c r="H42" s="36"/>
      <c r="I42" s="36"/>
      <c r="J42" s="48"/>
      <c r="K42" s="38"/>
      <c r="L42" s="42"/>
      <c r="M42" s="65"/>
    </row>
    <row r="43" spans="1:13" s="4" customFormat="1" ht="24.75" customHeight="1" x14ac:dyDescent="0.2">
      <c r="A43" s="36" t="s">
        <v>150</v>
      </c>
      <c r="B43" s="64" t="s">
        <v>110</v>
      </c>
      <c r="C43" s="64" t="s">
        <v>111</v>
      </c>
      <c r="D43" s="37">
        <v>0.1</v>
      </c>
      <c r="E43" s="38">
        <f>'Nov 04'!$D43*$C$6*$C$2</f>
        <v>18034084.056899998</v>
      </c>
      <c r="F43" s="38">
        <v>416340.17499999999</v>
      </c>
      <c r="G43" s="39">
        <f>'Nov 04'!$E43/'Nov 04'!$F43</f>
        <v>43.315743086527739</v>
      </c>
      <c r="H43" s="36">
        <v>40</v>
      </c>
      <c r="I43" s="36">
        <v>43</v>
      </c>
      <c r="J43" s="40">
        <f>I43-H43</f>
        <v>3</v>
      </c>
      <c r="K43" s="41">
        <f>'Nov 04'!$F43*'Nov 04'!$I43</f>
        <v>17902627.524999999</v>
      </c>
      <c r="L43" s="42">
        <f>'Nov 04'!$K43/$K$2</f>
        <v>9.9516211373298913E-2</v>
      </c>
      <c r="M43" s="65"/>
    </row>
    <row r="44" spans="1:13" s="46" customFormat="1" ht="25.5" x14ac:dyDescent="0.25">
      <c r="A44" s="36" t="s">
        <v>151</v>
      </c>
      <c r="B44" s="36" t="s">
        <v>68</v>
      </c>
      <c r="C44" s="36" t="s">
        <v>69</v>
      </c>
      <c r="D44" s="37">
        <v>0.1</v>
      </c>
      <c r="E44" s="38">
        <f>'Nov 04'!$D44*$C$6*$C$2</f>
        <v>18034084.056899998</v>
      </c>
      <c r="F44" s="38">
        <v>249392.24242424199</v>
      </c>
      <c r="G44" s="39">
        <f>'Nov 04'!$E44/'Nov 04'!$F44</f>
        <v>72.312129204974056</v>
      </c>
      <c r="H44" s="36">
        <v>66</v>
      </c>
      <c r="I44" s="36">
        <v>72</v>
      </c>
      <c r="J44" s="40">
        <f>I44-H44</f>
        <v>6</v>
      </c>
      <c r="K44" s="41">
        <f>'Nov 04'!$F44*'Nov 04'!$I44</f>
        <v>17956241.454545423</v>
      </c>
      <c r="L44" s="42">
        <f>'Nov 04'!$K44/$K$2</f>
        <v>9.9814237746117376E-2</v>
      </c>
      <c r="M44" s="43"/>
    </row>
    <row r="45" spans="1:13" s="46" customFormat="1" ht="25.5" x14ac:dyDescent="0.25">
      <c r="A45" s="36" t="s">
        <v>151</v>
      </c>
      <c r="B45" s="36" t="s">
        <v>92</v>
      </c>
      <c r="C45" s="36" t="s">
        <v>93</v>
      </c>
      <c r="D45" s="37">
        <v>0.1</v>
      </c>
      <c r="E45" s="38">
        <f>'Nov 04'!$D45*$C$6*$C$2</f>
        <v>18034084.056899998</v>
      </c>
      <c r="F45" s="38">
        <v>416333.85</v>
      </c>
      <c r="G45" s="39">
        <f>'Nov 04'!$E45/'Nov 04'!$F45</f>
        <v>43.316401145138691</v>
      </c>
      <c r="H45" s="36">
        <v>40</v>
      </c>
      <c r="I45" s="36">
        <v>43</v>
      </c>
      <c r="J45" s="40">
        <f>I45-H45</f>
        <v>3</v>
      </c>
      <c r="K45" s="41">
        <f>'Nov 04'!$F45*'Nov 04'!$I45</f>
        <v>17902355.550000001</v>
      </c>
      <c r="L45" s="42">
        <f>'Nov 04'!$K45/$K$2</f>
        <v>9.9514699532562118E-2</v>
      </c>
      <c r="M45" s="43"/>
    </row>
    <row r="46" spans="1:13" s="46" customFormat="1" ht="25.5" x14ac:dyDescent="0.25">
      <c r="A46" s="36" t="s">
        <v>151</v>
      </c>
      <c r="B46" s="36" t="s">
        <v>95</v>
      </c>
      <c r="C46" s="36" t="s">
        <v>96</v>
      </c>
      <c r="D46" s="37">
        <v>0.1</v>
      </c>
      <c r="E46" s="38">
        <f>'Nov 04'!$D46*$C$6*$C$2</f>
        <v>18034084.056899998</v>
      </c>
      <c r="F46" s="38">
        <v>249787.24242424199</v>
      </c>
      <c r="G46" s="39">
        <f>'Nov 04'!$E46/'Nov 04'!$F46</f>
        <v>72.197778725106659</v>
      </c>
      <c r="H46" s="36">
        <v>66</v>
      </c>
      <c r="I46" s="36">
        <v>72</v>
      </c>
      <c r="J46" s="40">
        <f>I46-H46</f>
        <v>6</v>
      </c>
      <c r="K46" s="41">
        <f>'Nov 04'!$F46*'Nov 04'!$I46</f>
        <v>17984681.454545423</v>
      </c>
      <c r="L46" s="42">
        <f>'Nov 04'!$K46/$K$2</f>
        <v>9.9972328565328367E-2</v>
      </c>
      <c r="M46" s="43"/>
    </row>
    <row r="47" spans="1:13" s="46" customFormat="1" ht="25.5" x14ac:dyDescent="0.25">
      <c r="A47" s="36" t="s">
        <v>151</v>
      </c>
      <c r="B47" s="36" t="s">
        <v>77</v>
      </c>
      <c r="C47" s="36" t="s">
        <v>78</v>
      </c>
      <c r="D47" s="37">
        <v>0.1</v>
      </c>
      <c r="E47" s="38">
        <f>'Nov 04'!$D47*$C$6*$C$2</f>
        <v>18034084.056899998</v>
      </c>
      <c r="F47" s="38">
        <v>161580.33333333299</v>
      </c>
      <c r="G47" s="39">
        <f>'Nov 04'!$E47/'Nov 04'!$F47</f>
        <v>111.61063778533301</v>
      </c>
      <c r="H47" s="36">
        <v>102</v>
      </c>
      <c r="I47" s="36">
        <v>112</v>
      </c>
      <c r="J47" s="40">
        <f>I47-H47</f>
        <v>10</v>
      </c>
      <c r="K47" s="41">
        <f>'Nov 04'!$F47*'Nov 04'!$I47</f>
        <v>18096997.333333295</v>
      </c>
      <c r="L47" s="42">
        <f>'Nov 04'!$K47/$K$2</f>
        <v>0.10059666433494784</v>
      </c>
      <c r="M47" s="43"/>
    </row>
    <row r="48" spans="1:13" s="47" customFormat="1" ht="12.75" x14ac:dyDescent="0.25">
      <c r="A48" s="36"/>
      <c r="B48" s="36"/>
      <c r="C48" s="36"/>
      <c r="D48" s="37"/>
      <c r="E48" s="38"/>
      <c r="F48" s="38"/>
      <c r="G48" s="39"/>
      <c r="H48" s="36"/>
      <c r="I48" s="36"/>
      <c r="J48" s="48"/>
      <c r="K48" s="38"/>
      <c r="L48" s="42"/>
      <c r="M48" s="36"/>
    </row>
    <row r="49" spans="1:16" s="56" customFormat="1" ht="25.5" x14ac:dyDescent="0.25">
      <c r="A49" s="50" t="s">
        <v>154</v>
      </c>
      <c r="B49" s="50"/>
      <c r="C49" s="50"/>
      <c r="D49" s="58">
        <f>SUBTOTAL(9,D43:D48)</f>
        <v>0.5</v>
      </c>
      <c r="E49" s="52">
        <f>'Nov 04'!$D49*$C$6*$C$2</f>
        <v>90170420.284500003</v>
      </c>
      <c r="F49" s="71"/>
      <c r="G49" s="71"/>
      <c r="H49" s="57"/>
      <c r="I49" s="57"/>
      <c r="J49" s="61"/>
      <c r="K49" s="52">
        <f>SUM(K43:K48)</f>
        <v>89842903.317424148</v>
      </c>
      <c r="L49" s="74">
        <f>'Nov 04'!$K49/$K$2</f>
        <v>0.49941414155225466</v>
      </c>
      <c r="M49" s="50"/>
    </row>
    <row r="50" spans="1:16" s="47" customFormat="1" ht="12.75" x14ac:dyDescent="0.25">
      <c r="A50" s="36"/>
      <c r="B50" s="36"/>
      <c r="C50" s="36"/>
      <c r="D50" s="37"/>
      <c r="E50" s="38"/>
      <c r="F50" s="38"/>
      <c r="G50" s="39"/>
      <c r="H50" s="36"/>
      <c r="I50" s="36"/>
      <c r="J50" s="48"/>
      <c r="K50" s="38"/>
      <c r="L50" s="42"/>
      <c r="M50" s="36"/>
    </row>
    <row r="51" spans="1:16" s="46" customFormat="1" ht="12.75" x14ac:dyDescent="0.25">
      <c r="A51" s="36"/>
      <c r="B51" s="36"/>
      <c r="C51" s="36"/>
      <c r="D51" s="37"/>
      <c r="E51" s="38"/>
      <c r="F51" s="38"/>
      <c r="G51" s="75"/>
      <c r="H51" s="36"/>
      <c r="I51" s="36"/>
      <c r="J51" s="40"/>
      <c r="K51" s="41"/>
      <c r="L51" s="42"/>
      <c r="M51" s="43"/>
    </row>
    <row r="52" spans="1:16" s="46" customFormat="1" ht="25.5" x14ac:dyDescent="0.25">
      <c r="A52" s="36" t="s">
        <v>155</v>
      </c>
      <c r="B52" s="36" t="s">
        <v>156</v>
      </c>
      <c r="C52" s="36" t="s">
        <v>54</v>
      </c>
      <c r="D52" s="37">
        <v>1E-3</v>
      </c>
      <c r="E52" s="38">
        <f>'Nov 04'!$D52*$C$6*$C$2</f>
        <v>180340.84056899999</v>
      </c>
      <c r="F52" s="38">
        <v>47101.333333333299</v>
      </c>
      <c r="G52" s="75">
        <f>'Nov 04'!$E52/'Nov 04'!$F52</f>
        <v>3.828784193702941</v>
      </c>
      <c r="H52" s="36">
        <v>3</v>
      </c>
      <c r="I52" s="36">
        <v>4</v>
      </c>
      <c r="J52" s="40">
        <f t="shared" ref="J52:J61" si="2">I52-H52</f>
        <v>1</v>
      </c>
      <c r="K52" s="41">
        <f>'Nov 04'!$F52*'Nov 04'!$I52</f>
        <v>188405.3333333332</v>
      </c>
      <c r="L52" s="42">
        <f>'Nov 04'!$K52/$K$2</f>
        <v>1.0472979426999964E-3</v>
      </c>
      <c r="M52" s="43"/>
    </row>
    <row r="53" spans="1:16" s="46" customFormat="1" ht="25.5" x14ac:dyDescent="0.25">
      <c r="A53" s="36" t="s">
        <v>155</v>
      </c>
      <c r="B53" s="36" t="s">
        <v>71</v>
      </c>
      <c r="C53" s="36" t="s">
        <v>72</v>
      </c>
      <c r="D53" s="37">
        <v>1E-3</v>
      </c>
      <c r="E53" s="38">
        <f>'Nov 04'!$D53*$C$6*$C$2</f>
        <v>180340.84056899999</v>
      </c>
      <c r="F53" s="38">
        <v>76234</v>
      </c>
      <c r="G53" s="75">
        <f>'Nov 04'!$E53/'Nov 04'!$F53</f>
        <v>2.3656221708030536</v>
      </c>
      <c r="H53" s="36">
        <v>2</v>
      </c>
      <c r="I53" s="36">
        <v>2</v>
      </c>
      <c r="J53" s="40">
        <f t="shared" si="2"/>
        <v>0</v>
      </c>
      <c r="K53" s="41">
        <f>'Nov 04'!$F53*'Nov 04'!$I53</f>
        <v>152468</v>
      </c>
      <c r="L53" s="42">
        <f>'Nov 04'!$K53/$K$2</f>
        <v>8.4753132993890736E-4</v>
      </c>
      <c r="M53" s="43"/>
      <c r="P53" s="46" t="s">
        <v>159</v>
      </c>
    </row>
    <row r="54" spans="1:16" s="46" customFormat="1" ht="25.5" x14ac:dyDescent="0.25">
      <c r="A54" s="36" t="s">
        <v>155</v>
      </c>
      <c r="B54" s="36" t="s">
        <v>160</v>
      </c>
      <c r="C54" s="36" t="s">
        <v>84</v>
      </c>
      <c r="D54" s="37">
        <v>1E-3</v>
      </c>
      <c r="E54" s="38">
        <f>'Nov 04'!$D54*$C$6*$C$2</f>
        <v>180340.84056899999</v>
      </c>
      <c r="F54" s="38">
        <v>91155</v>
      </c>
      <c r="G54" s="75">
        <f>'Nov 04'!$E54/'Nov 04'!$F54</f>
        <v>1.9783976805331578</v>
      </c>
      <c r="H54" s="36">
        <v>2</v>
      </c>
      <c r="I54" s="36">
        <v>2</v>
      </c>
      <c r="J54" s="40">
        <f t="shared" si="2"/>
        <v>0</v>
      </c>
      <c r="K54" s="41">
        <f>'Nov 04'!$F54*'Nov 04'!$I54</f>
        <v>182310</v>
      </c>
      <c r="L54" s="42">
        <f>'Nov 04'!$K54/$K$2</f>
        <v>1.0134155151321077E-3</v>
      </c>
      <c r="M54" s="43"/>
    </row>
    <row r="55" spans="1:16" s="46" customFormat="1" ht="25.5" x14ac:dyDescent="0.25">
      <c r="A55" s="36" t="s">
        <v>155</v>
      </c>
      <c r="B55" s="36" t="s">
        <v>161</v>
      </c>
      <c r="C55" s="36" t="s">
        <v>86</v>
      </c>
      <c r="D55" s="37">
        <v>1E-3</v>
      </c>
      <c r="E55" s="38">
        <f>'Nov 04'!$D55*$C$6*$C$2</f>
        <v>180340.84056899999</v>
      </c>
      <c r="F55" s="38">
        <v>225676</v>
      </c>
      <c r="G55" s="75">
        <f>'Nov 04'!$E55/'Nov 04'!$F55</f>
        <v>0.79911395349527636</v>
      </c>
      <c r="H55" s="36">
        <v>1</v>
      </c>
      <c r="I55" s="36">
        <v>1</v>
      </c>
      <c r="J55" s="40">
        <f t="shared" si="2"/>
        <v>0</v>
      </c>
      <c r="K55" s="41">
        <f>'Nov 04'!$F55*'Nov 04'!$I55</f>
        <v>225676</v>
      </c>
      <c r="L55" s="42">
        <f>'Nov 04'!$K55/$K$2</f>
        <v>1.2544762206842936E-3</v>
      </c>
      <c r="M55" s="43"/>
    </row>
    <row r="56" spans="1:16" s="46" customFormat="1" ht="25.5" x14ac:dyDescent="0.25">
      <c r="A56" s="36" t="s">
        <v>155</v>
      </c>
      <c r="B56" s="36" t="s">
        <v>87</v>
      </c>
      <c r="C56" s="36" t="s">
        <v>88</v>
      </c>
      <c r="D56" s="37">
        <v>1E-3</v>
      </c>
      <c r="E56" s="38">
        <f>'Nov 04'!$D56*$C$6*$C$2</f>
        <v>180340.84056899999</v>
      </c>
      <c r="F56" s="38">
        <v>11302.333333333299</v>
      </c>
      <c r="G56" s="75">
        <f>'Nov 04'!$E56/'Nov 04'!$F56</f>
        <v>15.956071657976276</v>
      </c>
      <c r="H56" s="36">
        <v>15</v>
      </c>
      <c r="I56" s="36">
        <v>16</v>
      </c>
      <c r="J56" s="40">
        <f t="shared" si="2"/>
        <v>1</v>
      </c>
      <c r="K56" s="41">
        <f>'Nov 04'!$F56*'Nov 04'!$I56</f>
        <v>180837.33333333279</v>
      </c>
      <c r="L56" s="42">
        <f>'Nov 04'!$K56/$K$2</f>
        <v>1.005229330893073E-3</v>
      </c>
      <c r="M56" s="43"/>
    </row>
    <row r="57" spans="1:16" s="46" customFormat="1" ht="25.5" x14ac:dyDescent="0.25">
      <c r="A57" s="36" t="s">
        <v>155</v>
      </c>
      <c r="B57" s="36" t="s">
        <v>162</v>
      </c>
      <c r="C57" s="36" t="s">
        <v>91</v>
      </c>
      <c r="D57" s="37">
        <v>1E-3</v>
      </c>
      <c r="E57" s="38">
        <f>'Nov 04'!$D57*$C$6*$C$2</f>
        <v>180340.84056899999</v>
      </c>
      <c r="F57" s="38">
        <v>90364.5</v>
      </c>
      <c r="G57" s="75">
        <f>'Nov 04'!$E57/'Nov 04'!$F57</f>
        <v>1.9957045141510217</v>
      </c>
      <c r="H57" s="36">
        <v>2</v>
      </c>
      <c r="I57" s="36">
        <v>2</v>
      </c>
      <c r="J57" s="40">
        <f t="shared" si="2"/>
        <v>0</v>
      </c>
      <c r="K57" s="41">
        <f>'Nov 04'!$F57*'Nov 04'!$I57</f>
        <v>180729</v>
      </c>
      <c r="L57" s="42">
        <f>'Nov 04'!$K57/$K$2</f>
        <v>1.0046271330936905E-3</v>
      </c>
      <c r="M57" s="43"/>
    </row>
    <row r="58" spans="1:16" s="4" customFormat="1" ht="25.5" x14ac:dyDescent="0.2">
      <c r="A58" s="36" t="s">
        <v>155</v>
      </c>
      <c r="B58" s="64" t="s">
        <v>163</v>
      </c>
      <c r="C58" s="64" t="s">
        <v>113</v>
      </c>
      <c r="D58" s="37">
        <v>1E-3</v>
      </c>
      <c r="E58" s="38">
        <f>'Nov 04'!$D58*$C$6*$C$2</f>
        <v>180340.84056899999</v>
      </c>
      <c r="F58" s="38">
        <v>62116</v>
      </c>
      <c r="G58" s="75">
        <f>'Nov 04'!$E58/'Nov 04'!$F58</f>
        <v>2.9032912706710023</v>
      </c>
      <c r="H58" s="36">
        <v>3</v>
      </c>
      <c r="I58" s="36">
        <v>3</v>
      </c>
      <c r="J58" s="40">
        <f t="shared" si="2"/>
        <v>0</v>
      </c>
      <c r="K58" s="41">
        <f>'Nov 04'!$F58*'Nov 04'!$I58</f>
        <v>186348</v>
      </c>
      <c r="L58" s="42">
        <f>'Nov 04'!$K58/$K$2</f>
        <v>1.0358617432605893E-3</v>
      </c>
      <c r="M58" s="65"/>
    </row>
    <row r="59" spans="1:16" s="46" customFormat="1" ht="25.5" x14ac:dyDescent="0.25">
      <c r="A59" s="36" t="s">
        <v>155</v>
      </c>
      <c r="B59" s="36" t="s">
        <v>164</v>
      </c>
      <c r="C59" s="36" t="s">
        <v>82</v>
      </c>
      <c r="D59" s="37">
        <v>1E-3</v>
      </c>
      <c r="E59" s="38">
        <f>'Nov 04'!$D59*$C$6*$C$2</f>
        <v>180340.84056899999</v>
      </c>
      <c r="F59" s="38">
        <v>30490</v>
      </c>
      <c r="G59" s="75">
        <f>'Nov 04'!$E59/'Nov 04'!$F59</f>
        <v>5.9147537083961952</v>
      </c>
      <c r="H59" s="36">
        <v>5</v>
      </c>
      <c r="I59" s="36">
        <v>6</v>
      </c>
      <c r="J59" s="40">
        <f t="shared" si="2"/>
        <v>1</v>
      </c>
      <c r="K59" s="41">
        <f>'Nov 04'!$F59*'Nov 04'!$I59</f>
        <v>182940</v>
      </c>
      <c r="L59" s="42">
        <f>'Nov 04'!$K59/$K$2</f>
        <v>1.016917526950073E-3</v>
      </c>
      <c r="M59" s="43"/>
    </row>
    <row r="60" spans="1:16" s="46" customFormat="1" ht="25.5" x14ac:dyDescent="0.25">
      <c r="A60" s="36" t="s">
        <v>155</v>
      </c>
      <c r="B60" s="36" t="s">
        <v>100</v>
      </c>
      <c r="C60" s="36" t="s">
        <v>101</v>
      </c>
      <c r="D60" s="37">
        <v>1E-3</v>
      </c>
      <c r="E60" s="38">
        <f>'Nov 04'!$D60*$C$6*$C$2</f>
        <v>180340.84056899999</v>
      </c>
      <c r="F60" s="38">
        <v>7523.6818181818198</v>
      </c>
      <c r="G60" s="75">
        <f>'Nov 04'!$E60/'Nov 04'!$F60</f>
        <v>23.969759079017159</v>
      </c>
      <c r="H60" s="36">
        <v>22</v>
      </c>
      <c r="I60" s="36">
        <v>24</v>
      </c>
      <c r="J60" s="40">
        <f t="shared" si="2"/>
        <v>2</v>
      </c>
      <c r="K60" s="41">
        <f>'Nov 04'!$F60*'Nov 04'!$I60</f>
        <v>180568.36363636368</v>
      </c>
      <c r="L60" s="42">
        <f>'Nov 04'!$K60/$K$2</f>
        <v>1.0037341958812312E-3</v>
      </c>
      <c r="M60" s="43"/>
    </row>
    <row r="61" spans="1:16" s="46" customFormat="1" ht="25.5" x14ac:dyDescent="0.25">
      <c r="A61" s="36" t="s">
        <v>155</v>
      </c>
      <c r="B61" s="36" t="s">
        <v>174</v>
      </c>
      <c r="C61" s="36" t="s">
        <v>75</v>
      </c>
      <c r="D61" s="37">
        <v>1E-3</v>
      </c>
      <c r="E61" s="38">
        <f>'Nov 04'!$D61*$C$6*$C$2</f>
        <v>180340.84056899999</v>
      </c>
      <c r="F61" s="38">
        <v>27760</v>
      </c>
      <c r="G61" s="75">
        <f>'Nov 04'!$E61/'Nov 04'!$F61</f>
        <v>6.4964279743876077</v>
      </c>
      <c r="H61" s="36">
        <v>6</v>
      </c>
      <c r="I61" s="36">
        <v>6</v>
      </c>
      <c r="J61" s="40">
        <f t="shared" si="2"/>
        <v>0</v>
      </c>
      <c r="K61" s="41">
        <f>'Nov 04'!$F61*'Nov 04'!$I61</f>
        <v>166560</v>
      </c>
      <c r="L61" s="42">
        <f>'Nov 04'!$K61/$K$2</f>
        <v>9.2586521968297884E-4</v>
      </c>
      <c r="M61" s="43"/>
    </row>
    <row r="62" spans="1:16" s="46" customFormat="1" ht="12.75" x14ac:dyDescent="0.25">
      <c r="A62" s="36"/>
      <c r="B62" s="36"/>
      <c r="C62" s="36"/>
      <c r="D62" s="37"/>
      <c r="E62" s="38"/>
      <c r="F62" s="38"/>
      <c r="G62" s="39"/>
      <c r="H62" s="36"/>
      <c r="I62" s="36"/>
      <c r="J62" s="43"/>
      <c r="K62" s="41"/>
      <c r="L62" s="42"/>
      <c r="M62" s="43"/>
    </row>
    <row r="63" spans="1:16" s="46" customFormat="1" ht="12.75" x14ac:dyDescent="0.25">
      <c r="A63" s="36"/>
      <c r="B63" s="36"/>
      <c r="C63" s="36"/>
      <c r="D63" s="37"/>
      <c r="E63" s="38"/>
      <c r="F63" s="38"/>
      <c r="G63" s="39"/>
      <c r="H63" s="36"/>
      <c r="I63" s="36"/>
      <c r="J63" s="43"/>
      <c r="K63" s="41"/>
      <c r="L63" s="42"/>
      <c r="M63" s="43"/>
    </row>
    <row r="64" spans="1:16" s="17" customFormat="1" ht="12.75" x14ac:dyDescent="0.2">
      <c r="A64" s="50" t="s">
        <v>167</v>
      </c>
      <c r="B64" s="68"/>
      <c r="C64" s="68"/>
      <c r="D64" s="76">
        <f>SUM(D52:D63)</f>
        <v>1.0000000000000002E-2</v>
      </c>
      <c r="E64" s="52">
        <f>SUM(E51:E63)</f>
        <v>1803408.4056899999</v>
      </c>
      <c r="F64" s="71"/>
      <c r="G64" s="71"/>
      <c r="H64" s="68"/>
      <c r="I64" s="68"/>
      <c r="J64" s="50"/>
      <c r="K64" s="52">
        <f>SUM(K51:K63)</f>
        <v>1826842.0303030298</v>
      </c>
      <c r="L64" s="55">
        <f>'Nov 04'!$K64/$K$2</f>
        <v>1.0154956158216941E-2</v>
      </c>
      <c r="M64" s="62"/>
    </row>
    <row r="65" spans="1:13" s="4" customFormat="1" ht="12.75" x14ac:dyDescent="0.2">
      <c r="A65" s="36"/>
      <c r="B65" s="64"/>
      <c r="C65" s="64"/>
      <c r="D65" s="77"/>
      <c r="E65" s="38"/>
      <c r="F65" s="38"/>
      <c r="G65" s="39"/>
      <c r="H65" s="64"/>
      <c r="I65" s="64"/>
      <c r="J65" s="36"/>
      <c r="K65" s="36"/>
      <c r="L65" s="42"/>
      <c r="M65" s="65"/>
    </row>
    <row r="66" spans="1:13" s="46" customFormat="1" ht="25.5" x14ac:dyDescent="0.25">
      <c r="A66" s="50" t="s">
        <v>168</v>
      </c>
      <c r="B66" s="57" t="s">
        <v>169</v>
      </c>
      <c r="C66" s="57" t="s">
        <v>170</v>
      </c>
      <c r="D66" s="58">
        <v>0</v>
      </c>
      <c r="E66" s="59">
        <f>'Nov 04'!$D66*$C$6*$C$2</f>
        <v>0</v>
      </c>
      <c r="F66" s="59">
        <v>0</v>
      </c>
      <c r="G66" s="60" t="s">
        <v>175</v>
      </c>
      <c r="H66" s="57">
        <v>0</v>
      </c>
      <c r="I66" s="57">
        <v>0</v>
      </c>
      <c r="J66" s="78">
        <f>I66-H66</f>
        <v>0</v>
      </c>
      <c r="K66" s="59">
        <f>'Nov 04'!$F66*'Nov 04'!$I66</f>
        <v>0</v>
      </c>
      <c r="L66" s="79">
        <f>'Nov 04'!$K66/$K$2</f>
        <v>0</v>
      </c>
      <c r="M66" s="57"/>
    </row>
    <row r="67" spans="1:13" s="4" customFormat="1" ht="12.75" x14ac:dyDescent="0.2">
      <c r="A67" s="36"/>
      <c r="B67" s="64"/>
      <c r="C67" s="64"/>
      <c r="D67" s="77"/>
      <c r="E67" s="38"/>
      <c r="F67" s="38"/>
      <c r="G67" s="39"/>
      <c r="H67" s="64"/>
      <c r="I67" s="64"/>
      <c r="J67" s="36"/>
      <c r="K67" s="36"/>
      <c r="L67" s="42"/>
      <c r="M67" s="65"/>
    </row>
    <row r="68" spans="1:13" s="4" customFormat="1" ht="12.75" x14ac:dyDescent="0.2">
      <c r="A68" s="36"/>
      <c r="B68" s="64"/>
      <c r="C68" s="64"/>
      <c r="D68" s="80"/>
      <c r="E68" s="66"/>
      <c r="F68" s="38"/>
      <c r="G68" s="39"/>
      <c r="H68" s="64"/>
      <c r="I68" s="64"/>
      <c r="J68" s="36"/>
      <c r="K68" s="36"/>
      <c r="L68" s="42"/>
      <c r="M68" s="65"/>
    </row>
    <row r="69" spans="1:13" s="17" customFormat="1" ht="12.75" x14ac:dyDescent="0.2">
      <c r="A69" s="50" t="s">
        <v>171</v>
      </c>
      <c r="B69" s="68"/>
      <c r="C69" s="68"/>
      <c r="D69" s="68"/>
      <c r="E69" s="81"/>
      <c r="F69" s="81"/>
      <c r="G69" s="50"/>
      <c r="H69" s="68"/>
      <c r="I69" s="68"/>
      <c r="J69" s="68"/>
      <c r="K69" s="81">
        <f>SUM(K26,K28,K41,K49,K64,K66:K66)</f>
        <v>179896594.51408169</v>
      </c>
      <c r="L69" s="55">
        <f>'Nov 04'!$K69/$K$2</f>
        <v>1</v>
      </c>
      <c r="M69" s="68"/>
    </row>
    <row r="70" spans="1:13" s="4" customFormat="1" ht="12.75" x14ac:dyDescent="0.2">
      <c r="A70" s="65"/>
      <c r="B70" s="65"/>
      <c r="C70" s="65"/>
      <c r="D70" s="82"/>
      <c r="E70" s="83"/>
      <c r="F70" s="38"/>
      <c r="G70" s="84"/>
      <c r="H70" s="65"/>
      <c r="I70" s="65"/>
      <c r="J70" s="65"/>
      <c r="K70" s="65"/>
      <c r="L70" s="42"/>
      <c r="M70" s="65"/>
    </row>
    <row r="71" spans="1:13" s="4" customFormat="1" ht="12.75" x14ac:dyDescent="0.2">
      <c r="A71" s="65"/>
      <c r="B71" s="65"/>
      <c r="C71" s="65"/>
      <c r="D71" s="82"/>
      <c r="E71" s="83"/>
      <c r="F71" s="38"/>
      <c r="G71" s="84"/>
      <c r="H71" s="65"/>
      <c r="I71" s="65"/>
      <c r="J71" s="65"/>
      <c r="K71" s="65"/>
      <c r="L71" s="42"/>
      <c r="M71" s="65"/>
    </row>
    <row r="72" spans="1:13" s="4" customFormat="1" ht="12.75" x14ac:dyDescent="0.2">
      <c r="A72" s="65"/>
      <c r="B72" s="65"/>
      <c r="C72" s="65"/>
      <c r="D72" s="82"/>
      <c r="E72" s="83"/>
      <c r="F72" s="38"/>
      <c r="G72" s="84"/>
      <c r="H72" s="65"/>
      <c r="I72" s="65"/>
      <c r="J72" s="65"/>
      <c r="K72" s="65"/>
      <c r="L72" s="42"/>
      <c r="M72" s="65"/>
    </row>
    <row r="73" spans="1:13" s="4" customFormat="1" ht="12.75" x14ac:dyDescent="0.2">
      <c r="A73" s="65"/>
      <c r="B73" s="65"/>
      <c r="C73" s="65"/>
      <c r="D73" s="82"/>
      <c r="E73" s="83"/>
      <c r="F73" s="38"/>
      <c r="G73" s="84"/>
      <c r="H73" s="65"/>
      <c r="I73" s="65"/>
      <c r="J73" s="65"/>
      <c r="K73" s="65"/>
      <c r="L73" s="42"/>
      <c r="M73" s="65"/>
    </row>
    <row r="74" spans="1:13" s="4" customFormat="1" ht="12.75" x14ac:dyDescent="0.2">
      <c r="A74" s="65"/>
      <c r="B74" s="65"/>
      <c r="C74" s="65"/>
      <c r="D74" s="82"/>
      <c r="E74" s="83"/>
      <c r="F74" s="38"/>
      <c r="G74" s="84"/>
      <c r="H74" s="65"/>
      <c r="I74" s="65"/>
      <c r="J74" s="65"/>
      <c r="K74" s="65"/>
      <c r="L74" s="42"/>
      <c r="M74" s="65"/>
    </row>
    <row r="75" spans="1:13" s="4" customFormat="1" ht="12.75" x14ac:dyDescent="0.2">
      <c r="A75" s="65"/>
      <c r="B75" s="65"/>
      <c r="C75" s="65"/>
      <c r="D75" s="82"/>
      <c r="E75" s="83"/>
      <c r="F75" s="38"/>
      <c r="G75" s="84"/>
      <c r="H75" s="65"/>
      <c r="I75" s="65"/>
      <c r="J75" s="65"/>
      <c r="K75" s="65"/>
      <c r="L75" s="42"/>
      <c r="M75" s="65"/>
    </row>
    <row r="76" spans="1:13" s="4" customFormat="1" ht="12.75" x14ac:dyDescent="0.2">
      <c r="A76" s="65"/>
      <c r="B76" s="65"/>
      <c r="C76" s="65"/>
      <c r="D76" s="82"/>
      <c r="E76" s="83"/>
      <c r="F76" s="38"/>
      <c r="G76" s="84"/>
      <c r="H76" s="65"/>
      <c r="I76" s="65"/>
      <c r="J76" s="65"/>
      <c r="K76" s="65"/>
      <c r="L76" s="42"/>
      <c r="M76" s="65"/>
    </row>
    <row r="77" spans="1:13" s="4" customFormat="1" ht="12.75" x14ac:dyDescent="0.2">
      <c r="A77" s="65"/>
      <c r="B77" s="65"/>
      <c r="C77" s="65"/>
      <c r="D77" s="82"/>
      <c r="E77" s="83"/>
      <c r="F77" s="38"/>
      <c r="G77" s="84"/>
      <c r="H77" s="65"/>
      <c r="I77" s="65"/>
      <c r="J77" s="65"/>
      <c r="K77" s="65"/>
      <c r="L77" s="42"/>
      <c r="M77" s="65"/>
    </row>
    <row r="78" spans="1:13" s="4" customFormat="1" ht="12.75" x14ac:dyDescent="0.2">
      <c r="A78" s="65"/>
      <c r="B78" s="65"/>
      <c r="C78" s="65"/>
      <c r="D78" s="82"/>
      <c r="E78" s="83"/>
      <c r="F78" s="38"/>
      <c r="G78" s="84"/>
      <c r="H78" s="65"/>
      <c r="I78" s="65"/>
      <c r="J78" s="65"/>
      <c r="K78" s="65"/>
      <c r="L78" s="42"/>
      <c r="M78" s="65"/>
    </row>
    <row r="79" spans="1:13" s="4" customFormat="1" ht="12.75" x14ac:dyDescent="0.2"/>
    <row r="80" spans="1:13" s="4" customFormat="1" ht="12.75" x14ac:dyDescent="0.2"/>
    <row r="82" spans="1:13" s="4" customFormat="1" ht="12.75" x14ac:dyDescent="0.2">
      <c r="A82" s="85"/>
      <c r="B82" s="85"/>
      <c r="E82" s="85"/>
      <c r="F82" s="85"/>
      <c r="G82" s="85"/>
      <c r="H82" s="86"/>
      <c r="M82" s="85"/>
    </row>
    <row r="83" spans="1:13" s="4" customFormat="1" ht="12.75" x14ac:dyDescent="0.2">
      <c r="A83" s="85"/>
      <c r="B83" s="85"/>
      <c r="E83" s="85"/>
      <c r="F83" s="85"/>
      <c r="G83" s="85"/>
      <c r="H83" s="86"/>
      <c r="M83" s="85"/>
    </row>
    <row r="84" spans="1:13" s="4" customFormat="1" ht="12.75" x14ac:dyDescent="0.2">
      <c r="A84" s="87"/>
      <c r="B84" s="87"/>
    </row>
    <row r="85" spans="1:13" s="4" customFormat="1" ht="12.75" x14ac:dyDescent="0.2">
      <c r="A85" s="88"/>
      <c r="B85" s="88"/>
      <c r="E85" s="88"/>
      <c r="F85" s="87"/>
      <c r="G85" s="87"/>
      <c r="M85" s="89"/>
    </row>
    <row r="86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H86"/>
  <sheetViews>
    <sheetView zoomScale="140" zoomScaleNormal="140" workbookViewId="0">
      <pane xSplit="2" topLeftCell="E1" activePane="topRight" state="frozen"/>
      <selection pane="topRight" activeCell="H16" sqref="H16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116</v>
      </c>
      <c r="C1" s="6">
        <v>44140</v>
      </c>
      <c r="D1" s="7"/>
      <c r="E1" s="8" t="s">
        <v>117</v>
      </c>
      <c r="F1" s="9"/>
      <c r="G1" s="10"/>
      <c r="K1" s="11" t="s">
        <v>118</v>
      </c>
      <c r="L1" s="11" t="s">
        <v>119</v>
      </c>
      <c r="M1" s="12" t="s">
        <v>120</v>
      </c>
    </row>
    <row r="2" spans="1:17" x14ac:dyDescent="0.25">
      <c r="A2" s="5"/>
      <c r="B2" s="5" t="s">
        <v>121</v>
      </c>
      <c r="C2" s="13">
        <v>6.9</v>
      </c>
      <c r="D2" s="14"/>
      <c r="E2" s="15">
        <f>SUM(E26,E41,E49,E64,E28,E66)</f>
        <v>184054701.27686027</v>
      </c>
      <c r="F2" s="16"/>
      <c r="G2" s="17"/>
      <c r="H2" s="14"/>
      <c r="I2" s="14"/>
      <c r="J2" s="14"/>
      <c r="K2" s="15">
        <f>SUM(K26,K41,K49,K64,K28,K66:K66)</f>
        <v>183983274.39191499</v>
      </c>
      <c r="L2" s="18">
        <f>SUM(L49,L64,L41,L26,L28,L66)</f>
        <v>0.99999999999999989</v>
      </c>
      <c r="M2" s="19">
        <f>K2/$C$6</f>
        <v>6.8973498771595336</v>
      </c>
      <c r="N2" s="20"/>
    </row>
    <row r="3" spans="1:17" ht="26.25" x14ac:dyDescent="0.25">
      <c r="A3" s="5"/>
      <c r="B3" s="5" t="s">
        <v>122</v>
      </c>
      <c r="C3" s="21">
        <v>26674487.690000001</v>
      </c>
      <c r="D3" s="22"/>
      <c r="E3" s="8" t="s">
        <v>123</v>
      </c>
      <c r="F3" s="16"/>
      <c r="H3" s="14"/>
      <c r="I3" s="14"/>
      <c r="J3" s="14"/>
      <c r="K3" s="8" t="s">
        <v>123</v>
      </c>
      <c r="L3" s="14"/>
      <c r="M3" s="12" t="s">
        <v>124</v>
      </c>
      <c r="N3" s="23"/>
    </row>
    <row r="4" spans="1:17" x14ac:dyDescent="0.25">
      <c r="A4" s="5"/>
      <c r="B4" s="5" t="s">
        <v>125</v>
      </c>
      <c r="C4" s="21">
        <v>0</v>
      </c>
      <c r="D4" s="22"/>
      <c r="E4" s="15">
        <f>SUM(E26,E64,E28)</f>
        <v>34970989.577450246</v>
      </c>
      <c r="F4" s="16"/>
      <c r="G4" s="17"/>
      <c r="H4" s="14"/>
      <c r="I4" s="14"/>
      <c r="J4" s="14"/>
      <c r="K4" s="15">
        <f>SUM(K26,K28,K64)</f>
        <v>34987650.44489979</v>
      </c>
      <c r="L4" s="14"/>
      <c r="M4" s="19">
        <f>K4/$C$6</f>
        <v>1.3116521993416319</v>
      </c>
      <c r="N4" s="23"/>
    </row>
    <row r="5" spans="1:17" x14ac:dyDescent="0.25">
      <c r="A5" s="5"/>
      <c r="B5" s="5" t="s">
        <v>126</v>
      </c>
      <c r="C5" s="21">
        <v>0</v>
      </c>
      <c r="D5" s="22"/>
      <c r="E5" s="16"/>
      <c r="F5" s="16"/>
      <c r="G5" s="24">
        <f>SUM(D26,D28,D41,D49,D64,D66:D66)</f>
        <v>1.0000039999999999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127</v>
      </c>
      <c r="C6" s="21">
        <f>C3+C4-C5</f>
        <v>26674487.690000001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128</v>
      </c>
      <c r="B8" s="30" t="s">
        <v>129</v>
      </c>
      <c r="C8" s="31" t="s">
        <v>1</v>
      </c>
      <c r="D8" s="31" t="s">
        <v>130</v>
      </c>
      <c r="E8" s="31" t="s">
        <v>131</v>
      </c>
      <c r="F8" s="31" t="s">
        <v>132</v>
      </c>
      <c r="G8" s="31" t="s">
        <v>133</v>
      </c>
      <c r="H8" s="31" t="s">
        <v>134</v>
      </c>
      <c r="I8" s="31" t="s">
        <v>135</v>
      </c>
      <c r="J8" s="31" t="s">
        <v>136</v>
      </c>
      <c r="K8" s="32" t="s">
        <v>137</v>
      </c>
      <c r="L8" s="32" t="s">
        <v>138</v>
      </c>
      <c r="M8" s="32" t="s">
        <v>139</v>
      </c>
      <c r="N8" s="33"/>
      <c r="Q8" s="35"/>
    </row>
    <row r="9" spans="1:17" s="46" customFormat="1" ht="12.75" customHeight="1" x14ac:dyDescent="0.25">
      <c r="A9" s="36" t="s">
        <v>140</v>
      </c>
      <c r="B9" s="36" t="s">
        <v>49</v>
      </c>
      <c r="C9" s="36" t="s">
        <v>50</v>
      </c>
      <c r="D9" s="37">
        <v>1.2307999999999999E-2</v>
      </c>
      <c r="E9" s="38">
        <f>'Nov 05'!$D9*$C$6*$C$2</f>
        <v>2265336.2019707882</v>
      </c>
      <c r="F9" s="38">
        <v>429.89994216309998</v>
      </c>
      <c r="G9" s="39">
        <f>'Nov 05'!$E9/'Nov 05'!$F9</f>
        <v>5269.4498877400201</v>
      </c>
      <c r="H9" s="36">
        <v>5187</v>
      </c>
      <c r="I9" s="36">
        <f>ROUND(Table13895845679910111213144562678910111213141516171819202134567891011121314151617181920212223345[[#This Row],[Target Quantity]],0)</f>
        <v>5269</v>
      </c>
      <c r="J9" s="40">
        <f t="shared" ref="J9:J24" si="0">I9-H9</f>
        <v>82</v>
      </c>
      <c r="K9" s="41">
        <f>'Nov 05'!$F9*'Nov 05'!$I9</f>
        <v>2265142.7952573737</v>
      </c>
      <c r="L9" s="42">
        <f>'Nov 05'!$K9/$K$2</f>
        <v>1.2311677801930205E-2</v>
      </c>
      <c r="M9" s="43"/>
    </row>
    <row r="10" spans="1:17" s="46" customFormat="1" ht="12.75" customHeight="1" x14ac:dyDescent="0.25">
      <c r="A10" s="36" t="s">
        <v>140</v>
      </c>
      <c r="B10" s="36" t="s">
        <v>37</v>
      </c>
      <c r="C10" s="36" t="s">
        <v>38</v>
      </c>
      <c r="D10" s="37">
        <v>1.2307999999999999E-2</v>
      </c>
      <c r="E10" s="38">
        <f>'Nov 05'!$D10*$C$6*$C$2</f>
        <v>2265336.2019707882</v>
      </c>
      <c r="F10" s="38">
        <v>94.170011489850594</v>
      </c>
      <c r="G10" s="39">
        <f>'Nov 05'!$E10/'Nov 05'!$F10</f>
        <v>24055.813163142073</v>
      </c>
      <c r="H10" s="36">
        <v>26110</v>
      </c>
      <c r="I10" s="36">
        <f>ROUND(Table13895845679910111213144562678910111213141516171819202134567891011121314151617181920212223345[[#This Row],[Target Quantity]],0)</f>
        <v>24056</v>
      </c>
      <c r="J10" s="40">
        <f t="shared" si="0"/>
        <v>-2054</v>
      </c>
      <c r="K10" s="41">
        <f>'Nov 05'!$F10*'Nov 05'!$I10</f>
        <v>2265353.7963998457</v>
      </c>
      <c r="L10" s="42">
        <f>'Nov 05'!$K10/$K$2</f>
        <v>1.2312824651518405E-2</v>
      </c>
      <c r="M10" s="43"/>
    </row>
    <row r="11" spans="1:17" s="47" customFormat="1" ht="12.75" customHeight="1" x14ac:dyDescent="0.25">
      <c r="A11" s="36" t="s">
        <v>140</v>
      </c>
      <c r="B11" s="36" t="s">
        <v>27</v>
      </c>
      <c r="C11" s="36" t="s">
        <v>28</v>
      </c>
      <c r="D11" s="37">
        <v>1.2307999999999999E-2</v>
      </c>
      <c r="E11" s="38">
        <f>'Nov 05'!$D11*$C$6*$C$2</f>
        <v>2265336.2019707882</v>
      </c>
      <c r="F11" s="38">
        <v>241</v>
      </c>
      <c r="G11" s="39">
        <f>'Nov 05'!$E11/'Nov 05'!$F11</f>
        <v>9399.7352778870882</v>
      </c>
      <c r="H11" s="36">
        <v>10649</v>
      </c>
      <c r="I11" s="36">
        <f>ROUND(Table13895845679910111213144562678910111213141516171819202134567891011121314151617181920212223345[[#This Row],[Target Quantity]],0)</f>
        <v>9400</v>
      </c>
      <c r="J11" s="40">
        <f t="shared" si="0"/>
        <v>-1249</v>
      </c>
      <c r="K11" s="41">
        <f>'Nov 05'!$F11*'Nov 05'!$I11</f>
        <v>2265400</v>
      </c>
      <c r="L11" s="42">
        <f>'Nov 05'!$K11/$K$2</f>
        <v>1.2313075780868651E-2</v>
      </c>
      <c r="M11" s="36"/>
    </row>
    <row r="12" spans="1:17" s="47" customFormat="1" ht="12.75" customHeight="1" x14ac:dyDescent="0.25">
      <c r="A12" s="36" t="s">
        <v>140</v>
      </c>
      <c r="B12" s="36" t="s">
        <v>51</v>
      </c>
      <c r="C12" s="36" t="s">
        <v>52</v>
      </c>
      <c r="D12" s="37">
        <v>1.2307999999999999E-2</v>
      </c>
      <c r="E12" s="38">
        <f>'Nov 05'!$D12*$C$6*$C$2</f>
        <v>2265336.2019707882</v>
      </c>
      <c r="F12" s="38">
        <v>498.01007768213299</v>
      </c>
      <c r="G12" s="39">
        <f>'Nov 05'!$E12/'Nov 05'!$F12</f>
        <v>4548.7758250078905</v>
      </c>
      <c r="H12" s="36">
        <v>4763</v>
      </c>
      <c r="I12" s="36">
        <f>ROUND(Table13895845679910111213144562678910111213141516171819202134567891011121314151617181920212223345[[#This Row],[Target Quantity]],0)</f>
        <v>4549</v>
      </c>
      <c r="J12" s="40">
        <f t="shared" si="0"/>
        <v>-214</v>
      </c>
      <c r="K12" s="41">
        <f>'Nov 05'!$F12*'Nov 05'!$I12</f>
        <v>2265447.8433760228</v>
      </c>
      <c r="L12" s="42">
        <f>'Nov 05'!$K12/$K$2</f>
        <v>1.2313335822854429E-2</v>
      </c>
      <c r="M12" s="36"/>
    </row>
    <row r="13" spans="1:17" s="47" customFormat="1" ht="12.75" customHeight="1" x14ac:dyDescent="0.25">
      <c r="A13" s="36" t="s">
        <v>140</v>
      </c>
      <c r="B13" s="36" t="s">
        <v>41</v>
      </c>
      <c r="C13" s="36" t="s">
        <v>42</v>
      </c>
      <c r="D13" s="37">
        <v>1.2307999999999999E-2</v>
      </c>
      <c r="E13" s="38">
        <f>'Nov 05'!$D13*$C$6*$C$2</f>
        <v>2265336.2019707882</v>
      </c>
      <c r="F13" s="38">
        <v>1365</v>
      </c>
      <c r="G13" s="39">
        <f>'Nov 05'!$E13/'Nov 05'!$F13</f>
        <v>1659.5869611507605</v>
      </c>
      <c r="H13" s="36">
        <v>1799</v>
      </c>
      <c r="I13" s="36">
        <f>ROUND(Table13895845679910111213144562678910111213141516171819202134567891011121314151617181920212223345[[#This Row],[Target Quantity]],0)</f>
        <v>1660</v>
      </c>
      <c r="J13" s="40">
        <f t="shared" si="0"/>
        <v>-139</v>
      </c>
      <c r="K13" s="41">
        <f>'Nov 05'!$F13*'Nov 05'!$I13</f>
        <v>2265900</v>
      </c>
      <c r="L13" s="42">
        <f>'Nov 05'!$K13/$K$2</f>
        <v>1.2315793419206442E-2</v>
      </c>
      <c r="M13" s="36"/>
    </row>
    <row r="14" spans="1:17" s="47" customFormat="1" ht="12.75" customHeight="1" x14ac:dyDescent="0.25">
      <c r="A14" s="36" t="s">
        <v>140</v>
      </c>
      <c r="B14" s="36" t="s">
        <v>31</v>
      </c>
      <c r="C14" s="36" t="s">
        <v>32</v>
      </c>
      <c r="D14" s="37">
        <v>1.2307999999999999E-2</v>
      </c>
      <c r="E14" s="38">
        <f>'Nov 05'!$D14*$C$6*$C$2</f>
        <v>2265336.2019707882</v>
      </c>
      <c r="F14" s="38">
        <v>269.50006164467999</v>
      </c>
      <c r="G14" s="39">
        <f>'Nov 05'!$E14/'Nov 05'!$F14</f>
        <v>8405.6982701454854</v>
      </c>
      <c r="H14" s="36">
        <v>8111</v>
      </c>
      <c r="I14" s="36">
        <f>ROUND(Table13895845679910111213144562678910111213141516171819202134567891011121314151617181920212223345[[#This Row],[Target Quantity]],0)</f>
        <v>8406</v>
      </c>
      <c r="J14" s="40">
        <f t="shared" si="0"/>
        <v>295</v>
      </c>
      <c r="K14" s="41">
        <f>'Nov 05'!$F14*'Nov 05'!$I14</f>
        <v>2265417.5181851801</v>
      </c>
      <c r="L14" s="42">
        <f>'Nov 05'!$K14/$K$2</f>
        <v>1.231317099705196E-2</v>
      </c>
      <c r="M14" s="36"/>
    </row>
    <row r="15" spans="1:17" s="47" customFormat="1" ht="12.75" customHeight="1" x14ac:dyDescent="0.25">
      <c r="A15" s="36" t="s">
        <v>140</v>
      </c>
      <c r="B15" s="36" t="s">
        <v>29</v>
      </c>
      <c r="C15" s="36" t="s">
        <v>30</v>
      </c>
      <c r="D15" s="37">
        <v>6.1539999999999997E-3</v>
      </c>
      <c r="E15" s="38">
        <f>'Nov 05'!$D15*$C$6*$C$2</f>
        <v>1132668.1009853941</v>
      </c>
      <c r="F15" s="38">
        <v>18.5</v>
      </c>
      <c r="G15" s="39">
        <f>'Nov 05'!$E15/'Nov 05'!$F15</f>
        <v>61225.302755967248</v>
      </c>
      <c r="H15" s="36">
        <v>59990</v>
      </c>
      <c r="I15" s="36">
        <f>ROUND(Table13895845679910111213144562678910111213141516171819202134567891011121314151617181920212223345[[#This Row],[Target Quantity]],0)</f>
        <v>61225</v>
      </c>
      <c r="J15" s="40">
        <f t="shared" si="0"/>
        <v>1235</v>
      </c>
      <c r="K15" s="41">
        <f>'Nov 05'!$F15*'Nov 05'!$I15</f>
        <v>1132662.5</v>
      </c>
      <c r="L15" s="42">
        <f>'Nov 05'!$K15/$K$2</f>
        <v>6.1563340675589908E-3</v>
      </c>
      <c r="M15" s="36"/>
    </row>
    <row r="16" spans="1:17" s="47" customFormat="1" ht="12.75" customHeight="1" x14ac:dyDescent="0.25">
      <c r="A16" s="36" t="s">
        <v>140</v>
      </c>
      <c r="B16" s="36" t="s">
        <v>39</v>
      </c>
      <c r="C16" s="36" t="s">
        <v>40</v>
      </c>
      <c r="D16" s="37">
        <v>6.1539999999999997E-3</v>
      </c>
      <c r="E16" s="38">
        <f>'Nov 05'!$D16*$C$6*$C$2</f>
        <v>1132668.1009853941</v>
      </c>
      <c r="F16" s="38">
        <v>33.699996960763499</v>
      </c>
      <c r="G16" s="39">
        <f>'Nov 05'!$E16/'Nov 05'!$F16</f>
        <v>33610.332437244608</v>
      </c>
      <c r="H16" s="36">
        <v>32903</v>
      </c>
      <c r="I16" s="36">
        <f>ROUND(Table13895845679910111213144562678910111213141516171819202134567891011121314151617181920212223345[[#This Row],[Target Quantity]],0)</f>
        <v>33610</v>
      </c>
      <c r="J16" s="40">
        <f t="shared" si="0"/>
        <v>707</v>
      </c>
      <c r="K16" s="41">
        <f>'Nov 05'!$F16*'Nov 05'!$I16</f>
        <v>1132656.8978512613</v>
      </c>
      <c r="L16" s="42">
        <f>'Nov 05'!$K16/$K$2</f>
        <v>6.1563036183306186E-3</v>
      </c>
      <c r="M16" s="36"/>
    </row>
    <row r="17" spans="1:15" s="47" customFormat="1" ht="12.75" customHeight="1" x14ac:dyDescent="0.25">
      <c r="A17" s="36" t="s">
        <v>140</v>
      </c>
      <c r="B17" s="36" t="s">
        <v>19</v>
      </c>
      <c r="C17" s="36" t="s">
        <v>20</v>
      </c>
      <c r="D17" s="37">
        <v>1.2307999999999999E-2</v>
      </c>
      <c r="E17" s="38">
        <f>'Nov 05'!$D17*$C$6*$C$2</f>
        <v>2265336.2019707882</v>
      </c>
      <c r="F17" s="38">
        <v>483.46008799497201</v>
      </c>
      <c r="G17" s="39">
        <f>'Nov 05'!$E17/'Nov 05'!$F17</f>
        <v>4685.6736641191937</v>
      </c>
      <c r="H17" s="36">
        <v>4773</v>
      </c>
      <c r="I17" s="36">
        <f>ROUND(Table13895845679910111213144562678910111213141516171819202134567891011121314151617181920212223345[[#This Row],[Target Quantity]],0)</f>
        <v>4686</v>
      </c>
      <c r="J17" s="40">
        <f t="shared" si="0"/>
        <v>-87</v>
      </c>
      <c r="K17" s="41">
        <f>'Nov 05'!$F17*'Nov 05'!$I17</f>
        <v>2265493.972344439</v>
      </c>
      <c r="L17" s="42">
        <f>'Nov 05'!$K17/$K$2</f>
        <v>1.2313586546560531E-2</v>
      </c>
      <c r="M17" s="36"/>
    </row>
    <row r="18" spans="1:15" s="47" customFormat="1" ht="12.75" customHeight="1" x14ac:dyDescent="0.25">
      <c r="A18" s="36" t="s">
        <v>140</v>
      </c>
      <c r="B18" s="36" t="s">
        <v>33</v>
      </c>
      <c r="C18" s="36" t="s">
        <v>34</v>
      </c>
      <c r="D18" s="37">
        <v>6.1539999999999997E-3</v>
      </c>
      <c r="E18" s="38">
        <f>'Nov 05'!$D18*$C$6*$C$2</f>
        <v>1132668.1009853941</v>
      </c>
      <c r="F18" s="38">
        <v>20.930004719207201</v>
      </c>
      <c r="G18" s="39">
        <f>'Nov 05'!$E18/'Nov 05'!$F18</f>
        <v>54116.953922421191</v>
      </c>
      <c r="H18" s="36">
        <v>52975</v>
      </c>
      <c r="I18" s="36">
        <f>ROUND(Table13895845679910111213144562678910111213141516171819202134567891011121314151617181920212223345[[#This Row],[Target Quantity]],0)</f>
        <v>54117</v>
      </c>
      <c r="J18" s="40">
        <f t="shared" si="0"/>
        <v>1142</v>
      </c>
      <c r="K18" s="41">
        <f>'Nov 05'!$F18*'Nov 05'!$I18</f>
        <v>1132669.0653893361</v>
      </c>
      <c r="L18" s="42">
        <f>'Nov 05'!$K18/$K$2</f>
        <v>6.1563697522665157E-3</v>
      </c>
      <c r="M18" s="36"/>
    </row>
    <row r="19" spans="1:15" s="47" customFormat="1" ht="12.75" customHeight="1" x14ac:dyDescent="0.25">
      <c r="A19" s="36" t="s">
        <v>140</v>
      </c>
      <c r="B19" s="36" t="s">
        <v>21</v>
      </c>
      <c r="C19" s="36" t="s">
        <v>22</v>
      </c>
      <c r="D19" s="37">
        <v>1.2307999999999999E-2</v>
      </c>
      <c r="E19" s="38">
        <f>'Nov 05'!$D19*$C$6*$C$2</f>
        <v>2265336.2019707882</v>
      </c>
      <c r="F19" s="38">
        <v>36.989995172379402</v>
      </c>
      <c r="G19" s="39">
        <f>'Nov 05'!$E19/'Nov 05'!$F19</f>
        <v>61241.862601331864</v>
      </c>
      <c r="H19" s="36">
        <v>60071</v>
      </c>
      <c r="I19" s="36">
        <f>ROUND(Table13895845679910111213144562678910111213141516171819202134567891011121314151617181920212223345[[#This Row],[Target Quantity]],0)</f>
        <v>61242</v>
      </c>
      <c r="J19" s="40">
        <f t="shared" si="0"/>
        <v>1171</v>
      </c>
      <c r="K19" s="41">
        <f>'Nov 05'!$F19*'Nov 05'!$I19</f>
        <v>2265341.2843468594</v>
      </c>
      <c r="L19" s="42">
        <f>'Nov 05'!$K19/$K$2</f>
        <v>1.2312756645048644E-2</v>
      </c>
      <c r="M19" s="36"/>
    </row>
    <row r="20" spans="1:15" s="47" customFormat="1" ht="12.75" customHeight="1" x14ac:dyDescent="0.25">
      <c r="A20" s="36" t="s">
        <v>140</v>
      </c>
      <c r="B20" s="36" t="s">
        <v>147</v>
      </c>
      <c r="C20" s="36" t="s">
        <v>148</v>
      </c>
      <c r="D20" s="37">
        <v>6.1539999999999997E-3</v>
      </c>
      <c r="E20" s="38">
        <f>'Nov 05'!$D20*$C$6*$C$2</f>
        <v>1132668.1009853941</v>
      </c>
      <c r="F20" s="38">
        <v>194.40003563791899</v>
      </c>
      <c r="G20" s="39">
        <f>'Nov 05'!$E20/'Nov 05'!$F20</f>
        <v>5826.4809328278734</v>
      </c>
      <c r="H20" s="36">
        <v>5612</v>
      </c>
      <c r="I20" s="36">
        <f>ROUND(Table13895845679910111213144562678910111213141516171819202134567891011121314151617181920212223345[[#This Row],[Target Quantity]],0)</f>
        <v>5826</v>
      </c>
      <c r="J20" s="40">
        <f t="shared" si="0"/>
        <v>214</v>
      </c>
      <c r="K20" s="41">
        <f>'Nov 05'!$F20*'Nov 05'!$I20</f>
        <v>1132574.6076265161</v>
      </c>
      <c r="L20" s="42">
        <f>'Nov 05'!$K20/$K$2</f>
        <v>6.1558563481914326E-3</v>
      </c>
      <c r="M20" s="36"/>
    </row>
    <row r="21" spans="1:15" s="47" customFormat="1" ht="12.75" customHeight="1" x14ac:dyDescent="0.25">
      <c r="A21" s="36" t="s">
        <v>140</v>
      </c>
      <c r="B21" s="36" t="s">
        <v>45</v>
      </c>
      <c r="C21" s="36" t="s">
        <v>46</v>
      </c>
      <c r="D21" s="37">
        <v>6.1539999999999997E-3</v>
      </c>
      <c r="E21" s="38">
        <f>'Nov 05'!$D21*$C$6*$C$2</f>
        <v>1132668.1009853941</v>
      </c>
      <c r="F21" s="38">
        <v>63.460026689312201</v>
      </c>
      <c r="G21" s="39">
        <f>'Nov 05'!$E21/'Nov 05'!$F21</f>
        <v>17848.528594712294</v>
      </c>
      <c r="H21" s="36">
        <v>16486</v>
      </c>
      <c r="I21" s="36">
        <f>ROUND(Table13895845679910111213144562678910111213141516171819202134567891011121314151617181920212223345[[#This Row],[Target Quantity]],0)</f>
        <v>17849</v>
      </c>
      <c r="J21" s="40">
        <f t="shared" si="0"/>
        <v>1363</v>
      </c>
      <c r="K21" s="41">
        <f>'Nov 05'!$F21*'Nov 05'!$I21</f>
        <v>1132698.0163775336</v>
      </c>
      <c r="L21" s="42">
        <f>'Nov 05'!$K21/$K$2</f>
        <v>6.1565271088974008E-3</v>
      </c>
      <c r="M21" s="36"/>
    </row>
    <row r="22" spans="1:15" s="47" customFormat="1" ht="12.75" customHeight="1" x14ac:dyDescent="0.25">
      <c r="A22" s="36" t="s">
        <v>140</v>
      </c>
      <c r="B22" s="36" t="s">
        <v>23</v>
      </c>
      <c r="C22" s="36" t="s">
        <v>24</v>
      </c>
      <c r="D22" s="37">
        <v>1.2307999999999999E-2</v>
      </c>
      <c r="E22" s="38">
        <f>'Nov 05'!$D22*$C$6*$C$2</f>
        <v>2265336.2019707882</v>
      </c>
      <c r="F22" s="38">
        <v>233.3</v>
      </c>
      <c r="G22" s="39">
        <f>'Nov 05'!$E22/'Nov 05'!$F22</f>
        <v>9709.9708614264382</v>
      </c>
      <c r="H22" s="36">
        <v>9250</v>
      </c>
      <c r="I22" s="36">
        <f>ROUND(Table13895845679910111213144562678910111213141516171819202134567891011121314151617181920212223345[[#This Row],[Target Quantity]],0)</f>
        <v>9710</v>
      </c>
      <c r="J22" s="40">
        <f t="shared" si="0"/>
        <v>460</v>
      </c>
      <c r="K22" s="41">
        <f>'Nov 05'!$F22*'Nov 05'!$I22</f>
        <v>2265343</v>
      </c>
      <c r="L22" s="42">
        <f>'Nov 05'!$K22/$K$2</f>
        <v>1.2312765970098142E-2</v>
      </c>
      <c r="M22" s="36"/>
    </row>
    <row r="23" spans="1:15" s="47" customFormat="1" ht="12.75" customHeight="1" x14ac:dyDescent="0.25">
      <c r="A23" s="36" t="s">
        <v>140</v>
      </c>
      <c r="B23" s="36" t="s">
        <v>172</v>
      </c>
      <c r="C23" s="36" t="s">
        <v>173</v>
      </c>
      <c r="D23" s="37">
        <v>6.1539999999999997E-3</v>
      </c>
      <c r="E23" s="38">
        <f>'Nov 05'!$D23*$C$6*$C$2</f>
        <v>1132668.1009853941</v>
      </c>
      <c r="F23" s="38">
        <v>29.769995113210602</v>
      </c>
      <c r="G23" s="39">
        <f>'Nov 05'!$E23/'Nov 05'!$F23</f>
        <v>38047.305573213423</v>
      </c>
      <c r="H23" s="36">
        <v>36834</v>
      </c>
      <c r="I23" s="36">
        <f>ROUND(Table13895845679910111213144562678910111213141516171819202134567891011121314151617181920212223345[[#This Row],[Target Quantity]],0)</f>
        <v>38047</v>
      </c>
      <c r="J23" s="40">
        <f t="shared" si="0"/>
        <v>1213</v>
      </c>
      <c r="K23" s="41">
        <f>'Nov 05'!$F23*'Nov 05'!$I23</f>
        <v>1132659.0040723237</v>
      </c>
      <c r="L23" s="42">
        <f>'Nov 05'!$K23/$K$2</f>
        <v>6.1563150662248328E-3</v>
      </c>
      <c r="M23" s="36"/>
    </row>
    <row r="24" spans="1:15" s="47" customFormat="1" ht="12.75" customHeight="1" x14ac:dyDescent="0.25">
      <c r="A24" s="36" t="s">
        <v>140</v>
      </c>
      <c r="B24" s="47" t="s">
        <v>11</v>
      </c>
      <c r="C24" s="36" t="s">
        <v>12</v>
      </c>
      <c r="D24" s="37">
        <v>1.2307999999999999E-2</v>
      </c>
      <c r="E24" s="38">
        <f>'Nov 05'!$D24*$C$6*$C$2</f>
        <v>2265336.2019707882</v>
      </c>
      <c r="F24" s="38">
        <v>2.3949697979587601</v>
      </c>
      <c r="G24" s="39">
        <f>'Nov 05'!$E24/'Nov 05'!$F24</f>
        <v>945872.55501156673</v>
      </c>
      <c r="H24" s="36">
        <v>960200</v>
      </c>
      <c r="I24" s="36">
        <v>945900</v>
      </c>
      <c r="J24" s="40">
        <f t="shared" si="0"/>
        <v>-14300</v>
      </c>
      <c r="K24" s="41">
        <f>'Nov 05'!$F24*'Nov 05'!$I24</f>
        <v>2265401.9318891913</v>
      </c>
      <c r="L24" s="42">
        <f>'Nov 05'!$K24/$K$2</f>
        <v>1.2313086281220912E-2</v>
      </c>
      <c r="M24" s="36"/>
    </row>
    <row r="25" spans="1:15" s="47" customFormat="1" ht="12.75" customHeight="1" x14ac:dyDescent="0.25">
      <c r="A25" s="36"/>
      <c r="B25" s="36"/>
      <c r="C25" s="36"/>
      <c r="D25" s="37"/>
      <c r="E25" s="38"/>
      <c r="F25" s="38"/>
      <c r="G25" s="39"/>
      <c r="H25" s="36"/>
      <c r="I25" s="36"/>
      <c r="J25" s="48"/>
      <c r="K25" s="38"/>
      <c r="L25" s="49"/>
      <c r="M25" s="36"/>
    </row>
    <row r="26" spans="1:15" s="56" customFormat="1" ht="12.75" customHeight="1" x14ac:dyDescent="0.25">
      <c r="A26" s="50" t="s">
        <v>149</v>
      </c>
      <c r="B26" s="50"/>
      <c r="C26" s="50"/>
      <c r="D26" s="51">
        <f>SUM(D9:D25)</f>
        <v>0.16000399999999998</v>
      </c>
      <c r="E26" s="52">
        <f>'Nov 05'!$D26*$C$6*$C$2</f>
        <v>29449370.625620242</v>
      </c>
      <c r="F26" s="53"/>
      <c r="G26" s="53"/>
      <c r="H26" s="50"/>
      <c r="I26" s="50"/>
      <c r="J26" s="54"/>
      <c r="K26" s="52">
        <f>SUM(K9:K25)</f>
        <v>29450162.233115885</v>
      </c>
      <c r="L26" s="55">
        <f>'Nov 05'!$K26/$K$2</f>
        <v>0.16006977987782814</v>
      </c>
      <c r="M26" s="50"/>
    </row>
    <row r="27" spans="1:15" s="47" customFormat="1" ht="12.75" customHeight="1" x14ac:dyDescent="0.25">
      <c r="A27" s="36"/>
      <c r="B27" s="36"/>
      <c r="C27" s="36"/>
      <c r="D27" s="37"/>
      <c r="E27" s="38"/>
      <c r="F27" s="38"/>
      <c r="G27" s="39"/>
      <c r="H27" s="36"/>
      <c r="I27" s="36"/>
      <c r="J27" s="48"/>
      <c r="K27" s="38"/>
      <c r="L27" s="42"/>
      <c r="M27" s="36"/>
    </row>
    <row r="28" spans="1:15" s="46" customFormat="1" ht="12.75" customHeight="1" x14ac:dyDescent="0.25">
      <c r="A28" s="57"/>
      <c r="B28" s="50" t="s">
        <v>35</v>
      </c>
      <c r="C28" s="57" t="s">
        <v>36</v>
      </c>
      <c r="D28" s="58">
        <v>0.02</v>
      </c>
      <c r="E28" s="59">
        <f>'Nov 05'!$D28*$C$6*$C$2</f>
        <v>3681079.3012200007</v>
      </c>
      <c r="F28" s="53">
        <v>18.2900011516526</v>
      </c>
      <c r="G28" s="60">
        <f>'Nov 05'!$E28/'Nov 05'!$F28</f>
        <v>201261.84086584355</v>
      </c>
      <c r="H28" s="57">
        <v>199713</v>
      </c>
      <c r="I28" s="57">
        <f>ROUND(Table13895845679910111213144562678910111213141516171819202134567891011121314151617181920212223345[[#This Row],[Target Quantity]],0)</f>
        <v>201262</v>
      </c>
      <c r="J28" s="61">
        <f>I28-H28</f>
        <v>1549</v>
      </c>
      <c r="K28" s="62">
        <f>'Nov 05'!$F28*'Nov 05'!$I28</f>
        <v>3681082.2117839055</v>
      </c>
      <c r="L28" s="55">
        <f>'Nov 05'!$K28/$K$2</f>
        <v>2.0007700286617292E-2</v>
      </c>
      <c r="M28" s="50"/>
      <c r="O28" s="44"/>
    </row>
    <row r="29" spans="1:15" s="46" customFormat="1" ht="12.75" customHeight="1" x14ac:dyDescent="0.25">
      <c r="A29" s="36"/>
      <c r="B29" s="36"/>
      <c r="C29" s="36"/>
      <c r="D29" s="37"/>
      <c r="E29" s="38"/>
      <c r="F29" s="38"/>
      <c r="G29" s="39"/>
      <c r="H29" s="36"/>
      <c r="I29" s="36"/>
      <c r="J29" s="48"/>
      <c r="K29" s="41"/>
      <c r="L29" s="42"/>
      <c r="M29" s="36"/>
      <c r="O29" s="44"/>
    </row>
    <row r="30" spans="1:15" s="4" customFormat="1" ht="25.5" x14ac:dyDescent="0.2">
      <c r="A30" s="36" t="s">
        <v>150</v>
      </c>
      <c r="B30" s="63" t="s">
        <v>98</v>
      </c>
      <c r="C30" s="64" t="s">
        <v>99</v>
      </c>
      <c r="D30" s="37">
        <v>3.1E-2</v>
      </c>
      <c r="E30" s="38">
        <f>'Nov 05'!$D30*$C$6*$C$2</f>
        <v>5705672.9168910012</v>
      </c>
      <c r="F30" s="38">
        <v>159255.48571428601</v>
      </c>
      <c r="G30" s="39">
        <f>'Nov 05'!$E30/'Nov 05'!$F30</f>
        <v>35.827167216878948</v>
      </c>
      <c r="H30" s="36">
        <v>35</v>
      </c>
      <c r="I30" s="36">
        <v>36</v>
      </c>
      <c r="J30" s="40">
        <f t="shared" ref="J30:J39" si="1">I30-H30</f>
        <v>1</v>
      </c>
      <c r="K30" s="41">
        <f>'Nov 05'!$F30*'Nov 05'!$I30</f>
        <v>5733197.4857142968</v>
      </c>
      <c r="L30" s="42">
        <f>'Nov 05'!$K30/$K$2</f>
        <v>3.1161514570621416E-2</v>
      </c>
      <c r="M30" s="65"/>
    </row>
    <row r="31" spans="1:15" s="4" customFormat="1" ht="25.5" x14ac:dyDescent="0.2">
      <c r="A31" s="36" t="s">
        <v>150</v>
      </c>
      <c r="B31" s="63" t="s">
        <v>102</v>
      </c>
      <c r="C31" s="64" t="s">
        <v>103</v>
      </c>
      <c r="D31" s="37">
        <v>3.1E-2</v>
      </c>
      <c r="E31" s="38">
        <f>'Nov 05'!$D31*$C$6*$C$2</f>
        <v>5705672.9168910012</v>
      </c>
      <c r="F31" s="38">
        <v>221718.76923076899</v>
      </c>
      <c r="G31" s="39">
        <f>'Nov 05'!$E31/'Nov 05'!$F31</f>
        <v>25.733829105610955</v>
      </c>
      <c r="H31" s="36">
        <v>26</v>
      </c>
      <c r="I31" s="36">
        <v>26</v>
      </c>
      <c r="J31" s="40">
        <f t="shared" si="1"/>
        <v>0</v>
      </c>
      <c r="K31" s="41">
        <f>'Nov 05'!$F31*'Nov 05'!$I31</f>
        <v>5764687.9999999935</v>
      </c>
      <c r="L31" s="42">
        <f>'Nov 05'!$K31/$K$2</f>
        <v>3.1332674228420614E-2</v>
      </c>
      <c r="M31" s="65"/>
    </row>
    <row r="32" spans="1:15" s="4" customFormat="1" ht="25.5" x14ac:dyDescent="0.2">
      <c r="A32" s="36" t="s">
        <v>150</v>
      </c>
      <c r="B32" s="63" t="s">
        <v>104</v>
      </c>
      <c r="C32" s="64" t="s">
        <v>105</v>
      </c>
      <c r="D32" s="37">
        <v>3.1E-2</v>
      </c>
      <c r="E32" s="38">
        <f>'Nov 05'!$D32*$C$6*$C$2</f>
        <v>5705672.9168910012</v>
      </c>
      <c r="F32" s="38">
        <v>175675.53125</v>
      </c>
      <c r="G32" s="39">
        <f>'Nov 05'!$E32/'Nov 05'!$F32</f>
        <v>32.478472535662256</v>
      </c>
      <c r="H32" s="36">
        <v>32</v>
      </c>
      <c r="I32" s="36">
        <v>32</v>
      </c>
      <c r="J32" s="40">
        <f t="shared" si="1"/>
        <v>0</v>
      </c>
      <c r="K32" s="41">
        <f>'Nov 05'!$F32*'Nov 05'!$I32</f>
        <v>5621617</v>
      </c>
      <c r="L32" s="42">
        <f>'Nov 05'!$K32/$K$2</f>
        <v>3.0555043759168132E-2</v>
      </c>
      <c r="M32" s="65"/>
    </row>
    <row r="33" spans="1:13" s="4" customFormat="1" ht="25.5" x14ac:dyDescent="0.2">
      <c r="A33" s="36" t="s">
        <v>150</v>
      </c>
      <c r="B33" s="63" t="s">
        <v>106</v>
      </c>
      <c r="C33" s="64" t="s">
        <v>107</v>
      </c>
      <c r="D33" s="37">
        <v>3.1E-2</v>
      </c>
      <c r="E33" s="38">
        <f>'Nov 05'!$D33*$C$6*$C$2</f>
        <v>5705672.9168910012</v>
      </c>
      <c r="F33" s="38">
        <v>125890.636363636</v>
      </c>
      <c r="G33" s="39">
        <f>'Nov 05'!$E33/'Nov 05'!$F33</f>
        <v>45.322456710840065</v>
      </c>
      <c r="H33" s="36">
        <v>44</v>
      </c>
      <c r="I33" s="36">
        <v>45</v>
      </c>
      <c r="J33" s="40">
        <f t="shared" si="1"/>
        <v>1</v>
      </c>
      <c r="K33" s="41">
        <f>'Nov 05'!$F33*'Nov 05'!$I33</f>
        <v>5665078.6363636199</v>
      </c>
      <c r="L33" s="42">
        <f>'Nov 05'!$K33/$K$2</f>
        <v>3.079126977757804E-2</v>
      </c>
      <c r="M33" s="65"/>
    </row>
    <row r="34" spans="1:13" s="4" customFormat="1" ht="25.5" x14ac:dyDescent="0.2">
      <c r="A34" s="36" t="s">
        <v>150</v>
      </c>
      <c r="B34" s="63" t="s">
        <v>108</v>
      </c>
      <c r="C34" s="64" t="s">
        <v>109</v>
      </c>
      <c r="D34" s="37">
        <v>3.1E-2</v>
      </c>
      <c r="E34" s="38">
        <f>'Nov 05'!$D34*$C$6*$C$2</f>
        <v>5705672.9168910012</v>
      </c>
      <c r="F34" s="38">
        <v>139202.20000000001</v>
      </c>
      <c r="G34" s="39">
        <f>'Nov 05'!$E34/'Nov 05'!$F34</f>
        <v>40.988381770482079</v>
      </c>
      <c r="H34" s="36">
        <v>40</v>
      </c>
      <c r="I34" s="36">
        <v>41</v>
      </c>
      <c r="J34" s="40">
        <f t="shared" si="1"/>
        <v>1</v>
      </c>
      <c r="K34" s="41">
        <f>'Nov 05'!$F34*'Nov 05'!$I34</f>
        <v>5707290.2000000002</v>
      </c>
      <c r="L34" s="42">
        <f>'Nov 05'!$K34/$K$2</f>
        <v>3.1020701304850799E-2</v>
      </c>
      <c r="M34" s="65"/>
    </row>
    <row r="35" spans="1:13" s="4" customFormat="1" ht="25.5" x14ac:dyDescent="0.2">
      <c r="A35" s="36" t="s">
        <v>150</v>
      </c>
      <c r="B35" s="63" t="s">
        <v>114</v>
      </c>
      <c r="C35" s="64" t="s">
        <v>115</v>
      </c>
      <c r="D35" s="37">
        <v>3.1E-2</v>
      </c>
      <c r="E35" s="38">
        <f>'Nov 05'!$D35*$C$6*$C$2</f>
        <v>5705672.9168910012</v>
      </c>
      <c r="F35" s="38">
        <v>220856.12</v>
      </c>
      <c r="G35" s="39">
        <f>'Nov 05'!$E35/'Nov 05'!$F35</f>
        <v>25.834343720658506</v>
      </c>
      <c r="H35" s="36">
        <v>25</v>
      </c>
      <c r="I35" s="36">
        <v>26</v>
      </c>
      <c r="J35" s="40">
        <f t="shared" si="1"/>
        <v>1</v>
      </c>
      <c r="K35" s="41">
        <f>'Nov 05'!$F35*'Nov 05'!$I35</f>
        <v>5742259.1200000001</v>
      </c>
      <c r="L35" s="42">
        <f>'Nov 05'!$K35/$K$2</f>
        <v>3.1210767060097174E-2</v>
      </c>
      <c r="M35" s="65"/>
    </row>
    <row r="36" spans="1:13" s="46" customFormat="1" ht="25.5" customHeight="1" x14ac:dyDescent="0.25">
      <c r="A36" s="36" t="s">
        <v>151</v>
      </c>
      <c r="B36" s="36" t="s">
        <v>152</v>
      </c>
      <c r="C36" s="36" t="s">
        <v>63</v>
      </c>
      <c r="D36" s="37">
        <v>3.1E-2</v>
      </c>
      <c r="E36" s="38">
        <f>'Nov 05'!$D36*$C$6*$C$2</f>
        <v>5705672.9168910012</v>
      </c>
      <c r="F36" s="38">
        <v>115651.55102040801</v>
      </c>
      <c r="G36" s="39">
        <f>'Nov 05'!$E36/'Nov 05'!$F36</f>
        <v>49.335031536967207</v>
      </c>
      <c r="H36" s="36">
        <v>49</v>
      </c>
      <c r="I36" s="36">
        <v>49</v>
      </c>
      <c r="J36" s="40">
        <f t="shared" si="1"/>
        <v>0</v>
      </c>
      <c r="K36" s="41">
        <f>'Nov 05'!$F36*'Nov 05'!$I36</f>
        <v>5666925.9999999925</v>
      </c>
      <c r="L36" s="42">
        <f>'Nov 05'!$K36/$K$2</f>
        <v>3.0801310710062139E-2</v>
      </c>
      <c r="M36" s="43"/>
    </row>
    <row r="37" spans="1:13" s="46" customFormat="1" ht="25.5" x14ac:dyDescent="0.25">
      <c r="A37" s="36" t="s">
        <v>151</v>
      </c>
      <c r="B37" s="36" t="s">
        <v>60</v>
      </c>
      <c r="C37" s="36" t="s">
        <v>61</v>
      </c>
      <c r="D37" s="37">
        <v>3.1E-2</v>
      </c>
      <c r="E37" s="38">
        <f>'Nov 05'!$D37*$C$6*$C$2</f>
        <v>5705672.9168910012</v>
      </c>
      <c r="F37" s="38">
        <v>134130.16666666701</v>
      </c>
      <c r="G37" s="39">
        <f>'Nov 05'!$E37/'Nov 05'!$F37</f>
        <v>42.538327198760804</v>
      </c>
      <c r="H37" s="36">
        <v>42</v>
      </c>
      <c r="I37" s="36">
        <v>43</v>
      </c>
      <c r="J37" s="40">
        <f t="shared" si="1"/>
        <v>1</v>
      </c>
      <c r="K37" s="41">
        <f>'Nov 05'!$F37*'Nov 05'!$I37</f>
        <v>5767597.1666666809</v>
      </c>
      <c r="L37" s="42">
        <f>'Nov 05'!$K37/$K$2</f>
        <v>3.1348486354149448E-2</v>
      </c>
      <c r="M37" s="43"/>
    </row>
    <row r="38" spans="1:13" s="46" customFormat="1" ht="25.5" x14ac:dyDescent="0.25">
      <c r="A38" s="36" t="s">
        <v>151</v>
      </c>
      <c r="B38" s="36" t="s">
        <v>56</v>
      </c>
      <c r="C38" s="36" t="s">
        <v>57</v>
      </c>
      <c r="D38" s="37">
        <v>3.1E-2</v>
      </c>
      <c r="E38" s="38">
        <f>'Nov 05'!$D38*$C$6*$C$2</f>
        <v>5705672.9168910012</v>
      </c>
      <c r="F38" s="38">
        <v>177561.21875</v>
      </c>
      <c r="G38" s="39">
        <f>'Nov 05'!$E38/'Nov 05'!$F38</f>
        <v>32.133553469940921</v>
      </c>
      <c r="H38" s="36">
        <v>32</v>
      </c>
      <c r="I38" s="36">
        <v>32</v>
      </c>
      <c r="J38" s="40">
        <f t="shared" si="1"/>
        <v>0</v>
      </c>
      <c r="K38" s="41">
        <f>'Nov 05'!$F38*'Nov 05'!$I38</f>
        <v>5681959</v>
      </c>
      <c r="L38" s="42">
        <f>'Nov 05'!$K38/$K$2</f>
        <v>3.0883019224326239E-2</v>
      </c>
      <c r="M38" s="43"/>
    </row>
    <row r="39" spans="1:13" s="46" customFormat="1" ht="25.5" x14ac:dyDescent="0.25">
      <c r="A39" s="36" t="s">
        <v>151</v>
      </c>
      <c r="B39" s="36" t="s">
        <v>66</v>
      </c>
      <c r="C39" s="36" t="s">
        <v>67</v>
      </c>
      <c r="D39" s="37">
        <v>3.1E-2</v>
      </c>
      <c r="E39" s="38">
        <f>'Nov 05'!$D39*$C$6*$C$2</f>
        <v>5705672.9168910012</v>
      </c>
      <c r="F39" s="38">
        <v>270624.57142857101</v>
      </c>
      <c r="G39" s="39">
        <f>'Nov 05'!$E39/'Nov 05'!$F39</f>
        <v>21.083351326052682</v>
      </c>
      <c r="H39" s="36">
        <v>21</v>
      </c>
      <c r="I39" s="36">
        <v>21</v>
      </c>
      <c r="J39" s="40">
        <f t="shared" si="1"/>
        <v>0</v>
      </c>
      <c r="K39" s="41">
        <f>'Nov 05'!$F39*'Nov 05'!$I39</f>
        <v>5683115.9999999916</v>
      </c>
      <c r="L39" s="42">
        <f>'Nov 05'!$K39/$K$2</f>
        <v>3.0889307839439842E-2</v>
      </c>
      <c r="M39" s="43"/>
    </row>
    <row r="40" spans="1:13" s="67" customFormat="1" ht="12.75" x14ac:dyDescent="0.2">
      <c r="A40" s="36"/>
      <c r="B40" s="64"/>
      <c r="C40" s="64"/>
      <c r="D40" s="37"/>
      <c r="E40" s="66"/>
      <c r="F40" s="38"/>
      <c r="G40" s="39"/>
      <c r="H40" s="36"/>
      <c r="I40" s="36"/>
      <c r="J40" s="48"/>
      <c r="K40" s="38"/>
      <c r="L40" s="49"/>
      <c r="M40" s="65"/>
    </row>
    <row r="41" spans="1:13" s="17" customFormat="1" ht="12.75" x14ac:dyDescent="0.2">
      <c r="A41" s="50" t="s">
        <v>153</v>
      </c>
      <c r="B41" s="68"/>
      <c r="C41" s="68"/>
      <c r="D41" s="58">
        <f>SUBTOTAL(9,D30:D40)</f>
        <v>0.31000000000000005</v>
      </c>
      <c r="E41" s="69">
        <f>'Nov 05'!$D41*$C$6*$C$2</f>
        <v>57056729.168910012</v>
      </c>
      <c r="F41" s="70"/>
      <c r="G41" s="71"/>
      <c r="H41" s="57"/>
      <c r="I41" s="57"/>
      <c r="J41" s="61"/>
      <c r="K41" s="69">
        <f>SUM(K30:K40)</f>
        <v>57033728.608744577</v>
      </c>
      <c r="L41" s="72">
        <f>'Nov 05'!$K41/$K$2</f>
        <v>0.30999409482871387</v>
      </c>
      <c r="M41" s="73"/>
    </row>
    <row r="42" spans="1:13" s="67" customFormat="1" ht="12.75" x14ac:dyDescent="0.2">
      <c r="A42" s="36"/>
      <c r="B42" s="64"/>
      <c r="C42" s="64"/>
      <c r="D42" s="37"/>
      <c r="E42" s="66"/>
      <c r="F42" s="38"/>
      <c r="G42" s="39"/>
      <c r="H42" s="36"/>
      <c r="I42" s="36"/>
      <c r="J42" s="48"/>
      <c r="K42" s="38"/>
      <c r="L42" s="42"/>
      <c r="M42" s="65"/>
    </row>
    <row r="43" spans="1:13" s="4" customFormat="1" ht="24.75" customHeight="1" x14ac:dyDescent="0.2">
      <c r="A43" s="36" t="s">
        <v>150</v>
      </c>
      <c r="B43" s="64" t="s">
        <v>110</v>
      </c>
      <c r="C43" s="64" t="s">
        <v>111</v>
      </c>
      <c r="D43" s="37">
        <v>0.1</v>
      </c>
      <c r="E43" s="38">
        <f>'Nov 05'!$D43*$C$6*$C$2</f>
        <v>18405396.506100003</v>
      </c>
      <c r="F43" s="38">
        <v>416340.81395348802</v>
      </c>
      <c r="G43" s="39">
        <f>'Nov 05'!$E43/'Nov 05'!$F43</f>
        <v>44.207523954536398</v>
      </c>
      <c r="H43" s="36">
        <v>43</v>
      </c>
      <c r="I43" s="36">
        <v>44</v>
      </c>
      <c r="J43" s="40">
        <f>I43-H43</f>
        <v>1</v>
      </c>
      <c r="K43" s="41">
        <f>'Nov 05'!$F43*'Nov 05'!$I43</f>
        <v>18318995.813953474</v>
      </c>
      <c r="L43" s="42">
        <f>'Nov 05'!$K43/$K$2</f>
        <v>9.9568810667707563E-2</v>
      </c>
      <c r="M43" s="65"/>
    </row>
    <row r="44" spans="1:13" s="46" customFormat="1" ht="25.5" x14ac:dyDescent="0.25">
      <c r="A44" s="36" t="s">
        <v>151</v>
      </c>
      <c r="B44" s="36" t="s">
        <v>68</v>
      </c>
      <c r="C44" s="36" t="s">
        <v>69</v>
      </c>
      <c r="D44" s="37">
        <v>0.1</v>
      </c>
      <c r="E44" s="38">
        <f>'Nov 05'!$D44*$C$6*$C$2</f>
        <v>18405396.506100003</v>
      </c>
      <c r="F44" s="38">
        <v>249393.65277777801</v>
      </c>
      <c r="G44" s="39">
        <f>'Nov 05'!$E44/'Nov 05'!$F44</f>
        <v>73.800581133875582</v>
      </c>
      <c r="H44" s="36">
        <v>72</v>
      </c>
      <c r="I44" s="36">
        <v>74</v>
      </c>
      <c r="J44" s="40">
        <f>I44-H44</f>
        <v>2</v>
      </c>
      <c r="K44" s="41">
        <f>'Nov 05'!$F44*'Nov 05'!$I44</f>
        <v>18455130.305555575</v>
      </c>
      <c r="L44" s="42">
        <f>'Nov 05'!$K44/$K$2</f>
        <v>0.10030873929465499</v>
      </c>
      <c r="M44" s="43"/>
    </row>
    <row r="45" spans="1:13" s="46" customFormat="1" ht="25.5" x14ac:dyDescent="0.25">
      <c r="A45" s="36" t="s">
        <v>151</v>
      </c>
      <c r="B45" s="36" t="s">
        <v>92</v>
      </c>
      <c r="C45" s="36" t="s">
        <v>93</v>
      </c>
      <c r="D45" s="37">
        <v>0.1</v>
      </c>
      <c r="E45" s="38">
        <f>'Nov 05'!$D45*$C$6*$C$2</f>
        <v>18405396.506100003</v>
      </c>
      <c r="F45" s="38">
        <v>416317.39534883702</v>
      </c>
      <c r="G45" s="39">
        <f>'Nov 05'!$E45/'Nov 05'!$F45</f>
        <v>44.210010707522599</v>
      </c>
      <c r="H45" s="36">
        <v>43</v>
      </c>
      <c r="I45" s="36">
        <v>44</v>
      </c>
      <c r="J45" s="40">
        <f>I45-H45</f>
        <v>1</v>
      </c>
      <c r="K45" s="41">
        <f>'Nov 05'!$F45*'Nov 05'!$I45</f>
        <v>18317965.395348828</v>
      </c>
      <c r="L45" s="42">
        <f>'Nov 05'!$K45/$K$2</f>
        <v>9.9563210057499643E-2</v>
      </c>
      <c r="M45" s="43"/>
    </row>
    <row r="46" spans="1:13" s="46" customFormat="1" ht="25.5" x14ac:dyDescent="0.25">
      <c r="A46" s="36" t="s">
        <v>151</v>
      </c>
      <c r="B46" s="36" t="s">
        <v>95</v>
      </c>
      <c r="C46" s="36" t="s">
        <v>96</v>
      </c>
      <c r="D46" s="37">
        <v>0.1</v>
      </c>
      <c r="E46" s="38">
        <f>'Nov 05'!$D46*$C$6*$C$2</f>
        <v>18405396.506100003</v>
      </c>
      <c r="F46" s="38">
        <v>249786.77777777801</v>
      </c>
      <c r="G46" s="39">
        <f>'Nov 05'!$E46/'Nov 05'!$F46</f>
        <v>73.684430656591047</v>
      </c>
      <c r="H46" s="36">
        <v>72</v>
      </c>
      <c r="I46" s="36">
        <v>74</v>
      </c>
      <c r="J46" s="40">
        <f>I46-H46</f>
        <v>2</v>
      </c>
      <c r="K46" s="41">
        <f>'Nov 05'!$F46*'Nov 05'!$I46</f>
        <v>18484221.555555575</v>
      </c>
      <c r="L46" s="42">
        <f>'Nov 05'!$K46/$K$2</f>
        <v>0.10046685828724358</v>
      </c>
      <c r="M46" s="43"/>
    </row>
    <row r="47" spans="1:13" s="46" customFormat="1" ht="25.5" x14ac:dyDescent="0.25">
      <c r="A47" s="36" t="s">
        <v>151</v>
      </c>
      <c r="B47" s="36" t="s">
        <v>77</v>
      </c>
      <c r="C47" s="36" t="s">
        <v>78</v>
      </c>
      <c r="D47" s="37">
        <v>0.1</v>
      </c>
      <c r="E47" s="38">
        <f>'Nov 05'!$D47*$C$6*$C$2</f>
        <v>18405396.506100003</v>
      </c>
      <c r="F47" s="38">
        <v>162704.26785714299</v>
      </c>
      <c r="G47" s="39">
        <f>'Nov 05'!$E47/'Nov 05'!$F47</f>
        <v>113.12178069145821</v>
      </c>
      <c r="H47" s="36">
        <v>112</v>
      </c>
      <c r="I47" s="36">
        <v>113</v>
      </c>
      <c r="J47" s="40">
        <f>I47-H47</f>
        <v>1</v>
      </c>
      <c r="K47" s="41">
        <f>'Nov 05'!$F47*'Nov 05'!$I47</f>
        <v>18385582.267857157</v>
      </c>
      <c r="L47" s="42">
        <f>'Nov 05'!$K47/$K$2</f>
        <v>9.9930726467520117E-2</v>
      </c>
      <c r="M47" s="43"/>
    </row>
    <row r="48" spans="1:13" s="47" customFormat="1" ht="12.75" x14ac:dyDescent="0.25">
      <c r="A48" s="36"/>
      <c r="B48" s="36"/>
      <c r="C48" s="36"/>
      <c r="D48" s="37"/>
      <c r="E48" s="38"/>
      <c r="F48" s="38"/>
      <c r="G48" s="39"/>
      <c r="H48" s="36"/>
      <c r="I48" s="36"/>
      <c r="J48" s="48"/>
      <c r="K48" s="38"/>
      <c r="L48" s="42"/>
      <c r="M48" s="36"/>
    </row>
    <row r="49" spans="1:16" s="56" customFormat="1" ht="25.5" x14ac:dyDescent="0.25">
      <c r="A49" s="50" t="s">
        <v>154</v>
      </c>
      <c r="B49" s="50"/>
      <c r="C49" s="50"/>
      <c r="D49" s="58">
        <f>SUBTOTAL(9,D43:D48)</f>
        <v>0.5</v>
      </c>
      <c r="E49" s="52">
        <f>'Nov 05'!$D49*$C$6*$C$2</f>
        <v>92026982.53050001</v>
      </c>
      <c r="F49" s="71"/>
      <c r="G49" s="71"/>
      <c r="H49" s="57"/>
      <c r="I49" s="57"/>
      <c r="J49" s="61"/>
      <c r="K49" s="52">
        <f>SUM(K43:K48)</f>
        <v>91961895.338270605</v>
      </c>
      <c r="L49" s="74">
        <f>'Nov 05'!$K49/$K$2</f>
        <v>0.49983834477462591</v>
      </c>
      <c r="M49" s="50"/>
    </row>
    <row r="50" spans="1:16" s="47" customFormat="1" ht="12.75" x14ac:dyDescent="0.25">
      <c r="A50" s="36"/>
      <c r="B50" s="36"/>
      <c r="C50" s="36"/>
      <c r="D50" s="37"/>
      <c r="E50" s="38"/>
      <c r="F50" s="38"/>
      <c r="G50" s="39"/>
      <c r="H50" s="36"/>
      <c r="I50" s="36"/>
      <c r="J50" s="48"/>
      <c r="K50" s="38"/>
      <c r="L50" s="42"/>
      <c r="M50" s="36"/>
    </row>
    <row r="51" spans="1:16" s="46" customFormat="1" ht="12.75" x14ac:dyDescent="0.25">
      <c r="A51" s="36"/>
      <c r="B51" s="36"/>
      <c r="C51" s="36"/>
      <c r="D51" s="37"/>
      <c r="E51" s="38"/>
      <c r="F51" s="38"/>
      <c r="G51" s="75"/>
      <c r="H51" s="36"/>
      <c r="I51" s="36"/>
      <c r="J51" s="40"/>
      <c r="K51" s="41"/>
      <c r="L51" s="42"/>
      <c r="M51" s="43"/>
    </row>
    <row r="52" spans="1:16" s="46" customFormat="1" ht="25.5" x14ac:dyDescent="0.25">
      <c r="A52" s="36" t="s">
        <v>155</v>
      </c>
      <c r="B52" s="36" t="s">
        <v>156</v>
      </c>
      <c r="C52" s="36" t="s">
        <v>54</v>
      </c>
      <c r="D52" s="37">
        <v>1E-3</v>
      </c>
      <c r="E52" s="38">
        <f>'Nov 05'!$D52*$C$6*$C$2</f>
        <v>184053.96506100002</v>
      </c>
      <c r="F52" s="38">
        <v>47162.25</v>
      </c>
      <c r="G52" s="75">
        <f>'Nov 05'!$E52/'Nov 05'!$F52</f>
        <v>3.9025696412066861</v>
      </c>
      <c r="H52" s="36">
        <v>4</v>
      </c>
      <c r="I52" s="36">
        <v>4</v>
      </c>
      <c r="J52" s="40">
        <f t="shared" ref="J52:J61" si="2">I52-H52</f>
        <v>0</v>
      </c>
      <c r="K52" s="41">
        <f>'Nov 05'!$F52*'Nov 05'!$I52</f>
        <v>188649</v>
      </c>
      <c r="L52" s="42">
        <f>'Nov 05'!$K52/$K$2</f>
        <v>1.0253595095723008E-3</v>
      </c>
      <c r="M52" s="43"/>
    </row>
    <row r="53" spans="1:16" s="46" customFormat="1" ht="25.5" x14ac:dyDescent="0.25">
      <c r="A53" s="36" t="s">
        <v>155</v>
      </c>
      <c r="B53" s="36" t="s">
        <v>71</v>
      </c>
      <c r="C53" s="36" t="s">
        <v>72</v>
      </c>
      <c r="D53" s="37">
        <v>1E-3</v>
      </c>
      <c r="E53" s="38">
        <f>'Nov 05'!$D53*$C$6*$C$2</f>
        <v>184053.96506100002</v>
      </c>
      <c r="F53" s="38">
        <v>77178.5</v>
      </c>
      <c r="G53" s="75">
        <f>'Nov 05'!$E53/'Nov 05'!$F53</f>
        <v>2.3847828742590234</v>
      </c>
      <c r="H53" s="36">
        <v>2</v>
      </c>
      <c r="I53" s="36">
        <v>2</v>
      </c>
      <c r="J53" s="40">
        <f t="shared" si="2"/>
        <v>0</v>
      </c>
      <c r="K53" s="41">
        <f>'Nov 05'!$F53*'Nov 05'!$I53</f>
        <v>154357</v>
      </c>
      <c r="L53" s="42">
        <f>'Nov 05'!$K53/$K$2</f>
        <v>8.3897300181316433E-4</v>
      </c>
      <c r="M53" s="43"/>
      <c r="P53" s="46" t="s">
        <v>159</v>
      </c>
    </row>
    <row r="54" spans="1:16" s="46" customFormat="1" ht="25.5" x14ac:dyDescent="0.25">
      <c r="A54" s="36" t="s">
        <v>155</v>
      </c>
      <c r="B54" s="36" t="s">
        <v>160</v>
      </c>
      <c r="C54" s="36" t="s">
        <v>84</v>
      </c>
      <c r="D54" s="37">
        <v>1E-3</v>
      </c>
      <c r="E54" s="38">
        <f>'Nov 05'!$D54*$C$6*$C$2</f>
        <v>184053.96506100002</v>
      </c>
      <c r="F54" s="38">
        <v>92178</v>
      </c>
      <c r="G54" s="75">
        <f>'Nov 05'!$E54/'Nov 05'!$F54</f>
        <v>1.9967233511358462</v>
      </c>
      <c r="H54" s="36">
        <v>2</v>
      </c>
      <c r="I54" s="36">
        <v>2</v>
      </c>
      <c r="J54" s="40">
        <f t="shared" si="2"/>
        <v>0</v>
      </c>
      <c r="K54" s="41">
        <f>'Nov 05'!$F54*'Nov 05'!$I54</f>
        <v>184356</v>
      </c>
      <c r="L54" s="42">
        <f>'Nov 05'!$K54/$K$2</f>
        <v>1.0020258668040174E-3</v>
      </c>
      <c r="M54" s="43"/>
    </row>
    <row r="55" spans="1:16" s="46" customFormat="1" ht="25.5" x14ac:dyDescent="0.25">
      <c r="A55" s="36" t="s">
        <v>155</v>
      </c>
      <c r="B55" s="36" t="s">
        <v>161</v>
      </c>
      <c r="C55" s="36" t="s">
        <v>86</v>
      </c>
      <c r="D55" s="37">
        <v>1E-3</v>
      </c>
      <c r="E55" s="38">
        <f>'Nov 05'!$D55*$C$6*$C$2</f>
        <v>184053.96506100002</v>
      </c>
      <c r="F55" s="38">
        <v>234273</v>
      </c>
      <c r="G55" s="75">
        <f>'Nov 05'!$E55/'Nov 05'!$F55</f>
        <v>0.7856388276113766</v>
      </c>
      <c r="H55" s="36">
        <v>1</v>
      </c>
      <c r="I55" s="36">
        <v>1</v>
      </c>
      <c r="J55" s="40">
        <f t="shared" si="2"/>
        <v>0</v>
      </c>
      <c r="K55" s="41">
        <f>'Nov 05'!$F55*'Nov 05'!$I55</f>
        <v>234273</v>
      </c>
      <c r="L55" s="42">
        <f>'Nov 05'!$K55/$K$2</f>
        <v>1.2733385726191584E-3</v>
      </c>
      <c r="M55" s="43"/>
    </row>
    <row r="56" spans="1:16" s="46" customFormat="1" ht="25.5" x14ac:dyDescent="0.25">
      <c r="A56" s="36" t="s">
        <v>155</v>
      </c>
      <c r="B56" s="36" t="s">
        <v>87</v>
      </c>
      <c r="C56" s="36" t="s">
        <v>88</v>
      </c>
      <c r="D56" s="37">
        <v>1E-3</v>
      </c>
      <c r="E56" s="38">
        <f>'Nov 05'!$D56*$C$6*$C$2</f>
        <v>184053.96506100002</v>
      </c>
      <c r="F56" s="38">
        <v>11313.9375</v>
      </c>
      <c r="G56" s="75">
        <f>'Nov 05'!$E56/'Nov 05'!$F56</f>
        <v>16.267896571021364</v>
      </c>
      <c r="H56" s="36">
        <v>16</v>
      </c>
      <c r="I56" s="36">
        <v>16</v>
      </c>
      <c r="J56" s="40">
        <f t="shared" si="2"/>
        <v>0</v>
      </c>
      <c r="K56" s="41">
        <f>'Nov 05'!$F56*'Nov 05'!$I56</f>
        <v>181023</v>
      </c>
      <c r="L56" s="42">
        <f>'Nov 05'!$K56/$K$2</f>
        <v>9.8391008964429497E-4</v>
      </c>
      <c r="M56" s="43"/>
    </row>
    <row r="57" spans="1:16" s="46" customFormat="1" ht="25.5" x14ac:dyDescent="0.25">
      <c r="A57" s="36" t="s">
        <v>155</v>
      </c>
      <c r="B57" s="36" t="s">
        <v>162</v>
      </c>
      <c r="C57" s="36" t="s">
        <v>91</v>
      </c>
      <c r="D57" s="37">
        <v>1E-3</v>
      </c>
      <c r="E57" s="38">
        <f>'Nov 05'!$D57*$C$6*$C$2</f>
        <v>184053.96506100002</v>
      </c>
      <c r="F57" s="38">
        <v>90825.5</v>
      </c>
      <c r="G57" s="75">
        <f>'Nov 05'!$E57/'Nov 05'!$F57</f>
        <v>2.0264569428299324</v>
      </c>
      <c r="H57" s="36">
        <v>2</v>
      </c>
      <c r="I57" s="36">
        <v>2</v>
      </c>
      <c r="J57" s="40">
        <f t="shared" si="2"/>
        <v>0</v>
      </c>
      <c r="K57" s="41">
        <f>'Nov 05'!$F57*'Nov 05'!$I57</f>
        <v>181651</v>
      </c>
      <c r="L57" s="42">
        <f>'Nov 05'!$K57/$K$2</f>
        <v>9.8732344339656189E-4</v>
      </c>
      <c r="M57" s="43"/>
    </row>
    <row r="58" spans="1:16" s="4" customFormat="1" ht="25.5" x14ac:dyDescent="0.2">
      <c r="A58" s="36" t="s">
        <v>155</v>
      </c>
      <c r="B58" s="64" t="s">
        <v>163</v>
      </c>
      <c r="C58" s="64" t="s">
        <v>113</v>
      </c>
      <c r="D58" s="37">
        <v>1E-3</v>
      </c>
      <c r="E58" s="38">
        <f>'Nov 05'!$D58*$C$6*$C$2</f>
        <v>184053.96506100002</v>
      </c>
      <c r="F58" s="38">
        <v>64330.666666666701</v>
      </c>
      <c r="G58" s="75">
        <f>'Nov 05'!$E58/'Nov 05'!$F58</f>
        <v>2.861061055292446</v>
      </c>
      <c r="H58" s="36">
        <v>3</v>
      </c>
      <c r="I58" s="36">
        <v>3</v>
      </c>
      <c r="J58" s="40">
        <f t="shared" si="2"/>
        <v>0</v>
      </c>
      <c r="K58" s="41">
        <f>'Nov 05'!$F58*'Nov 05'!$I58</f>
        <v>192992.00000000012</v>
      </c>
      <c r="L58" s="42">
        <f>'Nov 05'!$K58/$K$2</f>
        <v>1.0489649161743639E-3</v>
      </c>
      <c r="M58" s="65"/>
    </row>
    <row r="59" spans="1:16" s="46" customFormat="1" ht="25.5" x14ac:dyDescent="0.25">
      <c r="A59" s="36" t="s">
        <v>155</v>
      </c>
      <c r="B59" s="36" t="s">
        <v>164</v>
      </c>
      <c r="C59" s="36" t="s">
        <v>82</v>
      </c>
      <c r="D59" s="37">
        <v>1E-3</v>
      </c>
      <c r="E59" s="38">
        <f>'Nov 05'!$D59*$C$6*$C$2</f>
        <v>184053.96506100002</v>
      </c>
      <c r="F59" s="38">
        <v>30360</v>
      </c>
      <c r="G59" s="75">
        <f>'Nov 05'!$E59/'Nov 05'!$F59</f>
        <v>6.0623835659090917</v>
      </c>
      <c r="H59" s="36">
        <v>6</v>
      </c>
      <c r="I59" s="36">
        <v>6</v>
      </c>
      <c r="J59" s="40">
        <f t="shared" si="2"/>
        <v>0</v>
      </c>
      <c r="K59" s="41">
        <f>'Nov 05'!$F59*'Nov 05'!$I59</f>
        <v>182160</v>
      </c>
      <c r="L59" s="42">
        <f>'Nov 05'!$K59/$K$2</f>
        <v>9.900899992244343E-4</v>
      </c>
      <c r="M59" s="43"/>
    </row>
    <row r="60" spans="1:16" s="46" customFormat="1" ht="25.5" x14ac:dyDescent="0.25">
      <c r="A60" s="36" t="s">
        <v>155</v>
      </c>
      <c r="B60" s="36" t="s">
        <v>100</v>
      </c>
      <c r="C60" s="36" t="s">
        <v>101</v>
      </c>
      <c r="D60" s="37">
        <v>1E-3</v>
      </c>
      <c r="E60" s="38">
        <f>'Nov 05'!$D60*$C$6*$C$2</f>
        <v>184053.96506100002</v>
      </c>
      <c r="F60" s="38">
        <v>7786.9583333333303</v>
      </c>
      <c r="G60" s="75">
        <f>'Nov 05'!$E60/'Nov 05'!$F60</f>
        <v>23.636182085773768</v>
      </c>
      <c r="H60" s="36">
        <v>24</v>
      </c>
      <c r="I60" s="36">
        <v>24</v>
      </c>
      <c r="J60" s="40">
        <f t="shared" si="2"/>
        <v>0</v>
      </c>
      <c r="K60" s="41">
        <f>'Nov 05'!$F60*'Nov 05'!$I60</f>
        <v>186886.99999999994</v>
      </c>
      <c r="L60" s="42">
        <f>'Nov 05'!$K60/$K$2</f>
        <v>1.0157825520699208E-3</v>
      </c>
      <c r="M60" s="43"/>
    </row>
    <row r="61" spans="1:16" s="46" customFormat="1" ht="25.5" x14ac:dyDescent="0.25">
      <c r="A61" s="36" t="s">
        <v>155</v>
      </c>
      <c r="B61" s="36" t="s">
        <v>174</v>
      </c>
      <c r="C61" s="36" t="s">
        <v>75</v>
      </c>
      <c r="D61" s="37">
        <v>1E-3</v>
      </c>
      <c r="E61" s="38">
        <f>'Nov 05'!$D61*$C$6*$C$2</f>
        <v>184053.96506100002</v>
      </c>
      <c r="F61" s="38">
        <v>28343</v>
      </c>
      <c r="G61" s="75">
        <f>'Nov 05'!$E61/'Nov 05'!$F61</f>
        <v>6.4938067621987798</v>
      </c>
      <c r="H61" s="36">
        <v>6</v>
      </c>
      <c r="I61" s="36">
        <v>6</v>
      </c>
      <c r="J61" s="40">
        <f t="shared" si="2"/>
        <v>0</v>
      </c>
      <c r="K61" s="41">
        <f>'Nov 05'!$F61*'Nov 05'!$I61</f>
        <v>170058</v>
      </c>
      <c r="L61" s="42">
        <f>'Nov 05'!$K61/$K$2</f>
        <v>9.2431228089651324E-4</v>
      </c>
      <c r="M61" s="43"/>
    </row>
    <row r="62" spans="1:16" s="46" customFormat="1" ht="12.75" x14ac:dyDescent="0.25">
      <c r="A62" s="36"/>
      <c r="B62" s="36"/>
      <c r="C62" s="36"/>
      <c r="D62" s="37"/>
      <c r="E62" s="38"/>
      <c r="F62" s="38"/>
      <c r="G62" s="39"/>
      <c r="H62" s="36"/>
      <c r="I62" s="36"/>
      <c r="J62" s="43"/>
      <c r="K62" s="41"/>
      <c r="L62" s="42"/>
      <c r="M62" s="43"/>
    </row>
    <row r="63" spans="1:16" s="46" customFormat="1" ht="12.75" x14ac:dyDescent="0.25">
      <c r="A63" s="36"/>
      <c r="B63" s="36"/>
      <c r="C63" s="36"/>
      <c r="D63" s="37"/>
      <c r="E63" s="38"/>
      <c r="F63" s="38"/>
      <c r="G63" s="39"/>
      <c r="H63" s="36"/>
      <c r="I63" s="36"/>
      <c r="J63" s="43"/>
      <c r="K63" s="41"/>
      <c r="L63" s="42"/>
      <c r="M63" s="43"/>
    </row>
    <row r="64" spans="1:16" s="17" customFormat="1" ht="12.75" x14ac:dyDescent="0.2">
      <c r="A64" s="50" t="s">
        <v>167</v>
      </c>
      <c r="B64" s="68"/>
      <c r="C64" s="68"/>
      <c r="D64" s="76">
        <f>SUM(D52:D63)</f>
        <v>1.0000000000000002E-2</v>
      </c>
      <c r="E64" s="52">
        <f>SUM(E51:E63)</f>
        <v>1840539.6506100006</v>
      </c>
      <c r="F64" s="71"/>
      <c r="G64" s="71"/>
      <c r="H64" s="68"/>
      <c r="I64" s="68"/>
      <c r="J64" s="50"/>
      <c r="K64" s="52">
        <f>SUM(K51:K63)</f>
        <v>1856406</v>
      </c>
      <c r="L64" s="55">
        <f>'Nov 05'!$K64/$K$2</f>
        <v>1.009008023221473E-2</v>
      </c>
      <c r="M64" s="62"/>
    </row>
    <row r="65" spans="1:13" s="4" customFormat="1" ht="12.75" x14ac:dyDescent="0.2">
      <c r="A65" s="36"/>
      <c r="B65" s="64"/>
      <c r="C65" s="64"/>
      <c r="D65" s="77"/>
      <c r="E65" s="38"/>
      <c r="F65" s="38"/>
      <c r="G65" s="39"/>
      <c r="H65" s="64"/>
      <c r="I65" s="64"/>
      <c r="J65" s="36"/>
      <c r="K65" s="36"/>
      <c r="L65" s="42"/>
      <c r="M65" s="65"/>
    </row>
    <row r="66" spans="1:13" s="46" customFormat="1" ht="25.5" x14ac:dyDescent="0.25">
      <c r="A66" s="50" t="s">
        <v>168</v>
      </c>
      <c r="B66" s="57" t="s">
        <v>169</v>
      </c>
      <c r="C66" s="57" t="s">
        <v>170</v>
      </c>
      <c r="D66" s="58">
        <v>0</v>
      </c>
      <c r="E66" s="59">
        <f>'Nov 05'!$D66*$C$6*$C$2</f>
        <v>0</v>
      </c>
      <c r="F66" s="59">
        <v>0</v>
      </c>
      <c r="G66" s="60" t="s">
        <v>175</v>
      </c>
      <c r="H66" s="57">
        <v>0</v>
      </c>
      <c r="I66" s="57">
        <v>0</v>
      </c>
      <c r="J66" s="78">
        <f>I66-H66</f>
        <v>0</v>
      </c>
      <c r="K66" s="59">
        <f>'Nov 05'!$F66*'Nov 05'!$I66</f>
        <v>0</v>
      </c>
      <c r="L66" s="79">
        <f>'Nov 05'!$K66/$K$2</f>
        <v>0</v>
      </c>
      <c r="M66" s="57"/>
    </row>
    <row r="67" spans="1:13" s="4" customFormat="1" ht="12.75" x14ac:dyDescent="0.2">
      <c r="A67" s="36"/>
      <c r="B67" s="64"/>
      <c r="C67" s="64"/>
      <c r="D67" s="77"/>
      <c r="E67" s="38"/>
      <c r="F67" s="38"/>
      <c r="G67" s="39"/>
      <c r="H67" s="64"/>
      <c r="I67" s="64"/>
      <c r="J67" s="36"/>
      <c r="K67" s="36"/>
      <c r="L67" s="42"/>
      <c r="M67" s="65"/>
    </row>
    <row r="68" spans="1:13" s="4" customFormat="1" ht="12.75" x14ac:dyDescent="0.2">
      <c r="A68" s="36"/>
      <c r="B68" s="64"/>
      <c r="C68" s="64"/>
      <c r="D68" s="80"/>
      <c r="E68" s="66"/>
      <c r="F68" s="38"/>
      <c r="G68" s="39"/>
      <c r="H68" s="64"/>
      <c r="I68" s="64"/>
      <c r="J68" s="36"/>
      <c r="K68" s="36"/>
      <c r="L68" s="42"/>
      <c r="M68" s="65"/>
    </row>
    <row r="69" spans="1:13" s="17" customFormat="1" ht="12.75" x14ac:dyDescent="0.2">
      <c r="A69" s="50" t="s">
        <v>171</v>
      </c>
      <c r="B69" s="68"/>
      <c r="C69" s="68"/>
      <c r="D69" s="68"/>
      <c r="E69" s="81"/>
      <c r="F69" s="81"/>
      <c r="G69" s="50"/>
      <c r="H69" s="68"/>
      <c r="I69" s="68"/>
      <c r="J69" s="68"/>
      <c r="K69" s="81">
        <f>SUM(K26,K28,K41,K49,K64,K66:K66)</f>
        <v>183983274.39191496</v>
      </c>
      <c r="L69" s="55">
        <f>'Nov 05'!$K69/$K$2</f>
        <v>0.99999999999999989</v>
      </c>
      <c r="M69" s="68"/>
    </row>
    <row r="70" spans="1:13" s="4" customFormat="1" ht="12.75" x14ac:dyDescent="0.2">
      <c r="A70" s="65"/>
      <c r="B70" s="65"/>
      <c r="C70" s="65"/>
      <c r="D70" s="82"/>
      <c r="E70" s="83"/>
      <c r="F70" s="38"/>
      <c r="G70" s="84"/>
      <c r="H70" s="65"/>
      <c r="I70" s="65"/>
      <c r="J70" s="65"/>
      <c r="K70" s="65"/>
      <c r="L70" s="42"/>
      <c r="M70" s="65"/>
    </row>
    <row r="71" spans="1:13" s="4" customFormat="1" ht="12.75" x14ac:dyDescent="0.2">
      <c r="A71" s="65"/>
      <c r="B71" s="65"/>
      <c r="C71" s="65"/>
      <c r="D71" s="82"/>
      <c r="E71" s="83"/>
      <c r="F71" s="38"/>
      <c r="G71" s="84"/>
      <c r="H71" s="65"/>
      <c r="I71" s="65"/>
      <c r="J71" s="65"/>
      <c r="K71" s="65"/>
      <c r="L71" s="42"/>
      <c r="M71" s="65"/>
    </row>
    <row r="72" spans="1:13" s="4" customFormat="1" ht="12.75" x14ac:dyDescent="0.2">
      <c r="A72" s="65"/>
      <c r="B72" s="65"/>
      <c r="C72" s="65"/>
      <c r="D72" s="82"/>
      <c r="E72" s="83"/>
      <c r="F72" s="38"/>
      <c r="G72" s="84"/>
      <c r="H72" s="65"/>
      <c r="I72" s="65"/>
      <c r="J72" s="65"/>
      <c r="K72" s="65"/>
      <c r="L72" s="42"/>
      <c r="M72" s="65"/>
    </row>
    <row r="73" spans="1:13" s="4" customFormat="1" ht="12.75" x14ac:dyDescent="0.2">
      <c r="A73" s="65"/>
      <c r="B73" s="65"/>
      <c r="C73" s="65"/>
      <c r="D73" s="82"/>
      <c r="E73" s="83"/>
      <c r="F73" s="38"/>
      <c r="G73" s="84"/>
      <c r="H73" s="65"/>
      <c r="I73" s="65"/>
      <c r="J73" s="65"/>
      <c r="K73" s="65"/>
      <c r="L73" s="42"/>
      <c r="M73" s="65"/>
    </row>
    <row r="74" spans="1:13" s="4" customFormat="1" ht="12.75" x14ac:dyDescent="0.2">
      <c r="A74" s="65"/>
      <c r="B74" s="65"/>
      <c r="C74" s="65"/>
      <c r="D74" s="82"/>
      <c r="E74" s="83"/>
      <c r="F74" s="38"/>
      <c r="G74" s="84"/>
      <c r="H74" s="65"/>
      <c r="I74" s="65"/>
      <c r="J74" s="65"/>
      <c r="K74" s="65"/>
      <c r="L74" s="42"/>
      <c r="M74" s="65"/>
    </row>
    <row r="75" spans="1:13" s="4" customFormat="1" ht="12.75" x14ac:dyDescent="0.2">
      <c r="A75" s="65"/>
      <c r="B75" s="65"/>
      <c r="C75" s="65"/>
      <c r="D75" s="82"/>
      <c r="E75" s="83"/>
      <c r="F75" s="38"/>
      <c r="G75" s="84"/>
      <c r="H75" s="65"/>
      <c r="I75" s="65"/>
      <c r="J75" s="65"/>
      <c r="K75" s="65"/>
      <c r="L75" s="42"/>
      <c r="M75" s="65"/>
    </row>
    <row r="76" spans="1:13" s="4" customFormat="1" ht="12.75" x14ac:dyDescent="0.2">
      <c r="A76" s="65"/>
      <c r="B76" s="65"/>
      <c r="C76" s="65"/>
      <c r="D76" s="82"/>
      <c r="E76" s="83"/>
      <c r="F76" s="38"/>
      <c r="G76" s="84"/>
      <c r="H76" s="65"/>
      <c r="I76" s="65"/>
      <c r="J76" s="65"/>
      <c r="K76" s="65"/>
      <c r="L76" s="42"/>
      <c r="M76" s="65"/>
    </row>
    <row r="77" spans="1:13" s="4" customFormat="1" ht="12.75" x14ac:dyDescent="0.2">
      <c r="A77" s="65"/>
      <c r="B77" s="65"/>
      <c r="C77" s="65"/>
      <c r="D77" s="82"/>
      <c r="E77" s="83"/>
      <c r="F77" s="38"/>
      <c r="G77" s="84"/>
      <c r="H77" s="65"/>
      <c r="I77" s="65"/>
      <c r="J77" s="65"/>
      <c r="K77" s="65"/>
      <c r="L77" s="42"/>
      <c r="M77" s="65"/>
    </row>
    <row r="78" spans="1:13" s="4" customFormat="1" ht="12.75" x14ac:dyDescent="0.2">
      <c r="A78" s="65"/>
      <c r="B78" s="65"/>
      <c r="C78" s="65"/>
      <c r="D78" s="82"/>
      <c r="E78" s="83"/>
      <c r="F78" s="38"/>
      <c r="G78" s="84"/>
      <c r="H78" s="65"/>
      <c r="I78" s="65"/>
      <c r="J78" s="65"/>
      <c r="K78" s="65"/>
      <c r="L78" s="42"/>
      <c r="M78" s="65"/>
    </row>
    <row r="79" spans="1:13" s="4" customFormat="1" ht="12.75" x14ac:dyDescent="0.2"/>
    <row r="80" spans="1:13" s="4" customFormat="1" ht="12.75" x14ac:dyDescent="0.2"/>
    <row r="82" spans="1:13" s="4" customFormat="1" ht="12.75" x14ac:dyDescent="0.2">
      <c r="A82" s="85"/>
      <c r="B82" s="85"/>
      <c r="E82" s="85"/>
      <c r="F82" s="85"/>
      <c r="G82" s="85"/>
      <c r="H82" s="86"/>
      <c r="M82" s="85"/>
    </row>
    <row r="83" spans="1:13" s="4" customFormat="1" ht="12.75" x14ac:dyDescent="0.2">
      <c r="A83" s="85"/>
      <c r="B83" s="85"/>
      <c r="E83" s="85"/>
      <c r="F83" s="85"/>
      <c r="G83" s="85"/>
      <c r="H83" s="86"/>
      <c r="M83" s="85"/>
    </row>
    <row r="84" spans="1:13" s="4" customFormat="1" ht="12.75" x14ac:dyDescent="0.2">
      <c r="A84" s="87"/>
      <c r="B84" s="87"/>
    </row>
    <row r="85" spans="1:13" s="4" customFormat="1" ht="12.75" x14ac:dyDescent="0.2">
      <c r="A85" s="88"/>
      <c r="B85" s="88"/>
      <c r="E85" s="88"/>
      <c r="F85" s="87"/>
      <c r="G85" s="87"/>
      <c r="M85" s="89"/>
    </row>
    <row r="86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H86"/>
  <sheetViews>
    <sheetView zoomScale="140" zoomScaleNormal="140" workbookViewId="0">
      <pane xSplit="2" topLeftCell="C1" activePane="topRight" state="frozen"/>
      <selection pane="topRight" activeCell="P28" sqref="P28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116</v>
      </c>
      <c r="C1" s="6">
        <v>44141</v>
      </c>
      <c r="D1" s="7"/>
      <c r="E1" s="8" t="s">
        <v>117</v>
      </c>
      <c r="F1" s="9"/>
      <c r="G1" s="10"/>
      <c r="K1" s="11" t="s">
        <v>118</v>
      </c>
      <c r="L1" s="11" t="s">
        <v>119</v>
      </c>
      <c r="M1" s="12" t="s">
        <v>120</v>
      </c>
    </row>
    <row r="2" spans="1:17" x14ac:dyDescent="0.25">
      <c r="A2" s="5"/>
      <c r="B2" s="5" t="s">
        <v>121</v>
      </c>
      <c r="C2" s="13">
        <v>7.03</v>
      </c>
      <c r="D2" s="14"/>
      <c r="E2" s="15">
        <f>SUM(E26,E41,E49,E64,E28,E66)</f>
        <v>189661135.7068083</v>
      </c>
      <c r="F2" s="16"/>
      <c r="G2" s="17"/>
      <c r="H2" s="14"/>
      <c r="I2" s="14"/>
      <c r="J2" s="14"/>
      <c r="K2" s="15">
        <f>SUM(K26,K41,K49,K64,K28,K66:K66)</f>
        <v>190504525.95833763</v>
      </c>
      <c r="L2" s="18">
        <f>SUM(L49,L64,L41,L26,L28,L66)</f>
        <v>0.99999999999999989</v>
      </c>
      <c r="M2" s="19">
        <f>K2/$C$6</f>
        <v>7.0612894385737262</v>
      </c>
      <c r="N2" s="20"/>
    </row>
    <row r="3" spans="1:17" ht="26.25" x14ac:dyDescent="0.25">
      <c r="A3" s="5"/>
      <c r="B3" s="5" t="s">
        <v>122</v>
      </c>
      <c r="C3" s="21">
        <v>26978716.510000002</v>
      </c>
      <c r="D3" s="22"/>
      <c r="E3" s="8" t="s">
        <v>123</v>
      </c>
      <c r="F3" s="16"/>
      <c r="H3" s="14"/>
      <c r="I3" s="14"/>
      <c r="J3" s="14"/>
      <c r="K3" s="8" t="s">
        <v>123</v>
      </c>
      <c r="L3" s="14"/>
      <c r="M3" s="12" t="s">
        <v>124</v>
      </c>
      <c r="N3" s="23"/>
    </row>
    <row r="4" spans="1:17" x14ac:dyDescent="0.25">
      <c r="A4" s="5"/>
      <c r="B4" s="5" t="s">
        <v>125</v>
      </c>
      <c r="C4" s="21">
        <v>0</v>
      </c>
      <c r="D4" s="22"/>
      <c r="E4" s="15">
        <f>SUM(E26,E64,E28)</f>
        <v>36036230.283915259</v>
      </c>
      <c r="F4" s="16"/>
      <c r="G4" s="17"/>
      <c r="H4" s="14"/>
      <c r="I4" s="14"/>
      <c r="J4" s="14"/>
      <c r="K4" s="15">
        <f>SUM(K26,K28,K64)</f>
        <v>36047407.257444642</v>
      </c>
      <c r="L4" s="14"/>
      <c r="M4" s="19">
        <f>K4/$C$6</f>
        <v>1.3361424085568792</v>
      </c>
      <c r="N4" s="23"/>
    </row>
    <row r="5" spans="1:17" x14ac:dyDescent="0.25">
      <c r="A5" s="5"/>
      <c r="B5" s="5" t="s">
        <v>126</v>
      </c>
      <c r="C5" s="21">
        <v>0</v>
      </c>
      <c r="D5" s="22"/>
      <c r="E5" s="16"/>
      <c r="F5" s="16"/>
      <c r="G5" s="24">
        <f>SUM(D26,D28,D41,D49,D64,D66:D66)</f>
        <v>1.0000039999999999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127</v>
      </c>
      <c r="C6" s="21">
        <f>C3+C4-C5</f>
        <v>26978716.510000002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128</v>
      </c>
      <c r="B8" s="30" t="s">
        <v>129</v>
      </c>
      <c r="C8" s="31" t="s">
        <v>1</v>
      </c>
      <c r="D8" s="31" t="s">
        <v>130</v>
      </c>
      <c r="E8" s="31" t="s">
        <v>131</v>
      </c>
      <c r="F8" s="31" t="s">
        <v>132</v>
      </c>
      <c r="G8" s="31" t="s">
        <v>133</v>
      </c>
      <c r="H8" s="31" t="s">
        <v>134</v>
      </c>
      <c r="I8" s="31" t="s">
        <v>135</v>
      </c>
      <c r="J8" s="31" t="s">
        <v>136</v>
      </c>
      <c r="K8" s="32" t="s">
        <v>137</v>
      </c>
      <c r="L8" s="32" t="s">
        <v>138</v>
      </c>
      <c r="M8" s="32" t="s">
        <v>139</v>
      </c>
      <c r="N8" s="33"/>
      <c r="Q8" s="35"/>
    </row>
    <row r="9" spans="1:17" s="46" customFormat="1" ht="12.75" customHeight="1" x14ac:dyDescent="0.25">
      <c r="A9" s="36" t="s">
        <v>140</v>
      </c>
      <c r="B9" s="36" t="s">
        <v>49</v>
      </c>
      <c r="C9" s="36" t="s">
        <v>50</v>
      </c>
      <c r="D9" s="37">
        <v>1.2307999999999999E-2</v>
      </c>
      <c r="E9" s="38">
        <f>'Nov 06'!$D9*$C$6*$C$2</f>
        <v>2334339.9209197126</v>
      </c>
      <c r="F9" s="38">
        <v>427.01005883469401</v>
      </c>
      <c r="G9" s="39">
        <f>'Nov 06'!$E9/'Nov 06'!$F9</f>
        <v>5466.7094430751868</v>
      </c>
      <c r="H9" s="36">
        <v>5269</v>
      </c>
      <c r="I9" s="36">
        <f>ROUND(Table138958456799101112131445626789101112131415161718192021345678910111213141516171819202122233456[[#This Row],[Target Quantity]],0)</f>
        <v>5467</v>
      </c>
      <c r="J9" s="40">
        <f t="shared" ref="J9:J24" si="0">I9-H9</f>
        <v>198</v>
      </c>
      <c r="K9" s="41">
        <f>'Nov 06'!$F9*'Nov 06'!$I9</f>
        <v>2334463.9916492719</v>
      </c>
      <c r="L9" s="42">
        <f>'Nov 06'!$K9/$K$2</f>
        <v>1.225411301860517E-2</v>
      </c>
      <c r="M9" s="43"/>
    </row>
    <row r="10" spans="1:17" s="46" customFormat="1" ht="12.75" customHeight="1" x14ac:dyDescent="0.25">
      <c r="A10" s="36" t="s">
        <v>140</v>
      </c>
      <c r="B10" s="36" t="s">
        <v>37</v>
      </c>
      <c r="C10" s="36" t="s">
        <v>38</v>
      </c>
      <c r="D10" s="37">
        <v>1.2307999999999999E-2</v>
      </c>
      <c r="E10" s="38">
        <f>'Nov 06'!$D10*$C$6*$C$2</f>
        <v>2334339.9209197126</v>
      </c>
      <c r="F10" s="38">
        <v>90</v>
      </c>
      <c r="G10" s="39">
        <f>'Nov 06'!$E10/'Nov 06'!$F10</f>
        <v>25937.110232441253</v>
      </c>
      <c r="H10" s="36">
        <v>24056</v>
      </c>
      <c r="I10" s="36">
        <f>ROUND(Table138958456799101112131445626789101112131415161718192021345678910111213141516171819202122233456[[#This Row],[Target Quantity]],0)</f>
        <v>25937</v>
      </c>
      <c r="J10" s="40">
        <f t="shared" si="0"/>
        <v>1881</v>
      </c>
      <c r="K10" s="41">
        <f>'Nov 06'!$F10*'Nov 06'!$I10</f>
        <v>2334330</v>
      </c>
      <c r="L10" s="42">
        <f>'Nov 06'!$K10/$K$2</f>
        <v>1.2253409667077967E-2</v>
      </c>
      <c r="M10" s="43"/>
    </row>
    <row r="11" spans="1:17" s="47" customFormat="1" ht="12.75" customHeight="1" x14ac:dyDescent="0.25">
      <c r="A11" s="36" t="s">
        <v>140</v>
      </c>
      <c r="B11" s="36" t="s">
        <v>27</v>
      </c>
      <c r="C11" s="36" t="s">
        <v>28</v>
      </c>
      <c r="D11" s="37">
        <v>1.2307999999999999E-2</v>
      </c>
      <c r="E11" s="38">
        <f>'Nov 06'!$D11*$C$6*$C$2</f>
        <v>2334339.9209197126</v>
      </c>
      <c r="F11" s="38">
        <v>236.77</v>
      </c>
      <c r="G11" s="39">
        <f>'Nov 06'!$E11/'Nov 06'!$F11</f>
        <v>9859.1034375964537</v>
      </c>
      <c r="H11" s="36">
        <v>9400</v>
      </c>
      <c r="I11" s="36">
        <f>ROUND(Table138958456799101112131445626789101112131415161718192021345678910111213141516171819202122233456[[#This Row],[Target Quantity]],0)</f>
        <v>9859</v>
      </c>
      <c r="J11" s="40">
        <f t="shared" si="0"/>
        <v>459</v>
      </c>
      <c r="K11" s="41">
        <f>'Nov 06'!$F11*'Nov 06'!$I11</f>
        <v>2334315.4300000002</v>
      </c>
      <c r="L11" s="42">
        <f>'Nov 06'!$K11/$K$2</f>
        <v>1.2253333185955399E-2</v>
      </c>
      <c r="M11" s="36"/>
    </row>
    <row r="12" spans="1:17" s="47" customFormat="1" ht="12.75" customHeight="1" x14ac:dyDescent="0.25">
      <c r="A12" s="36" t="s">
        <v>140</v>
      </c>
      <c r="B12" s="36" t="s">
        <v>51</v>
      </c>
      <c r="C12" s="36" t="s">
        <v>52</v>
      </c>
      <c r="D12" s="37">
        <v>1.2307999999999999E-2</v>
      </c>
      <c r="E12" s="38">
        <f>'Nov 06'!$D12*$C$6*$C$2</f>
        <v>2334339.9209197126</v>
      </c>
      <c r="F12" s="38">
        <v>487.97010331941101</v>
      </c>
      <c r="G12" s="39">
        <f>'Nov 06'!$E12/'Nov 06'!$F12</f>
        <v>4783.7765163078484</v>
      </c>
      <c r="H12" s="36">
        <v>4549</v>
      </c>
      <c r="I12" s="36">
        <f>ROUND(Table138958456799101112131445626789101112131415161718192021345678910111213141516171819202122233456[[#This Row],[Target Quantity]],0)</f>
        <v>4784</v>
      </c>
      <c r="J12" s="40">
        <f t="shared" si="0"/>
        <v>235</v>
      </c>
      <c r="K12" s="41">
        <f>'Nov 06'!$F12*'Nov 06'!$I12</f>
        <v>2334448.9742800621</v>
      </c>
      <c r="L12" s="42">
        <f>'Nov 06'!$K12/$K$2</f>
        <v>1.2254034189143592E-2</v>
      </c>
      <c r="M12" s="36"/>
    </row>
    <row r="13" spans="1:17" s="47" customFormat="1" ht="12.75" customHeight="1" x14ac:dyDescent="0.25">
      <c r="A13" s="36" t="s">
        <v>140</v>
      </c>
      <c r="B13" s="36" t="s">
        <v>41</v>
      </c>
      <c r="C13" s="36" t="s">
        <v>42</v>
      </c>
      <c r="D13" s="37">
        <v>1.2307999999999999E-2</v>
      </c>
      <c r="E13" s="38">
        <f>'Nov 06'!$D13*$C$6*$C$2</f>
        <v>2334339.9209197126</v>
      </c>
      <c r="F13" s="38">
        <v>1437.8</v>
      </c>
      <c r="G13" s="39">
        <f>'Nov 06'!$E13/'Nov 06'!$F13</f>
        <v>1623.5498128527699</v>
      </c>
      <c r="H13" s="36">
        <v>1660</v>
      </c>
      <c r="I13" s="36">
        <f>ROUND(Table138958456799101112131445626789101112131415161718192021345678910111213141516171819202122233456[[#This Row],[Target Quantity]],0)</f>
        <v>1624</v>
      </c>
      <c r="J13" s="40">
        <f t="shared" si="0"/>
        <v>-36</v>
      </c>
      <c r="K13" s="41">
        <f>'Nov 06'!$F13*'Nov 06'!$I13</f>
        <v>2334987.1999999997</v>
      </c>
      <c r="L13" s="42">
        <f>'Nov 06'!$K13/$K$2</f>
        <v>1.2256859453883261E-2</v>
      </c>
      <c r="M13" s="36"/>
    </row>
    <row r="14" spans="1:17" s="47" customFormat="1" ht="12.75" customHeight="1" x14ac:dyDescent="0.25">
      <c r="A14" s="36" t="s">
        <v>140</v>
      </c>
      <c r="B14" s="36" t="s">
        <v>31</v>
      </c>
      <c r="C14" s="36" t="s">
        <v>32</v>
      </c>
      <c r="D14" s="37">
        <v>1.2307999999999999E-2</v>
      </c>
      <c r="E14" s="38">
        <f>'Nov 06'!$D14*$C$6*$C$2</f>
        <v>2334339.9209197126</v>
      </c>
      <c r="F14" s="38">
        <v>279.06995003568898</v>
      </c>
      <c r="G14" s="39">
        <f>'Nov 06'!$E14/'Nov 06'!$F14</f>
        <v>8364.7125769764334</v>
      </c>
      <c r="H14" s="36">
        <v>8406</v>
      </c>
      <c r="I14" s="36">
        <f>ROUND(Table138958456799101112131445626789101112131415161718192021345678910111213141516171819202122233456[[#This Row],[Target Quantity]],0)</f>
        <v>8365</v>
      </c>
      <c r="J14" s="40">
        <f t="shared" si="0"/>
        <v>-41</v>
      </c>
      <c r="K14" s="41">
        <f>'Nov 06'!$F14*'Nov 06'!$I14</f>
        <v>2334420.1320485384</v>
      </c>
      <c r="L14" s="42">
        <f>'Nov 06'!$K14/$K$2</f>
        <v>1.225388278995043E-2</v>
      </c>
      <c r="M14" s="36"/>
    </row>
    <row r="15" spans="1:17" s="47" customFormat="1" ht="12.75" customHeight="1" x14ac:dyDescent="0.25">
      <c r="A15" s="36" t="s">
        <v>140</v>
      </c>
      <c r="B15" s="36" t="s">
        <v>29</v>
      </c>
      <c r="C15" s="36" t="s">
        <v>30</v>
      </c>
      <c r="D15" s="37">
        <v>6.1539999999999997E-3</v>
      </c>
      <c r="E15" s="38">
        <f>'Nov 06'!$D15*$C$6*$C$2</f>
        <v>1167169.9604598563</v>
      </c>
      <c r="F15" s="38">
        <v>18.750004083299299</v>
      </c>
      <c r="G15" s="39">
        <f>'Nov 06'!$E15/'Nov 06'!$F15</f>
        <v>62249.051001512002</v>
      </c>
      <c r="H15" s="36">
        <v>61225</v>
      </c>
      <c r="I15" s="36">
        <f>ROUND(Table138958456799101112131445626789101112131415161718192021345678910111213141516171819202122233456[[#This Row],[Target Quantity]],0)</f>
        <v>62249</v>
      </c>
      <c r="J15" s="40">
        <f t="shared" si="0"/>
        <v>1024</v>
      </c>
      <c r="K15" s="41">
        <f>'Nov 06'!$F15*'Nov 06'!$I15</f>
        <v>1167169.004181298</v>
      </c>
      <c r="L15" s="42">
        <f>'Nov 06'!$K15/$K$2</f>
        <v>6.1267258523640105E-3</v>
      </c>
      <c r="M15" s="36"/>
    </row>
    <row r="16" spans="1:17" s="47" customFormat="1" ht="12.75" customHeight="1" x14ac:dyDescent="0.25">
      <c r="A16" s="36" t="s">
        <v>140</v>
      </c>
      <c r="B16" s="36" t="s">
        <v>39</v>
      </c>
      <c r="C16" s="36" t="s">
        <v>40</v>
      </c>
      <c r="D16" s="37">
        <v>6.1539999999999997E-3</v>
      </c>
      <c r="E16" s="38">
        <f>'Nov 06'!$D16*$C$6*$C$2</f>
        <v>1167169.9604598563</v>
      </c>
      <c r="F16" s="38">
        <v>34.0399880987801</v>
      </c>
      <c r="G16" s="39">
        <f>'Nov 06'!$E16/'Nov 06'!$F16</f>
        <v>34288.20119069561</v>
      </c>
      <c r="H16" s="36">
        <v>33610</v>
      </c>
      <c r="I16" s="36">
        <f>ROUND(Table138958456799101112131445626789101112131415161718192021345678910111213141516171819202122233456[[#This Row],[Target Quantity]],0)</f>
        <v>34288</v>
      </c>
      <c r="J16" s="40">
        <f t="shared" si="0"/>
        <v>678</v>
      </c>
      <c r="K16" s="41">
        <f>'Nov 06'!$F16*'Nov 06'!$I16</f>
        <v>1167163.111930972</v>
      </c>
      <c r="L16" s="42">
        <f>'Nov 06'!$K16/$K$2</f>
        <v>6.1266949226509429E-3</v>
      </c>
      <c r="M16" s="36"/>
    </row>
    <row r="17" spans="1:15" s="47" customFormat="1" ht="12.75" customHeight="1" x14ac:dyDescent="0.25">
      <c r="A17" s="36" t="s">
        <v>140</v>
      </c>
      <c r="B17" s="36" t="s">
        <v>19</v>
      </c>
      <c r="C17" s="36" t="s">
        <v>20</v>
      </c>
      <c r="D17" s="37">
        <v>1.2307999999999999E-2</v>
      </c>
      <c r="E17" s="38">
        <f>'Nov 06'!$D17*$C$6*$C$2</f>
        <v>2334339.9209197126</v>
      </c>
      <c r="F17" s="38">
        <v>491.90994451557799</v>
      </c>
      <c r="G17" s="39">
        <f>'Nov 06'!$E17/'Nov 06'!$F17</f>
        <v>4745.4619426702566</v>
      </c>
      <c r="H17" s="36">
        <v>4686</v>
      </c>
      <c r="I17" s="36">
        <f>ROUND(Table138958456799101112131445626789101112131415161718192021345678910111213141516171819202122233456[[#This Row],[Target Quantity]],0)</f>
        <v>4745</v>
      </c>
      <c r="J17" s="40">
        <f t="shared" si="0"/>
        <v>59</v>
      </c>
      <c r="K17" s="41">
        <f>'Nov 06'!$F17*'Nov 06'!$I17</f>
        <v>2334112.6867264174</v>
      </c>
      <c r="L17" s="42">
        <f>'Nov 06'!$K17/$K$2</f>
        <v>1.225226894208737E-2</v>
      </c>
      <c r="M17" s="36"/>
    </row>
    <row r="18" spans="1:15" s="47" customFormat="1" ht="12.75" customHeight="1" x14ac:dyDescent="0.25">
      <c r="A18" s="36" t="s">
        <v>140</v>
      </c>
      <c r="B18" s="36" t="s">
        <v>33</v>
      </c>
      <c r="C18" s="36" t="s">
        <v>34</v>
      </c>
      <c r="D18" s="37">
        <v>6.1539999999999997E-3</v>
      </c>
      <c r="E18" s="38">
        <f>'Nov 06'!$D18*$C$6*$C$2</f>
        <v>1167169.9604598563</v>
      </c>
      <c r="F18" s="38">
        <v>21.299998152151801</v>
      </c>
      <c r="G18" s="39">
        <f>'Nov 06'!$E18/'Nov 06'!$F18</f>
        <v>54796.716512482169</v>
      </c>
      <c r="H18" s="36">
        <v>54117</v>
      </c>
      <c r="I18" s="36">
        <f>ROUND(Table138958456799101112131445626789101112131415161718192021345678910111213141516171819202122233456[[#This Row],[Target Quantity]],0)</f>
        <v>54797</v>
      </c>
      <c r="J18" s="40">
        <f t="shared" si="0"/>
        <v>680</v>
      </c>
      <c r="K18" s="41">
        <f>'Nov 06'!$F18*'Nov 06'!$I18</f>
        <v>1167175.9987434621</v>
      </c>
      <c r="L18" s="42">
        <f>'Nov 06'!$K18/$K$2</f>
        <v>6.1267625683534555E-3</v>
      </c>
      <c r="M18" s="36"/>
    </row>
    <row r="19" spans="1:15" s="47" customFormat="1" ht="12.75" customHeight="1" x14ac:dyDescent="0.25">
      <c r="A19" s="36" t="s">
        <v>140</v>
      </c>
      <c r="B19" s="36" t="s">
        <v>21</v>
      </c>
      <c r="C19" s="36" t="s">
        <v>22</v>
      </c>
      <c r="D19" s="37">
        <v>1.2307999999999999E-2</v>
      </c>
      <c r="E19" s="38">
        <f>'Nov 06'!$D19*$C$6*$C$2</f>
        <v>2334339.9209197126</v>
      </c>
      <c r="F19" s="38">
        <v>38.1999934685347</v>
      </c>
      <c r="G19" s="39">
        <f>'Nov 06'!$E19/'Nov 06'!$F19</f>
        <v>61108.385341544788</v>
      </c>
      <c r="H19" s="36">
        <v>61242</v>
      </c>
      <c r="I19" s="36">
        <f>ROUND(Table138958456799101112131445626789101112131415161718192021345678910111213141516171819202122233456[[#This Row],[Target Quantity]],0)</f>
        <v>61108</v>
      </c>
      <c r="J19" s="40">
        <f t="shared" si="0"/>
        <v>-134</v>
      </c>
      <c r="K19" s="41">
        <f>'Nov 06'!$F19*'Nov 06'!$I19</f>
        <v>2334325.2008752185</v>
      </c>
      <c r="L19" s="42">
        <f>'Nov 06'!$K19/$K$2</f>
        <v>1.2253384475420409E-2</v>
      </c>
      <c r="M19" s="36"/>
    </row>
    <row r="20" spans="1:15" s="47" customFormat="1" ht="12.75" customHeight="1" x14ac:dyDescent="0.25">
      <c r="A20" s="36" t="s">
        <v>140</v>
      </c>
      <c r="B20" s="36" t="s">
        <v>147</v>
      </c>
      <c r="C20" s="36" t="s">
        <v>148</v>
      </c>
      <c r="D20" s="37">
        <v>6.1539999999999997E-3</v>
      </c>
      <c r="E20" s="38">
        <f>'Nov 06'!$D20*$C$6*$C$2</f>
        <v>1167169.9604598563</v>
      </c>
      <c r="F20" s="38">
        <v>198.760041194645</v>
      </c>
      <c r="G20" s="39">
        <f>'Nov 06'!$E20/'Nov 06'!$F20</f>
        <v>5872.2565835899122</v>
      </c>
      <c r="H20" s="36">
        <v>5826</v>
      </c>
      <c r="I20" s="36">
        <f>ROUND(Table138958456799101112131445626789101112131415161718192021345678910111213141516171819202122233456[[#This Row],[Target Quantity]],0)</f>
        <v>5872</v>
      </c>
      <c r="J20" s="40">
        <f t="shared" si="0"/>
        <v>46</v>
      </c>
      <c r="K20" s="41">
        <f>'Nov 06'!$F20*'Nov 06'!$I20</f>
        <v>1167118.9618949555</v>
      </c>
      <c r="L20" s="42">
        <f>'Nov 06'!$K20/$K$2</f>
        <v>6.1264631694377611E-3</v>
      </c>
      <c r="M20" s="36"/>
    </row>
    <row r="21" spans="1:15" s="47" customFormat="1" ht="12.75" customHeight="1" x14ac:dyDescent="0.25">
      <c r="A21" s="36" t="s">
        <v>140</v>
      </c>
      <c r="B21" s="36" t="s">
        <v>45</v>
      </c>
      <c r="C21" s="36" t="s">
        <v>46</v>
      </c>
      <c r="D21" s="37">
        <v>6.1539999999999997E-3</v>
      </c>
      <c r="E21" s="38">
        <f>'Nov 06'!$D21*$C$6*$C$2</f>
        <v>1167169.9604598563</v>
      </c>
      <c r="F21" s="38">
        <v>64.489999439744494</v>
      </c>
      <c r="G21" s="39">
        <f>'Nov 06'!$E21/'Nov 06'!$F21</f>
        <v>18098.464422385186</v>
      </c>
      <c r="H21" s="36">
        <v>17849</v>
      </c>
      <c r="I21" s="36">
        <f>ROUND(Table138958456799101112131445626789101112131415161718192021345678910111213141516171819202122233456[[#This Row],[Target Quantity]],0)</f>
        <v>18098</v>
      </c>
      <c r="J21" s="40">
        <f t="shared" si="0"/>
        <v>249</v>
      </c>
      <c r="K21" s="41">
        <f>'Nov 06'!$F21*'Nov 06'!$I21</f>
        <v>1167140.0098604958</v>
      </c>
      <c r="L21" s="42">
        <f>'Nov 06'!$K21/$K$2</f>
        <v>6.1265736548209012E-3</v>
      </c>
      <c r="M21" s="36"/>
    </row>
    <row r="22" spans="1:15" s="47" customFormat="1" ht="12.75" customHeight="1" x14ac:dyDescent="0.25">
      <c r="A22" s="36" t="s">
        <v>140</v>
      </c>
      <c r="B22" s="36" t="s">
        <v>23</v>
      </c>
      <c r="C22" s="36" t="s">
        <v>24</v>
      </c>
      <c r="D22" s="37">
        <v>1.2307999999999999E-2</v>
      </c>
      <c r="E22" s="38">
        <f>'Nov 06'!$D22*$C$6*$C$2</f>
        <v>2334339.9209197126</v>
      </c>
      <c r="F22" s="38">
        <v>246.01997940267799</v>
      </c>
      <c r="G22" s="39">
        <f>'Nov 06'!$E22/'Nov 06'!$F22</f>
        <v>9488.4160489215246</v>
      </c>
      <c r="H22" s="36">
        <v>9710</v>
      </c>
      <c r="I22" s="36">
        <f>ROUND(Table138958456799101112131445626789101112131415161718192021345678910111213141516171819202122233456[[#This Row],[Target Quantity]],0)</f>
        <v>9488</v>
      </c>
      <c r="J22" s="40">
        <f t="shared" si="0"/>
        <v>-222</v>
      </c>
      <c r="K22" s="41">
        <f>'Nov 06'!$F22*'Nov 06'!$I22</f>
        <v>2334237.5645726086</v>
      </c>
      <c r="L22" s="42">
        <f>'Nov 06'!$K22/$K$2</f>
        <v>1.2252924453265191E-2</v>
      </c>
      <c r="M22" s="36"/>
    </row>
    <row r="23" spans="1:15" s="47" customFormat="1" ht="12.75" customHeight="1" x14ac:dyDescent="0.25">
      <c r="A23" s="36" t="s">
        <v>140</v>
      </c>
      <c r="B23" s="36" t="s">
        <v>172</v>
      </c>
      <c r="C23" s="36" t="s">
        <v>173</v>
      </c>
      <c r="D23" s="37">
        <v>6.1539999999999997E-3</v>
      </c>
      <c r="E23" s="38">
        <f>'Nov 06'!$D23*$C$6*$C$2</f>
        <v>1167169.9604598563</v>
      </c>
      <c r="F23" s="38">
        <v>31.290009724813999</v>
      </c>
      <c r="G23" s="39">
        <f>'Nov 06'!$E23/'Nov 06'!$F23</f>
        <v>37301.680975006297</v>
      </c>
      <c r="H23" s="36">
        <v>38047</v>
      </c>
      <c r="I23" s="36">
        <f>ROUND(Table138958456799101112131445626789101112131415161718192021345678910111213141516171819202122233456[[#This Row],[Target Quantity]],0)</f>
        <v>37302</v>
      </c>
      <c r="J23" s="40">
        <f t="shared" si="0"/>
        <v>-745</v>
      </c>
      <c r="K23" s="41">
        <f>'Nov 06'!$F23*'Nov 06'!$I23</f>
        <v>1167179.9427550118</v>
      </c>
      <c r="L23" s="42">
        <f>'Nov 06'!$K23/$K$2</f>
        <v>6.1267832713342895E-3</v>
      </c>
      <c r="M23" s="36"/>
    </row>
    <row r="24" spans="1:15" s="47" customFormat="1" ht="12.75" customHeight="1" x14ac:dyDescent="0.25">
      <c r="A24" s="36" t="s">
        <v>140</v>
      </c>
      <c r="B24" s="47" t="s">
        <v>11</v>
      </c>
      <c r="C24" s="36" t="s">
        <v>12</v>
      </c>
      <c r="D24" s="37">
        <v>1.2307999999999999E-2</v>
      </c>
      <c r="E24" s="38">
        <f>'Nov 06'!$D24*$C$6*$C$2</f>
        <v>2334339.9209197126</v>
      </c>
      <c r="F24" s="38">
        <v>2.3874828205941401</v>
      </c>
      <c r="G24" s="39">
        <f>'Nov 06'!$E24/'Nov 06'!$F24</f>
        <v>977741.03368785605</v>
      </c>
      <c r="H24" s="36">
        <v>945900</v>
      </c>
      <c r="I24" s="36">
        <v>977700</v>
      </c>
      <c r="J24" s="40">
        <f t="shared" si="0"/>
        <v>31800</v>
      </c>
      <c r="K24" s="41">
        <f>'Nov 06'!$F24*'Nov 06'!$I24</f>
        <v>2334241.9536948907</v>
      </c>
      <c r="L24" s="42">
        <f>'Nov 06'!$K24/$K$2</f>
        <v>1.2252947492729793E-2</v>
      </c>
      <c r="M24" s="36"/>
    </row>
    <row r="25" spans="1:15" s="47" customFormat="1" ht="12.75" customHeight="1" x14ac:dyDescent="0.25">
      <c r="A25" s="36"/>
      <c r="B25" s="36"/>
      <c r="C25" s="36"/>
      <c r="D25" s="37"/>
      <c r="E25" s="38"/>
      <c r="F25" s="38"/>
      <c r="G25" s="39"/>
      <c r="H25" s="36"/>
      <c r="I25" s="36"/>
      <c r="J25" s="48"/>
      <c r="K25" s="38"/>
      <c r="L25" s="49"/>
      <c r="M25" s="36"/>
    </row>
    <row r="26" spans="1:15" s="56" customFormat="1" ht="12.75" customHeight="1" x14ac:dyDescent="0.25">
      <c r="A26" s="50" t="s">
        <v>149</v>
      </c>
      <c r="B26" s="50"/>
      <c r="C26" s="50"/>
      <c r="D26" s="51">
        <f>SUM(D9:D25)</f>
        <v>0.16000399999999998</v>
      </c>
      <c r="E26" s="52">
        <f>'Nov 06'!$D26*$C$6*$C$2</f>
        <v>30346418.971956257</v>
      </c>
      <c r="F26" s="53"/>
      <c r="G26" s="53"/>
      <c r="H26" s="50"/>
      <c r="I26" s="50"/>
      <c r="J26" s="54"/>
      <c r="K26" s="52">
        <f>SUM(K9:K25)</f>
        <v>30346830.163213205</v>
      </c>
      <c r="L26" s="55">
        <f>'Nov 06'!$K26/$K$2</f>
        <v>0.15929716110707995</v>
      </c>
      <c r="M26" s="50"/>
    </row>
    <row r="27" spans="1:15" s="47" customFormat="1" ht="12.75" customHeight="1" x14ac:dyDescent="0.25">
      <c r="A27" s="36"/>
      <c r="B27" s="36"/>
      <c r="C27" s="36"/>
      <c r="D27" s="37"/>
      <c r="E27" s="38"/>
      <c r="F27" s="38"/>
      <c r="G27" s="39"/>
      <c r="H27" s="36"/>
      <c r="I27" s="36"/>
      <c r="J27" s="48"/>
      <c r="K27" s="38"/>
      <c r="L27" s="42"/>
      <c r="M27" s="36"/>
    </row>
    <row r="28" spans="1:15" s="46" customFormat="1" ht="12.75" customHeight="1" x14ac:dyDescent="0.25">
      <c r="A28" s="57"/>
      <c r="B28" s="50" t="s">
        <v>35</v>
      </c>
      <c r="C28" s="57" t="s">
        <v>36</v>
      </c>
      <c r="D28" s="58">
        <v>0.02</v>
      </c>
      <c r="E28" s="59">
        <f>'Nov 06'!$D28*$C$6*$C$2</f>
        <v>3793207.5413060007</v>
      </c>
      <c r="F28" s="53">
        <v>18.549999503135201</v>
      </c>
      <c r="G28" s="60">
        <f>'Nov 06'!$E28/'Nov 06'!$F28</f>
        <v>204485.58721874346</v>
      </c>
      <c r="H28" s="57">
        <v>201262</v>
      </c>
      <c r="I28" s="57">
        <f>ROUND(Table138958456799101112131445626789101112131415161718192021345678910111213141516171819202122233456[[#This Row],[Target Quantity]],0)</f>
        <v>204486</v>
      </c>
      <c r="J28" s="61">
        <f>I28-H28</f>
        <v>3224</v>
      </c>
      <c r="K28" s="62">
        <f>'Nov 06'!$F28*'Nov 06'!$I28</f>
        <v>3793215.1983981049</v>
      </c>
      <c r="L28" s="55">
        <f>'Nov 06'!$K28/$K$2</f>
        <v>1.9911417743574564E-2</v>
      </c>
      <c r="M28" s="50"/>
      <c r="O28" s="44"/>
    </row>
    <row r="29" spans="1:15" s="46" customFormat="1" ht="12.75" customHeight="1" x14ac:dyDescent="0.25">
      <c r="A29" s="36"/>
      <c r="B29" s="36"/>
      <c r="C29" s="36"/>
      <c r="D29" s="37"/>
      <c r="E29" s="38"/>
      <c r="F29" s="38"/>
      <c r="G29" s="39"/>
      <c r="H29" s="36"/>
      <c r="I29" s="36"/>
      <c r="J29" s="48"/>
      <c r="K29" s="41"/>
      <c r="L29" s="42"/>
      <c r="M29" s="36"/>
      <c r="O29" s="44"/>
    </row>
    <row r="30" spans="1:15" s="4" customFormat="1" ht="25.5" x14ac:dyDescent="0.2">
      <c r="A30" s="36" t="s">
        <v>150</v>
      </c>
      <c r="B30" s="63" t="s">
        <v>98</v>
      </c>
      <c r="C30" s="64" t="s">
        <v>99</v>
      </c>
      <c r="D30" s="37">
        <v>3.1E-2</v>
      </c>
      <c r="E30" s="38">
        <f>'Nov 06'!$D30*$C$6*$C$2</f>
        <v>5879471.6890243003</v>
      </c>
      <c r="F30" s="38">
        <v>158728.47222222199</v>
      </c>
      <c r="G30" s="39">
        <f>'Nov 06'!$E30/'Nov 06'!$F30</f>
        <v>37.04106520217092</v>
      </c>
      <c r="H30" s="36">
        <v>36</v>
      </c>
      <c r="I30" s="36">
        <v>37</v>
      </c>
      <c r="J30" s="40">
        <f t="shared" ref="J30:J39" si="1">I30-H30</f>
        <v>1</v>
      </c>
      <c r="K30" s="41">
        <f>'Nov 06'!$F30*'Nov 06'!$I30</f>
        <v>5872953.4722222136</v>
      </c>
      <c r="L30" s="42">
        <f>'Nov 06'!$K30/$K$2</f>
        <v>3.0828419653959289E-2</v>
      </c>
      <c r="M30" s="65"/>
    </row>
    <row r="31" spans="1:15" s="4" customFormat="1" ht="25.5" x14ac:dyDescent="0.2">
      <c r="A31" s="36" t="s">
        <v>150</v>
      </c>
      <c r="B31" s="63" t="s">
        <v>102</v>
      </c>
      <c r="C31" s="64" t="s">
        <v>103</v>
      </c>
      <c r="D31" s="37">
        <v>3.1E-2</v>
      </c>
      <c r="E31" s="38">
        <f>'Nov 06'!$D31*$C$6*$C$2</f>
        <v>5879471.6890243003</v>
      </c>
      <c r="F31" s="38">
        <v>220274.384615385</v>
      </c>
      <c r="G31" s="39">
        <f>'Nov 06'!$E31/'Nov 06'!$F31</f>
        <v>26.691581498639902</v>
      </c>
      <c r="H31" s="36">
        <v>26</v>
      </c>
      <c r="I31" s="36">
        <v>27</v>
      </c>
      <c r="J31" s="40">
        <f t="shared" si="1"/>
        <v>1</v>
      </c>
      <c r="K31" s="41">
        <f>'Nov 06'!$F31*'Nov 06'!$I31</f>
        <v>5947408.3846153952</v>
      </c>
      <c r="L31" s="42">
        <f>'Nov 06'!$K31/$K$2</f>
        <v>3.1219249803629667E-2</v>
      </c>
      <c r="M31" s="65"/>
    </row>
    <row r="32" spans="1:15" s="4" customFormat="1" ht="25.5" x14ac:dyDescent="0.2">
      <c r="A32" s="36" t="s">
        <v>150</v>
      </c>
      <c r="B32" s="63" t="s">
        <v>104</v>
      </c>
      <c r="C32" s="64" t="s">
        <v>105</v>
      </c>
      <c r="D32" s="37">
        <v>3.1E-2</v>
      </c>
      <c r="E32" s="38">
        <f>'Nov 06'!$D32*$C$6*$C$2</f>
        <v>5879471.6890243003</v>
      </c>
      <c r="F32" s="38">
        <v>174812.5</v>
      </c>
      <c r="G32" s="39">
        <f>'Nov 06'!$E32/'Nov 06'!$F32</f>
        <v>33.633016454911981</v>
      </c>
      <c r="H32" s="36">
        <v>32</v>
      </c>
      <c r="I32" s="36">
        <v>34</v>
      </c>
      <c r="J32" s="40">
        <f t="shared" si="1"/>
        <v>2</v>
      </c>
      <c r="K32" s="41">
        <f>'Nov 06'!$F32*'Nov 06'!$I32</f>
        <v>5943625</v>
      </c>
      <c r="L32" s="42">
        <f>'Nov 06'!$K32/$K$2</f>
        <v>3.1199389988770348E-2</v>
      </c>
      <c r="M32" s="65"/>
    </row>
    <row r="33" spans="1:13" s="4" customFormat="1" ht="25.5" x14ac:dyDescent="0.2">
      <c r="A33" s="36" t="s">
        <v>150</v>
      </c>
      <c r="B33" s="63" t="s">
        <v>106</v>
      </c>
      <c r="C33" s="64" t="s">
        <v>107</v>
      </c>
      <c r="D33" s="37">
        <v>3.1E-2</v>
      </c>
      <c r="E33" s="38">
        <f>'Nov 06'!$D33*$C$6*$C$2</f>
        <v>5879471.6890243003</v>
      </c>
      <c r="F33" s="38">
        <v>125811.33333333299</v>
      </c>
      <c r="G33" s="39">
        <f>'Nov 06'!$E33/'Nov 06'!$F33</f>
        <v>46.732448764745492</v>
      </c>
      <c r="H33" s="36">
        <v>45</v>
      </c>
      <c r="I33" s="36">
        <v>47</v>
      </c>
      <c r="J33" s="40">
        <f t="shared" si="1"/>
        <v>2</v>
      </c>
      <c r="K33" s="41">
        <f>'Nov 06'!$F33*'Nov 06'!$I33</f>
        <v>5913132.6666666511</v>
      </c>
      <c r="L33" s="42">
        <f>'Nov 06'!$K33/$K$2</f>
        <v>3.1039329049640654E-2</v>
      </c>
      <c r="M33" s="65"/>
    </row>
    <row r="34" spans="1:13" s="4" customFormat="1" ht="25.5" x14ac:dyDescent="0.2">
      <c r="A34" s="36" t="s">
        <v>150</v>
      </c>
      <c r="B34" s="63" t="s">
        <v>108</v>
      </c>
      <c r="C34" s="64" t="s">
        <v>109</v>
      </c>
      <c r="D34" s="37">
        <v>3.1E-2</v>
      </c>
      <c r="E34" s="38">
        <f>'Nov 06'!$D34*$C$6*$C$2</f>
        <v>5879471.6890243003</v>
      </c>
      <c r="F34" s="38">
        <v>138941.21951219501</v>
      </c>
      <c r="G34" s="39">
        <f>'Nov 06'!$E34/'Nov 06'!$F34</f>
        <v>42.31625222282041</v>
      </c>
      <c r="H34" s="36">
        <v>41</v>
      </c>
      <c r="I34" s="36">
        <v>42</v>
      </c>
      <c r="J34" s="40">
        <f t="shared" si="1"/>
        <v>1</v>
      </c>
      <c r="K34" s="41">
        <f>'Nov 06'!$F34*'Nov 06'!$I34</f>
        <v>5835531.2195121907</v>
      </c>
      <c r="L34" s="42">
        <f>'Nov 06'!$K34/$K$2</f>
        <v>3.0631982049541394E-2</v>
      </c>
      <c r="M34" s="65"/>
    </row>
    <row r="35" spans="1:13" s="4" customFormat="1" ht="25.5" x14ac:dyDescent="0.2">
      <c r="A35" s="36" t="s">
        <v>150</v>
      </c>
      <c r="B35" s="63" t="s">
        <v>114</v>
      </c>
      <c r="C35" s="64" t="s">
        <v>115</v>
      </c>
      <c r="D35" s="37">
        <v>3.1E-2</v>
      </c>
      <c r="E35" s="38">
        <f>'Nov 06'!$D35*$C$6*$C$2</f>
        <v>5879471.6890243003</v>
      </c>
      <c r="F35" s="38">
        <v>220835.92307692301</v>
      </c>
      <c r="G35" s="39">
        <f>'Nov 06'!$E35/'Nov 06'!$F35</f>
        <v>26.62371052275007</v>
      </c>
      <c r="H35" s="36">
        <v>26</v>
      </c>
      <c r="I35" s="36">
        <v>27</v>
      </c>
      <c r="J35" s="40">
        <f t="shared" si="1"/>
        <v>1</v>
      </c>
      <c r="K35" s="41">
        <f>'Nov 06'!$F35*'Nov 06'!$I35</f>
        <v>5962569.9230769211</v>
      </c>
      <c r="L35" s="42">
        <f>'Nov 06'!$K35/$K$2</f>
        <v>3.1298836041202004E-2</v>
      </c>
      <c r="M35" s="65"/>
    </row>
    <row r="36" spans="1:13" s="46" customFormat="1" ht="25.5" customHeight="1" x14ac:dyDescent="0.25">
      <c r="A36" s="36" t="s">
        <v>151</v>
      </c>
      <c r="B36" s="36" t="s">
        <v>152</v>
      </c>
      <c r="C36" s="36" t="s">
        <v>63</v>
      </c>
      <c r="D36" s="37">
        <v>3.1E-2</v>
      </c>
      <c r="E36" s="38">
        <f>'Nov 06'!$D36*$C$6*$C$2</f>
        <v>5879471.6890243003</v>
      </c>
      <c r="F36" s="38">
        <v>115840.346938776</v>
      </c>
      <c r="G36" s="39">
        <f>'Nov 06'!$E36/'Nov 06'!$F36</f>
        <v>50.754955802503957</v>
      </c>
      <c r="H36" s="36">
        <v>49</v>
      </c>
      <c r="I36" s="36">
        <v>51</v>
      </c>
      <c r="J36" s="40">
        <f t="shared" si="1"/>
        <v>2</v>
      </c>
      <c r="K36" s="41">
        <f>'Nov 06'!$F36*'Nov 06'!$I36</f>
        <v>5907857.6938775759</v>
      </c>
      <c r="L36" s="42">
        <f>'Nov 06'!$K36/$K$2</f>
        <v>3.1011639561621722E-2</v>
      </c>
      <c r="M36" s="43"/>
    </row>
    <row r="37" spans="1:13" s="46" customFormat="1" ht="25.5" x14ac:dyDescent="0.25">
      <c r="A37" s="36" t="s">
        <v>151</v>
      </c>
      <c r="B37" s="36" t="s">
        <v>60</v>
      </c>
      <c r="C37" s="36" t="s">
        <v>61</v>
      </c>
      <c r="D37" s="37">
        <v>3.1E-2</v>
      </c>
      <c r="E37" s="38">
        <f>'Nov 06'!$D37*$C$6*$C$2</f>
        <v>5879471.6890243003</v>
      </c>
      <c r="F37" s="38">
        <v>134699.51162790699</v>
      </c>
      <c r="G37" s="39">
        <f>'Nov 06'!$E37/'Nov 06'!$F37</f>
        <v>43.648797371038086</v>
      </c>
      <c r="H37" s="36">
        <v>43</v>
      </c>
      <c r="I37" s="36">
        <v>44</v>
      </c>
      <c r="J37" s="40">
        <f t="shared" si="1"/>
        <v>1</v>
      </c>
      <c r="K37" s="41">
        <f>'Nov 06'!$F37*'Nov 06'!$I37</f>
        <v>5926778.5116279079</v>
      </c>
      <c r="L37" s="42">
        <f>'Nov 06'!$K37/$K$2</f>
        <v>3.1110959079912171E-2</v>
      </c>
      <c r="M37" s="43"/>
    </row>
    <row r="38" spans="1:13" s="46" customFormat="1" ht="25.5" x14ac:dyDescent="0.25">
      <c r="A38" s="36" t="s">
        <v>151</v>
      </c>
      <c r="B38" s="36" t="s">
        <v>56</v>
      </c>
      <c r="C38" s="36" t="s">
        <v>57</v>
      </c>
      <c r="D38" s="37">
        <v>3.1E-2</v>
      </c>
      <c r="E38" s="38">
        <f>'Nov 06'!$D38*$C$6*$C$2</f>
        <v>5879471.6890243003</v>
      </c>
      <c r="F38" s="38">
        <v>178407.46875</v>
      </c>
      <c r="G38" s="39">
        <f>'Nov 06'!$E38/'Nov 06'!$F38</f>
        <v>32.955300191289219</v>
      </c>
      <c r="H38" s="36">
        <v>32</v>
      </c>
      <c r="I38" s="36">
        <v>33</v>
      </c>
      <c r="J38" s="40">
        <f t="shared" si="1"/>
        <v>1</v>
      </c>
      <c r="K38" s="41">
        <f>'Nov 06'!$F38*'Nov 06'!$I38</f>
        <v>5887446.46875</v>
      </c>
      <c r="L38" s="42">
        <f>'Nov 06'!$K38/$K$2</f>
        <v>3.0904496568430896E-2</v>
      </c>
      <c r="M38" s="43"/>
    </row>
    <row r="39" spans="1:13" s="46" customFormat="1" ht="25.5" x14ac:dyDescent="0.25">
      <c r="A39" s="36" t="s">
        <v>151</v>
      </c>
      <c r="B39" s="36" t="s">
        <v>66</v>
      </c>
      <c r="C39" s="36" t="s">
        <v>67</v>
      </c>
      <c r="D39" s="37">
        <v>3.1E-2</v>
      </c>
      <c r="E39" s="38">
        <f>'Nov 06'!$D39*$C$6*$C$2</f>
        <v>5879471.6890243003</v>
      </c>
      <c r="F39" s="38">
        <v>271730.28571428597</v>
      </c>
      <c r="G39" s="39">
        <f>'Nov 06'!$E39/'Nov 06'!$F39</f>
        <v>21.637160074259594</v>
      </c>
      <c r="H39" s="36">
        <v>21</v>
      </c>
      <c r="I39" s="36">
        <v>22</v>
      </c>
      <c r="J39" s="40">
        <f t="shared" si="1"/>
        <v>1</v>
      </c>
      <c r="K39" s="41">
        <f>'Nov 06'!$F39*'Nov 06'!$I39</f>
        <v>5978066.285714291</v>
      </c>
      <c r="L39" s="42">
        <f>'Nov 06'!$K39/$K$2</f>
        <v>3.1380179844239832E-2</v>
      </c>
      <c r="M39" s="43"/>
    </row>
    <row r="40" spans="1:13" s="67" customFormat="1" ht="12.75" x14ac:dyDescent="0.2">
      <c r="A40" s="36"/>
      <c r="B40" s="64"/>
      <c r="C40" s="64"/>
      <c r="D40" s="37"/>
      <c r="E40" s="66"/>
      <c r="F40" s="38"/>
      <c r="G40" s="39"/>
      <c r="H40" s="36"/>
      <c r="I40" s="36"/>
      <c r="J40" s="48"/>
      <c r="K40" s="38"/>
      <c r="L40" s="49"/>
      <c r="M40" s="65"/>
    </row>
    <row r="41" spans="1:13" s="17" customFormat="1" ht="12.75" x14ac:dyDescent="0.2">
      <c r="A41" s="50" t="s">
        <v>153</v>
      </c>
      <c r="B41" s="68"/>
      <c r="C41" s="68"/>
      <c r="D41" s="58">
        <f>SUBTOTAL(9,D30:D40)</f>
        <v>0.31000000000000005</v>
      </c>
      <c r="E41" s="69">
        <f>'Nov 06'!$D41*$C$6*$C$2</f>
        <v>58794716.890243016</v>
      </c>
      <c r="F41" s="70"/>
      <c r="G41" s="71"/>
      <c r="H41" s="57"/>
      <c r="I41" s="57"/>
      <c r="J41" s="61"/>
      <c r="K41" s="69">
        <f>SUM(K30:K40)</f>
        <v>59175369.626063146</v>
      </c>
      <c r="L41" s="72">
        <f>'Nov 06'!$K41/$K$2</f>
        <v>0.31062448164094797</v>
      </c>
      <c r="M41" s="73"/>
    </row>
    <row r="42" spans="1:13" s="67" customFormat="1" ht="12.75" x14ac:dyDescent="0.2">
      <c r="A42" s="36"/>
      <c r="B42" s="64"/>
      <c r="C42" s="64"/>
      <c r="D42" s="37"/>
      <c r="E42" s="66"/>
      <c r="F42" s="38"/>
      <c r="G42" s="39"/>
      <c r="H42" s="36"/>
      <c r="I42" s="36"/>
      <c r="J42" s="48"/>
      <c r="K42" s="38"/>
      <c r="L42" s="42"/>
      <c r="M42" s="65"/>
    </row>
    <row r="43" spans="1:13" s="4" customFormat="1" ht="24.75" customHeight="1" x14ac:dyDescent="0.2">
      <c r="A43" s="36" t="s">
        <v>150</v>
      </c>
      <c r="B43" s="64" t="s">
        <v>110</v>
      </c>
      <c r="C43" s="64" t="s">
        <v>111</v>
      </c>
      <c r="D43" s="37">
        <v>0.1</v>
      </c>
      <c r="E43" s="38">
        <f>'Nov 06'!$D43*$C$6*$C$2</f>
        <v>18966037.706530005</v>
      </c>
      <c r="F43" s="38">
        <v>416327.590909091</v>
      </c>
      <c r="G43" s="39">
        <f>'Nov 06'!$E43/'Nov 06'!$F43</f>
        <v>45.555562784382971</v>
      </c>
      <c r="H43" s="36">
        <v>44</v>
      </c>
      <c r="I43" s="36">
        <v>46</v>
      </c>
      <c r="J43" s="40">
        <f>I43-H43</f>
        <v>2</v>
      </c>
      <c r="K43" s="41">
        <f>'Nov 06'!$F43*'Nov 06'!$I43</f>
        <v>19151069.181818187</v>
      </c>
      <c r="L43" s="42">
        <f>'Nov 06'!$K43/$K$2</f>
        <v>0.10052815850688203</v>
      </c>
      <c r="M43" s="65"/>
    </row>
    <row r="44" spans="1:13" s="46" customFormat="1" ht="25.5" x14ac:dyDescent="0.25">
      <c r="A44" s="36" t="s">
        <v>151</v>
      </c>
      <c r="B44" s="36" t="s">
        <v>68</v>
      </c>
      <c r="C44" s="36" t="s">
        <v>69</v>
      </c>
      <c r="D44" s="37">
        <v>0.1</v>
      </c>
      <c r="E44" s="38">
        <f>'Nov 06'!$D44*$C$6*$C$2</f>
        <v>18966037.706530005</v>
      </c>
      <c r="F44" s="38">
        <v>249407.97297297299</v>
      </c>
      <c r="G44" s="39">
        <f>'Nov 06'!$E44/'Nov 06'!$F44</f>
        <v>76.044231787992004</v>
      </c>
      <c r="H44" s="36">
        <v>74</v>
      </c>
      <c r="I44" s="36">
        <v>76</v>
      </c>
      <c r="J44" s="40">
        <f>I44-H44</f>
        <v>2</v>
      </c>
      <c r="K44" s="41">
        <f>'Nov 06'!$F44*'Nov 06'!$I44</f>
        <v>18955005.945945948</v>
      </c>
      <c r="L44" s="42">
        <f>'Nov 06'!$K44/$K$2</f>
        <v>9.9498979620522565E-2</v>
      </c>
      <c r="M44" s="43"/>
    </row>
    <row r="45" spans="1:13" s="46" customFormat="1" ht="25.5" x14ac:dyDescent="0.25">
      <c r="A45" s="36" t="s">
        <v>151</v>
      </c>
      <c r="B45" s="36" t="s">
        <v>92</v>
      </c>
      <c r="C45" s="36" t="s">
        <v>93</v>
      </c>
      <c r="D45" s="37">
        <v>0.1</v>
      </c>
      <c r="E45" s="38">
        <f>'Nov 06'!$D45*$C$6*$C$2</f>
        <v>18966037.706530005</v>
      </c>
      <c r="F45" s="38">
        <v>416303.840909091</v>
      </c>
      <c r="G45" s="39">
        <f>'Nov 06'!$E45/'Nov 06'!$F45</f>
        <v>45.558161714562829</v>
      </c>
      <c r="H45" s="36">
        <v>44</v>
      </c>
      <c r="I45" s="36">
        <v>46</v>
      </c>
      <c r="J45" s="40">
        <f>I45-H45</f>
        <v>2</v>
      </c>
      <c r="K45" s="41">
        <f>'Nov 06'!$F45*'Nov 06'!$I45</f>
        <v>19149976.681818187</v>
      </c>
      <c r="L45" s="42">
        <f>'Nov 06'!$K45/$K$2</f>
        <v>0.10052242373499404</v>
      </c>
      <c r="M45" s="43"/>
    </row>
    <row r="46" spans="1:13" s="46" customFormat="1" ht="25.5" x14ac:dyDescent="0.25">
      <c r="A46" s="36" t="s">
        <v>151</v>
      </c>
      <c r="B46" s="36" t="s">
        <v>95</v>
      </c>
      <c r="C46" s="36" t="s">
        <v>96</v>
      </c>
      <c r="D46" s="37">
        <v>0.1</v>
      </c>
      <c r="E46" s="38">
        <f>'Nov 06'!$D46*$C$6*$C$2</f>
        <v>18966037.706530005</v>
      </c>
      <c r="F46" s="38">
        <v>249778.74324324299</v>
      </c>
      <c r="G46" s="39">
        <f>'Nov 06'!$E46/'Nov 06'!$F46</f>
        <v>75.931352124949385</v>
      </c>
      <c r="H46" s="36">
        <v>74</v>
      </c>
      <c r="I46" s="36">
        <v>76</v>
      </c>
      <c r="J46" s="40">
        <f>I46-H46</f>
        <v>2</v>
      </c>
      <c r="K46" s="41">
        <f>'Nov 06'!$F46*'Nov 06'!$I46</f>
        <v>18983184.486486468</v>
      </c>
      <c r="L46" s="42">
        <f>'Nov 06'!$K46/$K$2</f>
        <v>9.964689495428572E-2</v>
      </c>
      <c r="M46" s="43"/>
    </row>
    <row r="47" spans="1:13" s="46" customFormat="1" ht="25.5" x14ac:dyDescent="0.25">
      <c r="A47" s="36" t="s">
        <v>151</v>
      </c>
      <c r="B47" s="36" t="s">
        <v>77</v>
      </c>
      <c r="C47" s="36" t="s">
        <v>78</v>
      </c>
      <c r="D47" s="37">
        <v>0.1</v>
      </c>
      <c r="E47" s="38">
        <f>'Nov 06'!$D47*$C$6*$C$2</f>
        <v>18966037.706530005</v>
      </c>
      <c r="F47" s="38">
        <v>164159.59292035401</v>
      </c>
      <c r="G47" s="39">
        <f>'Nov 06'!$E47/'Nov 06'!$F47</f>
        <v>115.5341419232919</v>
      </c>
      <c r="H47" s="36">
        <v>113</v>
      </c>
      <c r="I47" s="36">
        <v>116</v>
      </c>
      <c r="J47" s="40">
        <f>I47-H47</f>
        <v>3</v>
      </c>
      <c r="K47" s="41">
        <f>'Nov 06'!$F47*'Nov 06'!$I47</f>
        <v>19042512.778761066</v>
      </c>
      <c r="L47" s="42">
        <f>'Nov 06'!$K47/$K$2</f>
        <v>9.9958322160417154E-2</v>
      </c>
      <c r="M47" s="43"/>
    </row>
    <row r="48" spans="1:13" s="47" customFormat="1" ht="12.75" x14ac:dyDescent="0.25">
      <c r="A48" s="36"/>
      <c r="B48" s="36"/>
      <c r="C48" s="36"/>
      <c r="D48" s="37"/>
      <c r="E48" s="38"/>
      <c r="F48" s="38"/>
      <c r="G48" s="39"/>
      <c r="H48" s="36"/>
      <c r="I48" s="36"/>
      <c r="J48" s="48"/>
      <c r="K48" s="38"/>
      <c r="L48" s="42"/>
      <c r="M48" s="36"/>
    </row>
    <row r="49" spans="1:16" s="56" customFormat="1" ht="25.5" x14ac:dyDescent="0.25">
      <c r="A49" s="50" t="s">
        <v>154</v>
      </c>
      <c r="B49" s="50"/>
      <c r="C49" s="50"/>
      <c r="D49" s="58">
        <f>SUBTOTAL(9,D43:D48)</f>
        <v>0.5</v>
      </c>
      <c r="E49" s="52">
        <f>'Nov 06'!$D49*$C$6*$C$2</f>
        <v>94830188.532650009</v>
      </c>
      <c r="F49" s="71"/>
      <c r="G49" s="71"/>
      <c r="H49" s="57"/>
      <c r="I49" s="57"/>
      <c r="J49" s="61"/>
      <c r="K49" s="52">
        <f>SUM(K43:K48)</f>
        <v>95281749.074829847</v>
      </c>
      <c r="L49" s="74">
        <f>'Nov 06'!$K49/$K$2</f>
        <v>0.50015477897710148</v>
      </c>
      <c r="M49" s="50"/>
    </row>
    <row r="50" spans="1:16" s="47" customFormat="1" ht="12.75" x14ac:dyDescent="0.25">
      <c r="A50" s="36"/>
      <c r="B50" s="36"/>
      <c r="C50" s="36"/>
      <c r="D50" s="37"/>
      <c r="E50" s="38"/>
      <c r="F50" s="38"/>
      <c r="G50" s="39"/>
      <c r="H50" s="36"/>
      <c r="I50" s="36"/>
      <c r="J50" s="48"/>
      <c r="K50" s="38"/>
      <c r="L50" s="42"/>
      <c r="M50" s="36"/>
    </row>
    <row r="51" spans="1:16" s="46" customFormat="1" ht="12.75" x14ac:dyDescent="0.25">
      <c r="A51" s="36"/>
      <c r="B51" s="36"/>
      <c r="C51" s="36"/>
      <c r="D51" s="37"/>
      <c r="E51" s="38"/>
      <c r="F51" s="38"/>
      <c r="G51" s="75"/>
      <c r="H51" s="36"/>
      <c r="I51" s="36"/>
      <c r="J51" s="40"/>
      <c r="K51" s="41"/>
      <c r="L51" s="42"/>
      <c r="M51" s="43"/>
    </row>
    <row r="52" spans="1:16" s="46" customFormat="1" ht="25.5" x14ac:dyDescent="0.25">
      <c r="A52" s="36" t="s">
        <v>155</v>
      </c>
      <c r="B52" s="36" t="s">
        <v>156</v>
      </c>
      <c r="C52" s="36" t="s">
        <v>54</v>
      </c>
      <c r="D52" s="37">
        <v>1E-3</v>
      </c>
      <c r="E52" s="38">
        <f>'Nov 06'!$D52*$C$6*$C$2</f>
        <v>189660.37706530001</v>
      </c>
      <c r="F52" s="38">
        <v>47145.5</v>
      </c>
      <c r="G52" s="75">
        <f>'Nov 06'!$E52/'Nov 06'!$F52</f>
        <v>4.022873382725817</v>
      </c>
      <c r="H52" s="36">
        <v>4</v>
      </c>
      <c r="I52" s="36">
        <v>4</v>
      </c>
      <c r="J52" s="40">
        <f t="shared" ref="J52:J61" si="2">I52-H52</f>
        <v>0</v>
      </c>
      <c r="K52" s="41">
        <f>'Nov 06'!$F52*'Nov 06'!$I52</f>
        <v>188582</v>
      </c>
      <c r="L52" s="42">
        <f>'Nov 06'!$K52/$K$2</f>
        <v>9.8990823998187797E-4</v>
      </c>
      <c r="M52" s="43"/>
    </row>
    <row r="53" spans="1:16" s="46" customFormat="1" ht="25.5" x14ac:dyDescent="0.25">
      <c r="A53" s="36" t="s">
        <v>155</v>
      </c>
      <c r="B53" s="36" t="s">
        <v>71</v>
      </c>
      <c r="C53" s="36" t="s">
        <v>72</v>
      </c>
      <c r="D53" s="37">
        <v>1E-3</v>
      </c>
      <c r="E53" s="38">
        <f>'Nov 06'!$D53*$C$6*$C$2</f>
        <v>189660.37706530001</v>
      </c>
      <c r="F53" s="38">
        <v>78525</v>
      </c>
      <c r="G53" s="75">
        <f>'Nov 06'!$E53/'Nov 06'!$F53</f>
        <v>2.4152865592524675</v>
      </c>
      <c r="H53" s="36">
        <v>2</v>
      </c>
      <c r="I53" s="36">
        <v>2</v>
      </c>
      <c r="J53" s="40">
        <f t="shared" si="2"/>
        <v>0</v>
      </c>
      <c r="K53" s="41">
        <f>'Nov 06'!$F53*'Nov 06'!$I53</f>
        <v>157050</v>
      </c>
      <c r="L53" s="42">
        <f>'Nov 06'!$K53/$K$2</f>
        <v>8.2438986270775552E-4</v>
      </c>
      <c r="M53" s="43"/>
      <c r="P53" s="46" t="s">
        <v>159</v>
      </c>
    </row>
    <row r="54" spans="1:16" s="46" customFormat="1" ht="25.5" x14ac:dyDescent="0.25">
      <c r="A54" s="36" t="s">
        <v>155</v>
      </c>
      <c r="B54" s="36" t="s">
        <v>160</v>
      </c>
      <c r="C54" s="36" t="s">
        <v>84</v>
      </c>
      <c r="D54" s="37">
        <v>1E-3</v>
      </c>
      <c r="E54" s="38">
        <f>'Nov 06'!$D54*$C$6*$C$2</f>
        <v>189660.37706530001</v>
      </c>
      <c r="F54" s="38">
        <v>92660.5</v>
      </c>
      <c r="G54" s="75">
        <f>'Nov 06'!$E54/'Nov 06'!$F54</f>
        <v>2.0468309265037421</v>
      </c>
      <c r="H54" s="36">
        <v>2</v>
      </c>
      <c r="I54" s="36">
        <v>2</v>
      </c>
      <c r="J54" s="40">
        <f t="shared" si="2"/>
        <v>0</v>
      </c>
      <c r="K54" s="41">
        <f>'Nov 06'!$F54*'Nov 06'!$I54</f>
        <v>185321</v>
      </c>
      <c r="L54" s="42">
        <f>'Nov 06'!$K54/$K$2</f>
        <v>9.7279053643339029E-4</v>
      </c>
      <c r="M54" s="43"/>
    </row>
    <row r="55" spans="1:16" s="46" customFormat="1" ht="25.5" x14ac:dyDescent="0.25">
      <c r="A55" s="36" t="s">
        <v>155</v>
      </c>
      <c r="B55" s="36" t="s">
        <v>161</v>
      </c>
      <c r="C55" s="36" t="s">
        <v>86</v>
      </c>
      <c r="D55" s="37">
        <v>1E-3</v>
      </c>
      <c r="E55" s="38">
        <f>'Nov 06'!$D55*$C$6*$C$2</f>
        <v>189660.37706530001</v>
      </c>
      <c r="F55" s="38">
        <v>239069</v>
      </c>
      <c r="G55" s="75">
        <f>'Nov 06'!$E55/'Nov 06'!$F55</f>
        <v>0.79332902662118476</v>
      </c>
      <c r="H55" s="36">
        <v>1</v>
      </c>
      <c r="I55" s="36">
        <v>1</v>
      </c>
      <c r="J55" s="40">
        <f t="shared" si="2"/>
        <v>0</v>
      </c>
      <c r="K55" s="41">
        <f>'Nov 06'!$F55*'Nov 06'!$I55</f>
        <v>239069</v>
      </c>
      <c r="L55" s="42">
        <f>'Nov 06'!$K55/$K$2</f>
        <v>1.25492556566495E-3</v>
      </c>
      <c r="M55" s="43"/>
    </row>
    <row r="56" spans="1:16" s="46" customFormat="1" ht="25.5" x14ac:dyDescent="0.25">
      <c r="A56" s="36" t="s">
        <v>155</v>
      </c>
      <c r="B56" s="36" t="s">
        <v>87</v>
      </c>
      <c r="C56" s="36" t="s">
        <v>88</v>
      </c>
      <c r="D56" s="37">
        <v>1E-3</v>
      </c>
      <c r="E56" s="38">
        <f>'Nov 06'!$D56*$C$6*$C$2</f>
        <v>189660.37706530001</v>
      </c>
      <c r="F56" s="38">
        <v>11410.6875</v>
      </c>
      <c r="G56" s="75">
        <f>'Nov 06'!$E56/'Nov 06'!$F56</f>
        <v>16.621292719242376</v>
      </c>
      <c r="H56" s="36">
        <v>16</v>
      </c>
      <c r="I56" s="36">
        <v>17</v>
      </c>
      <c r="J56" s="40">
        <f t="shared" si="2"/>
        <v>1</v>
      </c>
      <c r="K56" s="41">
        <f>'Nov 06'!$F56*'Nov 06'!$I56</f>
        <v>193981.6875</v>
      </c>
      <c r="L56" s="42">
        <f>'Nov 06'!$K56/$K$2</f>
        <v>1.018252382845869E-3</v>
      </c>
      <c r="M56" s="43"/>
    </row>
    <row r="57" spans="1:16" s="46" customFormat="1" ht="25.5" x14ac:dyDescent="0.25">
      <c r="A57" s="36" t="s">
        <v>155</v>
      </c>
      <c r="B57" s="36" t="s">
        <v>162</v>
      </c>
      <c r="C57" s="36" t="s">
        <v>91</v>
      </c>
      <c r="D57" s="37">
        <v>1E-3</v>
      </c>
      <c r="E57" s="38">
        <f>'Nov 06'!$D57*$C$6*$C$2</f>
        <v>189660.37706530001</v>
      </c>
      <c r="F57" s="38">
        <v>91129.5</v>
      </c>
      <c r="G57" s="75">
        <f>'Nov 06'!$E57/'Nov 06'!$F57</f>
        <v>2.0812182341097012</v>
      </c>
      <c r="H57" s="36">
        <v>2</v>
      </c>
      <c r="I57" s="36">
        <v>2</v>
      </c>
      <c r="J57" s="40">
        <f t="shared" si="2"/>
        <v>0</v>
      </c>
      <c r="K57" s="41">
        <f>'Nov 06'!$F57*'Nov 06'!$I57</f>
        <v>182259</v>
      </c>
      <c r="L57" s="42">
        <f>'Nov 06'!$K57/$K$2</f>
        <v>9.5671742748967077E-4</v>
      </c>
      <c r="M57" s="43"/>
    </row>
    <row r="58" spans="1:16" s="4" customFormat="1" ht="25.5" x14ac:dyDescent="0.2">
      <c r="A58" s="36" t="s">
        <v>155</v>
      </c>
      <c r="B58" s="64" t="s">
        <v>163</v>
      </c>
      <c r="C58" s="64" t="s">
        <v>113</v>
      </c>
      <c r="D58" s="37">
        <v>1E-3</v>
      </c>
      <c r="E58" s="38">
        <f>'Nov 06'!$D58*$C$6*$C$2</f>
        <v>189660.37706530001</v>
      </c>
      <c r="F58" s="38">
        <v>65090</v>
      </c>
      <c r="G58" s="75">
        <f>'Nov 06'!$E58/'Nov 06'!$F58</f>
        <v>2.9138174383976034</v>
      </c>
      <c r="H58" s="36">
        <v>3</v>
      </c>
      <c r="I58" s="36">
        <v>3</v>
      </c>
      <c r="J58" s="40">
        <f t="shared" si="2"/>
        <v>0</v>
      </c>
      <c r="K58" s="41">
        <f>'Nov 06'!$F58*'Nov 06'!$I58</f>
        <v>195270</v>
      </c>
      <c r="L58" s="42">
        <f>'Nov 06'!$K58/$K$2</f>
        <v>1.0250150174526801E-3</v>
      </c>
      <c r="M58" s="65"/>
    </row>
    <row r="59" spans="1:16" s="46" customFormat="1" ht="25.5" x14ac:dyDescent="0.25">
      <c r="A59" s="36" t="s">
        <v>155</v>
      </c>
      <c r="B59" s="36" t="s">
        <v>164</v>
      </c>
      <c r="C59" s="36" t="s">
        <v>82</v>
      </c>
      <c r="D59" s="37">
        <v>1E-3</v>
      </c>
      <c r="E59" s="38">
        <f>'Nov 06'!$D59*$C$6*$C$2</f>
        <v>189660.37706530001</v>
      </c>
      <c r="F59" s="38">
        <v>29360</v>
      </c>
      <c r="G59" s="75">
        <f>'Nov 06'!$E59/'Nov 06'!$F59</f>
        <v>6.4598221071287467</v>
      </c>
      <c r="H59" s="36">
        <v>6</v>
      </c>
      <c r="I59" s="36">
        <v>6</v>
      </c>
      <c r="J59" s="40">
        <f t="shared" si="2"/>
        <v>0</v>
      </c>
      <c r="K59" s="41">
        <f>'Nov 06'!$F59*'Nov 06'!$I59</f>
        <v>176160</v>
      </c>
      <c r="L59" s="42">
        <f>'Nov 06'!$K59/$K$2</f>
        <v>9.2470244008021783E-4</v>
      </c>
      <c r="M59" s="43"/>
    </row>
    <row r="60" spans="1:16" s="46" customFormat="1" ht="25.5" x14ac:dyDescent="0.25">
      <c r="A60" s="36" t="s">
        <v>155</v>
      </c>
      <c r="B60" s="36" t="s">
        <v>100</v>
      </c>
      <c r="C60" s="36" t="s">
        <v>101</v>
      </c>
      <c r="D60" s="37">
        <v>1E-3</v>
      </c>
      <c r="E60" s="38">
        <f>'Nov 06'!$D60*$C$6*$C$2</f>
        <v>189660.37706530001</v>
      </c>
      <c r="F60" s="38">
        <v>7659.875</v>
      </c>
      <c r="G60" s="75">
        <f>'Nov 06'!$E60/'Nov 06'!$F60</f>
        <v>24.760244398936017</v>
      </c>
      <c r="H60" s="36">
        <v>24</v>
      </c>
      <c r="I60" s="36">
        <v>25</v>
      </c>
      <c r="J60" s="40">
        <f t="shared" si="2"/>
        <v>1</v>
      </c>
      <c r="K60" s="41">
        <f>'Nov 06'!$F60*'Nov 06'!$I60</f>
        <v>191496.875</v>
      </c>
      <c r="L60" s="42">
        <f>'Nov 06'!$K60/$K$2</f>
        <v>1.0052090575626501E-3</v>
      </c>
      <c r="M60" s="43"/>
    </row>
    <row r="61" spans="1:16" s="46" customFormat="1" ht="25.5" x14ac:dyDescent="0.25">
      <c r="A61" s="36" t="s">
        <v>155</v>
      </c>
      <c r="B61" s="36" t="s">
        <v>174</v>
      </c>
      <c r="C61" s="36" t="s">
        <v>75</v>
      </c>
      <c r="D61" s="37">
        <v>1E-3</v>
      </c>
      <c r="E61" s="38">
        <f>'Nov 06'!$D61*$C$6*$C$2</f>
        <v>189660.37706530001</v>
      </c>
      <c r="F61" s="38">
        <v>28310.333333333299</v>
      </c>
      <c r="G61" s="75">
        <f>'Nov 06'!$E61/'Nov 06'!$F61</f>
        <v>6.6993339439768835</v>
      </c>
      <c r="H61" s="36">
        <v>6</v>
      </c>
      <c r="I61" s="36">
        <v>7</v>
      </c>
      <c r="J61" s="40">
        <f t="shared" si="2"/>
        <v>1</v>
      </c>
      <c r="K61" s="41">
        <f>'Nov 06'!$F61*'Nov 06'!$I61</f>
        <v>198172.33333333308</v>
      </c>
      <c r="L61" s="42">
        <f>'Nov 06'!$K61/$K$2</f>
        <v>1.0402500010769946E-3</v>
      </c>
      <c r="M61" s="43"/>
    </row>
    <row r="62" spans="1:16" s="46" customFormat="1" ht="12.75" x14ac:dyDescent="0.25">
      <c r="A62" s="36"/>
      <c r="B62" s="36"/>
      <c r="C62" s="36"/>
      <c r="D62" s="37"/>
      <c r="E62" s="38"/>
      <c r="F62" s="38"/>
      <c r="G62" s="39"/>
      <c r="H62" s="36"/>
      <c r="I62" s="36"/>
      <c r="J62" s="43"/>
      <c r="K62" s="41"/>
      <c r="L62" s="42"/>
      <c r="M62" s="43"/>
    </row>
    <row r="63" spans="1:16" s="46" customFormat="1" ht="12.75" x14ac:dyDescent="0.25">
      <c r="A63" s="36"/>
      <c r="B63" s="36"/>
      <c r="C63" s="36"/>
      <c r="D63" s="37"/>
      <c r="E63" s="38"/>
      <c r="F63" s="38"/>
      <c r="G63" s="39"/>
      <c r="H63" s="36"/>
      <c r="I63" s="36"/>
      <c r="J63" s="43"/>
      <c r="K63" s="41"/>
      <c r="L63" s="42"/>
      <c r="M63" s="43"/>
    </row>
    <row r="64" spans="1:16" s="17" customFormat="1" ht="12.75" x14ac:dyDescent="0.2">
      <c r="A64" s="50" t="s">
        <v>167</v>
      </c>
      <c r="B64" s="68"/>
      <c r="C64" s="68"/>
      <c r="D64" s="76">
        <f>SUM(D52:D63)</f>
        <v>1.0000000000000002E-2</v>
      </c>
      <c r="E64" s="52">
        <f>SUM(E51:E63)</f>
        <v>1896603.7706530001</v>
      </c>
      <c r="F64" s="71"/>
      <c r="G64" s="71"/>
      <c r="H64" s="68"/>
      <c r="I64" s="68"/>
      <c r="J64" s="50"/>
      <c r="K64" s="52">
        <f>SUM(K51:K63)</f>
        <v>1907361.895833333</v>
      </c>
      <c r="L64" s="55">
        <f>'Nov 06'!$K64/$K$2</f>
        <v>1.0012160531296057E-2</v>
      </c>
      <c r="M64" s="62"/>
    </row>
    <row r="65" spans="1:13" s="4" customFormat="1" ht="12.75" x14ac:dyDescent="0.2">
      <c r="A65" s="36"/>
      <c r="B65" s="64"/>
      <c r="C65" s="64"/>
      <c r="D65" s="77"/>
      <c r="E65" s="38"/>
      <c r="F65" s="38"/>
      <c r="G65" s="39"/>
      <c r="H65" s="64"/>
      <c r="I65" s="64"/>
      <c r="J65" s="36"/>
      <c r="K65" s="36"/>
      <c r="L65" s="42"/>
      <c r="M65" s="65"/>
    </row>
    <row r="66" spans="1:13" s="46" customFormat="1" ht="25.5" x14ac:dyDescent="0.25">
      <c r="A66" s="50" t="s">
        <v>168</v>
      </c>
      <c r="B66" s="57" t="s">
        <v>169</v>
      </c>
      <c r="C66" s="57" t="s">
        <v>170</v>
      </c>
      <c r="D66" s="58">
        <v>0</v>
      </c>
      <c r="E66" s="59">
        <f>'Nov 06'!$D66*$C$6*$C$2</f>
        <v>0</v>
      </c>
      <c r="F66" s="59">
        <v>0</v>
      </c>
      <c r="G66" s="60" t="s">
        <v>175</v>
      </c>
      <c r="H66" s="57">
        <v>0</v>
      </c>
      <c r="I66" s="57">
        <v>0</v>
      </c>
      <c r="J66" s="78">
        <f>I66-H66</f>
        <v>0</v>
      </c>
      <c r="K66" s="59">
        <f>'Nov 06'!$F66*'Nov 06'!$I66</f>
        <v>0</v>
      </c>
      <c r="L66" s="79">
        <f>'Nov 06'!$K66/$K$2</f>
        <v>0</v>
      </c>
      <c r="M66" s="57"/>
    </row>
    <row r="67" spans="1:13" s="4" customFormat="1" ht="12.75" x14ac:dyDescent="0.2">
      <c r="A67" s="36"/>
      <c r="B67" s="64"/>
      <c r="C67" s="64"/>
      <c r="D67" s="77"/>
      <c r="E67" s="38"/>
      <c r="F67" s="38"/>
      <c r="G67" s="39"/>
      <c r="H67" s="64"/>
      <c r="I67" s="64"/>
      <c r="J67" s="36"/>
      <c r="K67" s="36"/>
      <c r="L67" s="42"/>
      <c r="M67" s="65"/>
    </row>
    <row r="68" spans="1:13" s="4" customFormat="1" ht="12.75" x14ac:dyDescent="0.2">
      <c r="A68" s="36"/>
      <c r="B68" s="64"/>
      <c r="C68" s="64"/>
      <c r="D68" s="80"/>
      <c r="E68" s="66"/>
      <c r="F68" s="38"/>
      <c r="G68" s="39"/>
      <c r="H68" s="64"/>
      <c r="I68" s="64"/>
      <c r="J68" s="36"/>
      <c r="K68" s="36"/>
      <c r="L68" s="42"/>
      <c r="M68" s="65"/>
    </row>
    <row r="69" spans="1:13" s="17" customFormat="1" ht="12.75" x14ac:dyDescent="0.2">
      <c r="A69" s="50" t="s">
        <v>171</v>
      </c>
      <c r="B69" s="68"/>
      <c r="C69" s="68"/>
      <c r="D69" s="68"/>
      <c r="E69" s="81"/>
      <c r="F69" s="81"/>
      <c r="G69" s="50"/>
      <c r="H69" s="68"/>
      <c r="I69" s="68"/>
      <c r="J69" s="68"/>
      <c r="K69" s="81">
        <f>SUM(K26,K28,K41,K49,K64,K66:K66)</f>
        <v>190504525.95833763</v>
      </c>
      <c r="L69" s="55">
        <f>'Nov 06'!$K69/$K$2</f>
        <v>1</v>
      </c>
      <c r="M69" s="68"/>
    </row>
    <row r="70" spans="1:13" s="4" customFormat="1" ht="12.75" x14ac:dyDescent="0.2">
      <c r="A70" s="65"/>
      <c r="B70" s="65"/>
      <c r="C70" s="65"/>
      <c r="D70" s="82"/>
      <c r="E70" s="83"/>
      <c r="F70" s="38"/>
      <c r="G70" s="84"/>
      <c r="H70" s="65"/>
      <c r="I70" s="65"/>
      <c r="J70" s="65"/>
      <c r="K70" s="65"/>
      <c r="L70" s="42"/>
      <c r="M70" s="65"/>
    </row>
    <row r="71" spans="1:13" s="4" customFormat="1" ht="12.75" x14ac:dyDescent="0.2">
      <c r="A71" s="65"/>
      <c r="B71" s="65"/>
      <c r="C71" s="65"/>
      <c r="D71" s="82"/>
      <c r="E71" s="83"/>
      <c r="F71" s="38"/>
      <c r="G71" s="84"/>
      <c r="H71" s="65"/>
      <c r="I71" s="65"/>
      <c r="J71" s="65"/>
      <c r="K71" s="65"/>
      <c r="L71" s="42"/>
      <c r="M71" s="65"/>
    </row>
    <row r="72" spans="1:13" s="4" customFormat="1" ht="12.75" x14ac:dyDescent="0.2">
      <c r="A72" s="65"/>
      <c r="B72" s="65"/>
      <c r="C72" s="65"/>
      <c r="D72" s="82"/>
      <c r="E72" s="83"/>
      <c r="F72" s="38"/>
      <c r="G72" s="84"/>
      <c r="H72" s="65"/>
      <c r="I72" s="65"/>
      <c r="J72" s="65"/>
      <c r="K72" s="65"/>
      <c r="L72" s="42"/>
      <c r="M72" s="65"/>
    </row>
    <row r="73" spans="1:13" s="4" customFormat="1" ht="12.75" x14ac:dyDescent="0.2">
      <c r="A73" s="65"/>
      <c r="B73" s="65"/>
      <c r="C73" s="65"/>
      <c r="D73" s="82"/>
      <c r="E73" s="83"/>
      <c r="F73" s="38"/>
      <c r="G73" s="84"/>
      <c r="H73" s="65"/>
      <c r="I73" s="65"/>
      <c r="J73" s="65"/>
      <c r="K73" s="65"/>
      <c r="L73" s="42"/>
      <c r="M73" s="65"/>
    </row>
    <row r="74" spans="1:13" s="4" customFormat="1" ht="12.75" x14ac:dyDescent="0.2">
      <c r="A74" s="65"/>
      <c r="B74" s="65"/>
      <c r="C74" s="65"/>
      <c r="D74" s="82"/>
      <c r="E74" s="83"/>
      <c r="F74" s="38"/>
      <c r="G74" s="84"/>
      <c r="H74" s="65"/>
      <c r="I74" s="65"/>
      <c r="J74" s="65"/>
      <c r="K74" s="65"/>
      <c r="L74" s="42"/>
      <c r="M74" s="65"/>
    </row>
    <row r="75" spans="1:13" s="4" customFormat="1" ht="12.75" x14ac:dyDescent="0.2">
      <c r="A75" s="65"/>
      <c r="B75" s="65"/>
      <c r="C75" s="65"/>
      <c r="D75" s="82"/>
      <c r="E75" s="83"/>
      <c r="F75" s="38"/>
      <c r="G75" s="84"/>
      <c r="H75" s="65"/>
      <c r="I75" s="65"/>
      <c r="J75" s="65"/>
      <c r="K75" s="65"/>
      <c r="L75" s="42"/>
      <c r="M75" s="65"/>
    </row>
    <row r="76" spans="1:13" s="4" customFormat="1" ht="12.75" x14ac:dyDescent="0.2">
      <c r="A76" s="65"/>
      <c r="B76" s="65"/>
      <c r="C76" s="65"/>
      <c r="D76" s="82"/>
      <c r="E76" s="83"/>
      <c r="F76" s="38"/>
      <c r="G76" s="84"/>
      <c r="H76" s="65"/>
      <c r="I76" s="65"/>
      <c r="J76" s="65"/>
      <c r="K76" s="65"/>
      <c r="L76" s="42"/>
      <c r="M76" s="65"/>
    </row>
    <row r="77" spans="1:13" s="4" customFormat="1" ht="12.75" x14ac:dyDescent="0.2">
      <c r="A77" s="65"/>
      <c r="B77" s="65"/>
      <c r="C77" s="65"/>
      <c r="D77" s="82"/>
      <c r="E77" s="83"/>
      <c r="F77" s="38"/>
      <c r="G77" s="84"/>
      <c r="H77" s="65"/>
      <c r="I77" s="65"/>
      <c r="J77" s="65"/>
      <c r="K77" s="65"/>
      <c r="L77" s="42"/>
      <c r="M77" s="65"/>
    </row>
    <row r="78" spans="1:13" s="4" customFormat="1" ht="12.75" x14ac:dyDescent="0.2">
      <c r="A78" s="65"/>
      <c r="B78" s="65"/>
      <c r="C78" s="65"/>
      <c r="D78" s="82"/>
      <c r="E78" s="83"/>
      <c r="F78" s="38"/>
      <c r="G78" s="84"/>
      <c r="H78" s="65"/>
      <c r="I78" s="65"/>
      <c r="J78" s="65"/>
      <c r="K78" s="65"/>
      <c r="L78" s="42"/>
      <c r="M78" s="65"/>
    </row>
    <row r="79" spans="1:13" s="4" customFormat="1" ht="12.75" x14ac:dyDescent="0.2"/>
    <row r="80" spans="1:13" s="4" customFormat="1" ht="12.75" x14ac:dyDescent="0.2"/>
    <row r="82" spans="1:13" s="4" customFormat="1" ht="12.75" x14ac:dyDescent="0.2">
      <c r="A82" s="85"/>
      <c r="B82" s="85"/>
      <c r="E82" s="85"/>
      <c r="F82" s="85"/>
      <c r="G82" s="85"/>
      <c r="H82" s="86"/>
      <c r="M82" s="85"/>
    </row>
    <row r="83" spans="1:13" s="4" customFormat="1" ht="12.75" x14ac:dyDescent="0.2">
      <c r="A83" s="85"/>
      <c r="B83" s="85"/>
      <c r="E83" s="85"/>
      <c r="F83" s="85"/>
      <c r="G83" s="85"/>
      <c r="H83" s="86"/>
      <c r="M83" s="85"/>
    </row>
    <row r="84" spans="1:13" s="4" customFormat="1" ht="12.75" x14ac:dyDescent="0.2">
      <c r="A84" s="87"/>
      <c r="B84" s="87"/>
    </row>
    <row r="85" spans="1:13" s="4" customFormat="1" ht="12.75" x14ac:dyDescent="0.2">
      <c r="A85" s="88"/>
      <c r="B85" s="88"/>
      <c r="E85" s="88"/>
      <c r="F85" s="87"/>
      <c r="G85" s="87"/>
      <c r="M85" s="89"/>
    </row>
    <row r="86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H86"/>
  <sheetViews>
    <sheetView zoomScale="140" zoomScaleNormal="140" workbookViewId="0">
      <pane xSplit="2" topLeftCell="C1" activePane="topRight" state="frozen"/>
      <selection pane="topRight" activeCell="I4" sqref="I4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116</v>
      </c>
      <c r="C1" s="6">
        <v>44144</v>
      </c>
      <c r="D1" s="7"/>
      <c r="E1" s="8" t="s">
        <v>117</v>
      </c>
      <c r="F1" s="9"/>
      <c r="G1" s="10"/>
      <c r="K1" s="11" t="s">
        <v>118</v>
      </c>
      <c r="L1" s="11" t="s">
        <v>119</v>
      </c>
      <c r="M1" s="12" t="s">
        <v>120</v>
      </c>
    </row>
    <row r="2" spans="1:17" x14ac:dyDescent="0.25">
      <c r="A2" s="5"/>
      <c r="B2" s="5" t="s">
        <v>121</v>
      </c>
      <c r="C2" s="13">
        <v>7.3109999999999999</v>
      </c>
      <c r="D2" s="14"/>
      <c r="E2" s="15">
        <f>SUM(E26,E41,E49,E64,E28,E66)</f>
        <v>200300828.95381102</v>
      </c>
      <c r="F2" s="16"/>
      <c r="G2" s="17"/>
      <c r="H2" s="14"/>
      <c r="I2" s="14"/>
      <c r="J2" s="14"/>
      <c r="K2" s="15">
        <f>SUM(K26,K41,K49,K64,K28,K66:K66)</f>
        <v>200349493.27820933</v>
      </c>
      <c r="L2" s="18">
        <f>SUM(L49,L64,L41,L26,L28,L66)</f>
        <v>1</v>
      </c>
      <c r="M2" s="19">
        <f>K2/$C$6</f>
        <v>7.3128055037422781</v>
      </c>
      <c r="N2" s="20"/>
    </row>
    <row r="3" spans="1:17" ht="26.25" x14ac:dyDescent="0.25">
      <c r="A3" s="5"/>
      <c r="B3" s="5" t="s">
        <v>122</v>
      </c>
      <c r="C3" s="21">
        <v>27397076.699999999</v>
      </c>
      <c r="D3" s="22"/>
      <c r="E3" s="8" t="s">
        <v>123</v>
      </c>
      <c r="F3" s="16"/>
      <c r="H3" s="14"/>
      <c r="I3" s="14"/>
      <c r="J3" s="14"/>
      <c r="K3" s="8" t="s">
        <v>123</v>
      </c>
      <c r="L3" s="14"/>
      <c r="M3" s="12" t="s">
        <v>124</v>
      </c>
      <c r="N3" s="23"/>
    </row>
    <row r="4" spans="1:17" x14ac:dyDescent="0.25">
      <c r="A4" s="5"/>
      <c r="B4" s="5" t="s">
        <v>125</v>
      </c>
      <c r="C4" s="21">
        <v>0</v>
      </c>
      <c r="D4" s="22"/>
      <c r="E4" s="15">
        <f>SUM(E26,E64,E28)</f>
        <v>38057806.47331401</v>
      </c>
      <c r="F4" s="16"/>
      <c r="G4" s="17"/>
      <c r="H4" s="14"/>
      <c r="I4" s="14"/>
      <c r="J4" s="14"/>
      <c r="K4" s="15">
        <f>SUM(K26,K28,K64)</f>
        <v>38098945.318268992</v>
      </c>
      <c r="L4" s="14"/>
      <c r="M4" s="19">
        <f>K4/$C$6</f>
        <v>1.3906208219021043</v>
      </c>
      <c r="N4" s="23"/>
    </row>
    <row r="5" spans="1:17" x14ac:dyDescent="0.25">
      <c r="A5" s="5"/>
      <c r="B5" s="5" t="s">
        <v>126</v>
      </c>
      <c r="C5" s="21">
        <v>0</v>
      </c>
      <c r="D5" s="22"/>
      <c r="E5" s="16"/>
      <c r="F5" s="16"/>
      <c r="G5" s="24">
        <f>SUM(D26,D28,D41,D49,D64,D66:D66)</f>
        <v>1.0000039999999999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127</v>
      </c>
      <c r="C6" s="21">
        <f>C3+C4-C5</f>
        <v>27397076.699999999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128</v>
      </c>
      <c r="B8" s="30" t="s">
        <v>129</v>
      </c>
      <c r="C8" s="31" t="s">
        <v>1</v>
      </c>
      <c r="D8" s="31" t="s">
        <v>130</v>
      </c>
      <c r="E8" s="31" t="s">
        <v>131</v>
      </c>
      <c r="F8" s="31" t="s">
        <v>132</v>
      </c>
      <c r="G8" s="31" t="s">
        <v>133</v>
      </c>
      <c r="H8" s="31" t="s">
        <v>134</v>
      </c>
      <c r="I8" s="31" t="s">
        <v>135</v>
      </c>
      <c r="J8" s="31" t="s">
        <v>136</v>
      </c>
      <c r="K8" s="32" t="s">
        <v>137</v>
      </c>
      <c r="L8" s="32" t="s">
        <v>138</v>
      </c>
      <c r="M8" s="32" t="s">
        <v>139</v>
      </c>
      <c r="N8" s="33"/>
      <c r="Q8" s="35"/>
    </row>
    <row r="9" spans="1:17" s="46" customFormat="1" ht="12.75" customHeight="1" x14ac:dyDescent="0.25">
      <c r="A9" s="36" t="s">
        <v>140</v>
      </c>
      <c r="B9" s="36" t="s">
        <v>49</v>
      </c>
      <c r="C9" s="36" t="s">
        <v>50</v>
      </c>
      <c r="D9" s="37">
        <v>1.2307999999999999E-2</v>
      </c>
      <c r="E9" s="38">
        <f>'Nov 09'!$D9*$C$6*$C$2</f>
        <v>2465292.7415925395</v>
      </c>
      <c r="F9" s="38">
        <v>438.28992134625901</v>
      </c>
      <c r="G9" s="39">
        <f>'Nov 09'!$E9/'Nov 09'!$F9</f>
        <v>5624.7990691186851</v>
      </c>
      <c r="H9" s="36">
        <v>5467</v>
      </c>
      <c r="I9" s="36">
        <f>ROUND(Table1389584567991011121314456267891011121314151617181920213456789101112131415161718192021222334567[[#This Row],[Target Quantity]],0)</f>
        <v>5625</v>
      </c>
      <c r="J9" s="40">
        <f t="shared" ref="J9:J24" si="0">I9-H9</f>
        <v>158</v>
      </c>
      <c r="K9" s="41">
        <f>'Nov 09'!$F9*'Nov 09'!$I9</f>
        <v>2465380.8075727071</v>
      </c>
      <c r="L9" s="42">
        <f>'Nov 09'!$K9/$K$2</f>
        <v>1.2305400763600783E-2</v>
      </c>
      <c r="M9" s="43"/>
    </row>
    <row r="10" spans="1:17" s="46" customFormat="1" ht="12.75" customHeight="1" x14ac:dyDescent="0.25">
      <c r="A10" s="36" t="s">
        <v>140</v>
      </c>
      <c r="B10" s="36" t="s">
        <v>37</v>
      </c>
      <c r="C10" s="36" t="s">
        <v>38</v>
      </c>
      <c r="D10" s="37">
        <v>1.2307999999999999E-2</v>
      </c>
      <c r="E10" s="38">
        <f>'Nov 09'!$D10*$C$6*$C$2</f>
        <v>2465292.7415925395</v>
      </c>
      <c r="F10" s="38">
        <v>95.009985734664795</v>
      </c>
      <c r="G10" s="39">
        <f>'Nov 09'!$E10/'Nov 09'!$F10</f>
        <v>25947.722468640124</v>
      </c>
      <c r="H10" s="36">
        <v>25937</v>
      </c>
      <c r="I10" s="36">
        <f>ROUND(Table1389584567991011121314456267891011121314151617181920213456789101112131415161718192021222334567[[#This Row],[Target Quantity]],0)</f>
        <v>25948</v>
      </c>
      <c r="J10" s="40">
        <f t="shared" si="0"/>
        <v>11</v>
      </c>
      <c r="K10" s="41">
        <f>'Nov 09'!$F10*'Nov 09'!$I10</f>
        <v>2465319.1098430823</v>
      </c>
      <c r="L10" s="42">
        <f>'Nov 09'!$K10/$K$2</f>
        <v>1.2305092813085835E-2</v>
      </c>
      <c r="M10" s="43"/>
    </row>
    <row r="11" spans="1:17" s="47" customFormat="1" ht="12.75" customHeight="1" x14ac:dyDescent="0.25">
      <c r="A11" s="36" t="s">
        <v>140</v>
      </c>
      <c r="B11" s="36" t="s">
        <v>27</v>
      </c>
      <c r="C11" s="36" t="s">
        <v>28</v>
      </c>
      <c r="D11" s="37">
        <v>1.2307999999999999E-2</v>
      </c>
      <c r="E11" s="38">
        <f>'Nov 09'!$D11*$C$6*$C$2</f>
        <v>2465292.7415925395</v>
      </c>
      <c r="F11" s="38">
        <v>236.44000405720701</v>
      </c>
      <c r="G11" s="39">
        <f>'Nov 09'!$E11/'Nov 09'!$F11</f>
        <v>10426.715865713055</v>
      </c>
      <c r="H11" s="36">
        <v>9859</v>
      </c>
      <c r="I11" s="36">
        <f>ROUND(Table1389584567991011121314456267891011121314151617181920213456789101112131415161718192021222334567[[#This Row],[Target Quantity]],0)</f>
        <v>10427</v>
      </c>
      <c r="J11" s="40">
        <f t="shared" si="0"/>
        <v>568</v>
      </c>
      <c r="K11" s="41">
        <f>'Nov 09'!$F11*'Nov 09'!$I11</f>
        <v>2465359.9223044976</v>
      </c>
      <c r="L11" s="42">
        <f>'Nov 09'!$K11/$K$2</f>
        <v>1.2305296519422934E-2</v>
      </c>
      <c r="M11" s="36"/>
    </row>
    <row r="12" spans="1:17" s="47" customFormat="1" ht="12.75" customHeight="1" x14ac:dyDescent="0.25">
      <c r="A12" s="36" t="s">
        <v>140</v>
      </c>
      <c r="B12" s="36" t="s">
        <v>51</v>
      </c>
      <c r="C12" s="36" t="s">
        <v>52</v>
      </c>
      <c r="D12" s="37">
        <v>1.2307999999999999E-2</v>
      </c>
      <c r="E12" s="38">
        <f>'Nov 09'!$D12*$C$6*$C$2</f>
        <v>2465292.7415925395</v>
      </c>
      <c r="F12" s="38">
        <v>514</v>
      </c>
      <c r="G12" s="39">
        <f>'Nov 09'!$E12/'Nov 09'!$F12</f>
        <v>4796.2893805302328</v>
      </c>
      <c r="H12" s="36">
        <v>4784</v>
      </c>
      <c r="I12" s="36">
        <f>ROUND(Table1389584567991011121314456267891011121314151617181920213456789101112131415161718192021222334567[[#This Row],[Target Quantity]],0)</f>
        <v>4796</v>
      </c>
      <c r="J12" s="40">
        <f t="shared" si="0"/>
        <v>12</v>
      </c>
      <c r="K12" s="41">
        <f>'Nov 09'!$F12*'Nov 09'!$I12</f>
        <v>2465144</v>
      </c>
      <c r="L12" s="42">
        <f>'Nov 09'!$K12/$K$2</f>
        <v>1.2304218791194303E-2</v>
      </c>
      <c r="M12" s="36"/>
    </row>
    <row r="13" spans="1:17" s="47" customFormat="1" ht="12.75" customHeight="1" x14ac:dyDescent="0.25">
      <c r="A13" s="36" t="s">
        <v>140</v>
      </c>
      <c r="B13" s="36" t="s">
        <v>41</v>
      </c>
      <c r="C13" s="36" t="s">
        <v>42</v>
      </c>
      <c r="D13" s="37">
        <v>1.2307999999999999E-2</v>
      </c>
      <c r="E13" s="38">
        <f>'Nov 09'!$D13*$C$6*$C$2</f>
        <v>2465292.7415925395</v>
      </c>
      <c r="F13" s="38">
        <v>1488</v>
      </c>
      <c r="G13" s="39">
        <f>'Nov 09'!$E13/'Nov 09'!$F13</f>
        <v>1656.782756446599</v>
      </c>
      <c r="H13" s="36">
        <v>1624</v>
      </c>
      <c r="I13" s="36">
        <f>ROUND(Table1389584567991011121314456267891011121314151617181920213456789101112131415161718192021222334567[[#This Row],[Target Quantity]],0)</f>
        <v>1657</v>
      </c>
      <c r="J13" s="40">
        <f t="shared" si="0"/>
        <v>33</v>
      </c>
      <c r="K13" s="41">
        <f>'Nov 09'!$F13*'Nov 09'!$I13</f>
        <v>2465616</v>
      </c>
      <c r="L13" s="42">
        <f>'Nov 09'!$K13/$K$2</f>
        <v>1.2306574674367637E-2</v>
      </c>
      <c r="M13" s="36"/>
    </row>
    <row r="14" spans="1:17" s="47" customFormat="1" ht="12.75" customHeight="1" x14ac:dyDescent="0.25">
      <c r="A14" s="36" t="s">
        <v>140</v>
      </c>
      <c r="B14" s="36" t="s">
        <v>31</v>
      </c>
      <c r="C14" s="36" t="s">
        <v>32</v>
      </c>
      <c r="D14" s="37">
        <v>1.2307999999999999E-2</v>
      </c>
      <c r="E14" s="38">
        <f>'Nov 09'!$D14*$C$6*$C$2</f>
        <v>2465292.7415925395</v>
      </c>
      <c r="F14" s="38">
        <v>281</v>
      </c>
      <c r="G14" s="39">
        <f>'Nov 09'!$E14/'Nov 09'!$F14</f>
        <v>8773.2837779093934</v>
      </c>
      <c r="H14" s="36">
        <v>8365</v>
      </c>
      <c r="I14" s="36">
        <f>ROUND(Table1389584567991011121314456267891011121314151617181920213456789101112131415161718192021222334567[[#This Row],[Target Quantity]],0)</f>
        <v>8773</v>
      </c>
      <c r="J14" s="40">
        <f t="shared" si="0"/>
        <v>408</v>
      </c>
      <c r="K14" s="41">
        <f>'Nov 09'!$F14*'Nov 09'!$I14</f>
        <v>2465213</v>
      </c>
      <c r="L14" s="42">
        <f>'Nov 09'!$K14/$K$2</f>
        <v>1.2304563189370066E-2</v>
      </c>
      <c r="M14" s="36"/>
    </row>
    <row r="15" spans="1:17" s="47" customFormat="1" ht="12.75" customHeight="1" x14ac:dyDescent="0.25">
      <c r="A15" s="36" t="s">
        <v>140</v>
      </c>
      <c r="B15" s="36" t="s">
        <v>29</v>
      </c>
      <c r="C15" s="36" t="s">
        <v>30</v>
      </c>
      <c r="D15" s="37">
        <v>6.1539999999999997E-3</v>
      </c>
      <c r="E15" s="38">
        <f>'Nov 09'!$D15*$C$6*$C$2</f>
        <v>1232646.3707962697</v>
      </c>
      <c r="F15" s="38">
        <v>19.799996787097001</v>
      </c>
      <c r="G15" s="39">
        <f>'Nov 09'!$E15/'Nov 09'!$F15</f>
        <v>62254.877313896555</v>
      </c>
      <c r="H15" s="36">
        <v>62249</v>
      </c>
      <c r="I15" s="36">
        <f>ROUND(Table1389584567991011121314456267891011121314151617181920213456789101112131415161718192021222334567[[#This Row],[Target Quantity]],0)</f>
        <v>62255</v>
      </c>
      <c r="J15" s="40">
        <f t="shared" si="0"/>
        <v>6</v>
      </c>
      <c r="K15" s="41">
        <f>'Nov 09'!$F15*'Nov 09'!$I15</f>
        <v>1232648.7999807238</v>
      </c>
      <c r="L15" s="42">
        <f>'Nov 09'!$K15/$K$2</f>
        <v>6.152492725644396E-3</v>
      </c>
      <c r="M15" s="36"/>
    </row>
    <row r="16" spans="1:17" s="47" customFormat="1" ht="12.75" customHeight="1" x14ac:dyDescent="0.25">
      <c r="A16" s="36" t="s">
        <v>140</v>
      </c>
      <c r="B16" s="36" t="s">
        <v>39</v>
      </c>
      <c r="C16" s="36" t="s">
        <v>40</v>
      </c>
      <c r="D16" s="37">
        <v>6.1539999999999997E-3</v>
      </c>
      <c r="E16" s="38">
        <f>'Nov 09'!$D16*$C$6*$C$2</f>
        <v>1232646.3707962697</v>
      </c>
      <c r="F16" s="38">
        <v>33.3199953336444</v>
      </c>
      <c r="G16" s="39">
        <f>'Nov 09'!$E16/'Nov 09'!$F16</f>
        <v>36994.193980322147</v>
      </c>
      <c r="H16" s="36">
        <v>34288</v>
      </c>
      <c r="I16" s="36">
        <f>ROUND(Table1389584567991011121314456267891011121314151617181920213456789101112131415161718192021222334567[[#This Row],[Target Quantity]],0)</f>
        <v>36994</v>
      </c>
      <c r="J16" s="40">
        <f t="shared" si="0"/>
        <v>2706</v>
      </c>
      <c r="K16" s="41">
        <f>'Nov 09'!$F16*'Nov 09'!$I16</f>
        <v>1232639.9073728409</v>
      </c>
      <c r="L16" s="42">
        <f>'Nov 09'!$K16/$K$2</f>
        <v>6.152448340167112E-3</v>
      </c>
      <c r="M16" s="36"/>
    </row>
    <row r="17" spans="1:15" s="47" customFormat="1" ht="12.75" customHeight="1" x14ac:dyDescent="0.25">
      <c r="A17" s="36" t="s">
        <v>140</v>
      </c>
      <c r="B17" s="36" t="s">
        <v>19</v>
      </c>
      <c r="C17" s="36" t="s">
        <v>20</v>
      </c>
      <c r="D17" s="37">
        <v>1.2307999999999999E-2</v>
      </c>
      <c r="E17" s="38">
        <f>'Nov 09'!$D17*$C$6*$C$2</f>
        <v>2465292.7415925395</v>
      </c>
      <c r="F17" s="38">
        <v>479.40990516333</v>
      </c>
      <c r="G17" s="39">
        <f>'Nov 09'!$E17/'Nov 09'!$F17</f>
        <v>5142.3483641887615</v>
      </c>
      <c r="H17" s="36">
        <v>4745</v>
      </c>
      <c r="I17" s="36">
        <f>ROUND(Table1389584567991011121314456267891011121314151617181920213456789101112131415161718192021222334567[[#This Row],[Target Quantity]],0)</f>
        <v>5142</v>
      </c>
      <c r="J17" s="40">
        <f t="shared" si="0"/>
        <v>397</v>
      </c>
      <c r="K17" s="41">
        <f>'Nov 09'!$F17*'Nov 09'!$I17</f>
        <v>2465125.7323498428</v>
      </c>
      <c r="L17" s="42">
        <f>'Nov 09'!$K17/$K$2</f>
        <v>1.2304127612275614E-2</v>
      </c>
      <c r="M17" s="36"/>
    </row>
    <row r="18" spans="1:15" s="47" customFormat="1" ht="12.75" customHeight="1" x14ac:dyDescent="0.25">
      <c r="A18" s="36" t="s">
        <v>140</v>
      </c>
      <c r="B18" s="36" t="s">
        <v>33</v>
      </c>
      <c r="C18" s="36" t="s">
        <v>34</v>
      </c>
      <c r="D18" s="37">
        <v>6.1539999999999997E-3</v>
      </c>
      <c r="E18" s="38">
        <f>'Nov 09'!$D18*$C$6*$C$2</f>
        <v>1232646.3707962697</v>
      </c>
      <c r="F18" s="38">
        <v>21.4300052922605</v>
      </c>
      <c r="G18" s="39">
        <f>'Nov 09'!$E18/'Nov 09'!$F18</f>
        <v>57519.648454843969</v>
      </c>
      <c r="H18" s="36">
        <v>54797</v>
      </c>
      <c r="I18" s="36">
        <f>ROUND(Table1389584567991011121314456267891011121314151617181920213456789101112131415161718192021222334567[[#This Row],[Target Quantity]],0)</f>
        <v>57520</v>
      </c>
      <c r="J18" s="40">
        <f t="shared" si="0"/>
        <v>2723</v>
      </c>
      <c r="K18" s="41">
        <f>'Nov 09'!$F18*'Nov 09'!$I18</f>
        <v>1232653.9044108239</v>
      </c>
      <c r="L18" s="42">
        <f>'Nov 09'!$K18/$K$2</f>
        <v>6.1525182032735968E-3</v>
      </c>
      <c r="M18" s="36"/>
    </row>
    <row r="19" spans="1:15" s="47" customFormat="1" ht="12.75" customHeight="1" x14ac:dyDescent="0.25">
      <c r="A19" s="36" t="s">
        <v>140</v>
      </c>
      <c r="B19" s="36" t="s">
        <v>21</v>
      </c>
      <c r="C19" s="36" t="s">
        <v>22</v>
      </c>
      <c r="D19" s="37">
        <v>1.2307999999999999E-2</v>
      </c>
      <c r="E19" s="38">
        <f>'Nov 09'!$D19*$C$6*$C$2</f>
        <v>2465292.7415925395</v>
      </c>
      <c r="F19" s="38">
        <v>39.299993454212199</v>
      </c>
      <c r="G19" s="39">
        <f>'Nov 09'!$E19/'Nov 09'!$F19</f>
        <v>62730.105654211191</v>
      </c>
      <c r="H19" s="36">
        <v>61108</v>
      </c>
      <c r="I19" s="36">
        <f>ROUND(Table1389584567991011121314456267891011121314151617181920213456789101112131415161718192021222334567[[#This Row],[Target Quantity]],0)</f>
        <v>62730</v>
      </c>
      <c r="J19" s="40">
        <f t="shared" si="0"/>
        <v>1622</v>
      </c>
      <c r="K19" s="41">
        <f>'Nov 09'!$F19*'Nov 09'!$I19</f>
        <v>2465288.5893827314</v>
      </c>
      <c r="L19" s="42">
        <f>'Nov 09'!$K19/$K$2</f>
        <v>1.2304940476986295E-2</v>
      </c>
      <c r="M19" s="36"/>
    </row>
    <row r="20" spans="1:15" s="47" customFormat="1" ht="12.75" customHeight="1" x14ac:dyDescent="0.25">
      <c r="A20" s="36" t="s">
        <v>140</v>
      </c>
      <c r="B20" s="36" t="s">
        <v>147</v>
      </c>
      <c r="C20" s="36" t="s">
        <v>148</v>
      </c>
      <c r="D20" s="37">
        <v>6.1539999999999997E-3</v>
      </c>
      <c r="E20" s="38">
        <f>'Nov 09'!$D20*$C$6*$C$2</f>
        <v>1232646.3707962697</v>
      </c>
      <c r="F20" s="38">
        <v>201.63998637602199</v>
      </c>
      <c r="G20" s="39">
        <f>'Nov 09'!$E20/'Nov 09'!$F20</f>
        <v>6113.1048109555404</v>
      </c>
      <c r="H20" s="36">
        <v>5872</v>
      </c>
      <c r="I20" s="36">
        <f>ROUND(Table1389584567991011121314456267891011121314151617181920213456789101112131415161718192021222334567[[#This Row],[Target Quantity]],0)</f>
        <v>6113</v>
      </c>
      <c r="J20" s="40">
        <f t="shared" si="0"/>
        <v>241</v>
      </c>
      <c r="K20" s="41">
        <f>'Nov 09'!$F20*'Nov 09'!$I20</f>
        <v>1232625.2367166225</v>
      </c>
      <c r="L20" s="42">
        <f>'Nov 09'!$K20/$K$2</f>
        <v>6.1523751148448097E-3</v>
      </c>
      <c r="M20" s="36"/>
    </row>
    <row r="21" spans="1:15" s="47" customFormat="1" ht="12.75" customHeight="1" x14ac:dyDescent="0.25">
      <c r="A21" s="36" t="s">
        <v>140</v>
      </c>
      <c r="B21" s="36" t="s">
        <v>45</v>
      </c>
      <c r="C21" s="36" t="s">
        <v>46</v>
      </c>
      <c r="D21" s="37">
        <v>6.1539999999999997E-3</v>
      </c>
      <c r="E21" s="38">
        <f>'Nov 09'!$D21*$C$6*$C$2</f>
        <v>1232646.3707962697</v>
      </c>
      <c r="F21" s="38">
        <v>65.120013261133806</v>
      </c>
      <c r="G21" s="39">
        <f>'Nov 09'!$E21/'Nov 09'!$F21</f>
        <v>18928.840905687619</v>
      </c>
      <c r="H21" s="36">
        <v>18098</v>
      </c>
      <c r="I21" s="36">
        <f>ROUND(Table1389584567991011121314456267891011121314151617181920213456789101112131415161718192021222334567[[#This Row],[Target Quantity]],0)</f>
        <v>18929</v>
      </c>
      <c r="J21" s="40">
        <f t="shared" si="0"/>
        <v>831</v>
      </c>
      <c r="K21" s="41">
        <f>'Nov 09'!$F21*'Nov 09'!$I21</f>
        <v>1232656.7310200019</v>
      </c>
      <c r="L21" s="42">
        <f>'Nov 09'!$K21/$K$2</f>
        <v>6.1525323116655454E-3</v>
      </c>
      <c r="M21" s="36"/>
    </row>
    <row r="22" spans="1:15" s="47" customFormat="1" ht="12.75" customHeight="1" x14ac:dyDescent="0.25">
      <c r="A22" s="36" t="s">
        <v>140</v>
      </c>
      <c r="B22" s="36" t="s">
        <v>23</v>
      </c>
      <c r="C22" s="36" t="s">
        <v>24</v>
      </c>
      <c r="D22" s="37">
        <v>1.2307999999999999E-2</v>
      </c>
      <c r="E22" s="38">
        <f>'Nov 09'!$D22*$C$6*$C$2</f>
        <v>2465292.7415925395</v>
      </c>
      <c r="F22" s="38">
        <v>248.69002951096101</v>
      </c>
      <c r="G22" s="39">
        <f>'Nov 09'!$E22/'Nov 09'!$F22</f>
        <v>9913.1145162531811</v>
      </c>
      <c r="H22" s="36">
        <v>9488</v>
      </c>
      <c r="I22" s="36">
        <f>ROUND(Table1389584567991011121314456267891011121314151617181920213456789101112131415161718192021222334567[[#This Row],[Target Quantity]],0)</f>
        <v>9913</v>
      </c>
      <c r="J22" s="40">
        <f t="shared" si="0"/>
        <v>425</v>
      </c>
      <c r="K22" s="41">
        <f>'Nov 09'!$F22*'Nov 09'!$I22</f>
        <v>2465264.2625421565</v>
      </c>
      <c r="L22" s="42">
        <f>'Nov 09'!$K22/$K$2</f>
        <v>1.2304819054964323E-2</v>
      </c>
      <c r="M22" s="36"/>
    </row>
    <row r="23" spans="1:15" s="47" customFormat="1" ht="12.75" customHeight="1" x14ac:dyDescent="0.25">
      <c r="A23" s="36" t="s">
        <v>140</v>
      </c>
      <c r="B23" s="36" t="s">
        <v>172</v>
      </c>
      <c r="C23" s="36" t="s">
        <v>173</v>
      </c>
      <c r="D23" s="37">
        <v>6.1539999999999997E-3</v>
      </c>
      <c r="E23" s="38">
        <f>'Nov 09'!$D23*$C$6*$C$2</f>
        <v>1232646.3707962697</v>
      </c>
      <c r="F23" s="38">
        <v>29.300010723285599</v>
      </c>
      <c r="G23" s="39">
        <f>'Nov 09'!$E23/'Nov 09'!$F23</f>
        <v>42069.826609880678</v>
      </c>
      <c r="H23" s="36">
        <v>37302</v>
      </c>
      <c r="I23" s="36">
        <f>ROUND(Table1389584567991011121314456267891011121314151617181920213456789101112131415161718192021222334567[[#This Row],[Target Quantity]],0)</f>
        <v>42070</v>
      </c>
      <c r="J23" s="40">
        <f t="shared" si="0"/>
        <v>4768</v>
      </c>
      <c r="K23" s="41">
        <f>'Nov 09'!$F23*'Nov 09'!$I23</f>
        <v>1232651.4511286251</v>
      </c>
      <c r="L23" s="42">
        <f>'Nov 09'!$K23/$K$2</f>
        <v>6.1525059582603512E-3</v>
      </c>
      <c r="M23" s="36"/>
    </row>
    <row r="24" spans="1:15" s="47" customFormat="1" ht="12.75" customHeight="1" x14ac:dyDescent="0.25">
      <c r="A24" s="36" t="s">
        <v>140</v>
      </c>
      <c r="B24" s="47" t="s">
        <v>11</v>
      </c>
      <c r="C24" s="36" t="s">
        <v>12</v>
      </c>
      <c r="D24" s="37">
        <v>1.2307999999999999E-2</v>
      </c>
      <c r="E24" s="38">
        <f>'Nov 09'!$D24*$C$6*$C$2</f>
        <v>2465292.7415925395</v>
      </c>
      <c r="F24" s="38">
        <v>2.44400429579626</v>
      </c>
      <c r="G24" s="39">
        <f>'Nov 09'!$E24/'Nov 09'!$F24</f>
        <v>1008710.4780596729</v>
      </c>
      <c r="H24" s="36">
        <v>977700</v>
      </c>
      <c r="I24" s="36">
        <v>1008700</v>
      </c>
      <c r="J24" s="40">
        <f t="shared" si="0"/>
        <v>31000</v>
      </c>
      <c r="K24" s="41">
        <f>'Nov 09'!$F24*'Nov 09'!$I24</f>
        <v>2465267.1331696874</v>
      </c>
      <c r="L24" s="42">
        <f>'Nov 09'!$K24/$K$2</f>
        <v>1.2304833383064104E-2</v>
      </c>
      <c r="M24" s="36"/>
    </row>
    <row r="25" spans="1:15" s="47" customFormat="1" ht="12.75" customHeight="1" x14ac:dyDescent="0.25">
      <c r="A25" s="36"/>
      <c r="B25" s="36"/>
      <c r="C25" s="36"/>
      <c r="D25" s="37"/>
      <c r="E25" s="38"/>
      <c r="F25" s="38"/>
      <c r="G25" s="39"/>
      <c r="H25" s="36"/>
      <c r="I25" s="36"/>
      <c r="J25" s="48"/>
      <c r="K25" s="38"/>
      <c r="L25" s="49"/>
      <c r="M25" s="36"/>
    </row>
    <row r="26" spans="1:15" s="56" customFormat="1" ht="12.75" customHeight="1" x14ac:dyDescent="0.25">
      <c r="A26" s="50" t="s">
        <v>149</v>
      </c>
      <c r="B26" s="50"/>
      <c r="C26" s="50"/>
      <c r="D26" s="51">
        <f>SUM(D9:D25)</f>
        <v>0.16000399999999998</v>
      </c>
      <c r="E26" s="52">
        <f>'Nov 09'!$D26*$C$6*$C$2</f>
        <v>32048805.640703011</v>
      </c>
      <c r="F26" s="53"/>
      <c r="G26" s="53"/>
      <c r="H26" s="50"/>
      <c r="I26" s="50"/>
      <c r="J26" s="54"/>
      <c r="K26" s="52">
        <f>SUM(K9:K25)</f>
        <v>32048854.587794349</v>
      </c>
      <c r="L26" s="55">
        <f>'Nov 09'!$K26/$K$2</f>
        <v>0.15996473993218774</v>
      </c>
      <c r="M26" s="50"/>
    </row>
    <row r="27" spans="1:15" s="47" customFormat="1" ht="12.75" customHeight="1" x14ac:dyDescent="0.25">
      <c r="A27" s="36"/>
      <c r="B27" s="36"/>
      <c r="C27" s="36"/>
      <c r="D27" s="37"/>
      <c r="E27" s="38"/>
      <c r="F27" s="38"/>
      <c r="G27" s="39"/>
      <c r="H27" s="36"/>
      <c r="I27" s="36"/>
      <c r="J27" s="48"/>
      <c r="K27" s="38"/>
      <c r="L27" s="42"/>
      <c r="M27" s="36"/>
    </row>
    <row r="28" spans="1:15" s="46" customFormat="1" ht="12.75" customHeight="1" x14ac:dyDescent="0.25">
      <c r="A28" s="57"/>
      <c r="B28" s="50" t="s">
        <v>35</v>
      </c>
      <c r="C28" s="57" t="s">
        <v>36</v>
      </c>
      <c r="D28" s="58">
        <v>0.02</v>
      </c>
      <c r="E28" s="59">
        <f>'Nov 09'!$D28*$C$6*$C$2</f>
        <v>4006000.5550739998</v>
      </c>
      <c r="F28" s="53">
        <v>18.699999021937899</v>
      </c>
      <c r="G28" s="60">
        <f>'Nov 09'!$E28/'Nov 09'!$F28</f>
        <v>214224.6398181284</v>
      </c>
      <c r="H28" s="57">
        <v>204486</v>
      </c>
      <c r="I28" s="57">
        <f>ROUND(Table1389584567991011121314456267891011121314151617181920213456789101112131415161718192021222334567[[#This Row],[Target Quantity]],0)</f>
        <v>214225</v>
      </c>
      <c r="J28" s="61">
        <f>I28-H28</f>
        <v>9739</v>
      </c>
      <c r="K28" s="62">
        <f>'Nov 09'!$F28*'Nov 09'!$I28</f>
        <v>4006007.2904746463</v>
      </c>
      <c r="L28" s="55">
        <f>'Nov 09'!$K28/$K$2</f>
        <v>1.9995095694661048E-2</v>
      </c>
      <c r="M28" s="50"/>
      <c r="O28" s="44"/>
    </row>
    <row r="29" spans="1:15" s="46" customFormat="1" ht="12.75" customHeight="1" x14ac:dyDescent="0.25">
      <c r="A29" s="36"/>
      <c r="B29" s="36"/>
      <c r="C29" s="36"/>
      <c r="D29" s="37"/>
      <c r="E29" s="38"/>
      <c r="F29" s="38"/>
      <c r="G29" s="39"/>
      <c r="H29" s="36"/>
      <c r="I29" s="36"/>
      <c r="J29" s="48"/>
      <c r="K29" s="41"/>
      <c r="L29" s="42"/>
      <c r="M29" s="36"/>
      <c r="O29" s="44"/>
    </row>
    <row r="30" spans="1:15" s="4" customFormat="1" ht="25.5" x14ac:dyDescent="0.2">
      <c r="A30" s="36" t="s">
        <v>150</v>
      </c>
      <c r="B30" s="63" t="s">
        <v>98</v>
      </c>
      <c r="C30" s="64" t="s">
        <v>99</v>
      </c>
      <c r="D30" s="37">
        <v>3.1E-2</v>
      </c>
      <c r="E30" s="38">
        <f>'Nov 09'!$D30*$C$6*$C$2</f>
        <v>6209300.8603646997</v>
      </c>
      <c r="F30" s="38">
        <v>158084.189189189</v>
      </c>
      <c r="G30" s="39">
        <f>'Nov 09'!$E30/'Nov 09'!$F30</f>
        <v>39.278443291590982</v>
      </c>
      <c r="H30" s="36">
        <v>37</v>
      </c>
      <c r="I30" s="36">
        <v>39</v>
      </c>
      <c r="J30" s="40">
        <f t="shared" ref="J30:J39" si="1">I30-H30</f>
        <v>2</v>
      </c>
      <c r="K30" s="41">
        <f>'Nov 09'!$F30*'Nov 09'!$I30</f>
        <v>6165283.3783783708</v>
      </c>
      <c r="L30" s="42">
        <f>'Nov 09'!$K30/$K$2</f>
        <v>3.0772642732952334E-2</v>
      </c>
      <c r="M30" s="65"/>
    </row>
    <row r="31" spans="1:15" s="4" customFormat="1" ht="25.5" x14ac:dyDescent="0.2">
      <c r="A31" s="36" t="s">
        <v>150</v>
      </c>
      <c r="B31" s="63" t="s">
        <v>102</v>
      </c>
      <c r="C31" s="64" t="s">
        <v>103</v>
      </c>
      <c r="D31" s="37">
        <v>3.1E-2</v>
      </c>
      <c r="E31" s="38">
        <f>'Nov 09'!$D31*$C$6*$C$2</f>
        <v>6209300.8603646997</v>
      </c>
      <c r="F31" s="38">
        <v>217813.33333333299</v>
      </c>
      <c r="G31" s="39">
        <f>'Nov 09'!$E31/'Nov 09'!$F31</f>
        <v>28.507441511223874</v>
      </c>
      <c r="H31" s="36">
        <v>27</v>
      </c>
      <c r="I31" s="36">
        <v>29</v>
      </c>
      <c r="J31" s="40">
        <f t="shared" si="1"/>
        <v>2</v>
      </c>
      <c r="K31" s="41">
        <f>'Nov 09'!$F31*'Nov 09'!$I31</f>
        <v>6316586.6666666567</v>
      </c>
      <c r="L31" s="42">
        <f>'Nov 09'!$K31/$K$2</f>
        <v>3.152783949343619E-2</v>
      </c>
      <c r="M31" s="65"/>
    </row>
    <row r="32" spans="1:15" s="4" customFormat="1" ht="25.5" x14ac:dyDescent="0.2">
      <c r="A32" s="36" t="s">
        <v>150</v>
      </c>
      <c r="B32" s="63" t="s">
        <v>104</v>
      </c>
      <c r="C32" s="64" t="s">
        <v>105</v>
      </c>
      <c r="D32" s="37">
        <v>3.1E-2</v>
      </c>
      <c r="E32" s="38">
        <f>'Nov 09'!$D32*$C$6*$C$2</f>
        <v>6209300.8603646997</v>
      </c>
      <c r="F32" s="38">
        <v>173587.5</v>
      </c>
      <c r="G32" s="39">
        <f>'Nov 09'!$E32/'Nov 09'!$F32</f>
        <v>35.770437735232662</v>
      </c>
      <c r="H32" s="36">
        <v>34</v>
      </c>
      <c r="I32" s="36">
        <v>36</v>
      </c>
      <c r="J32" s="40">
        <f t="shared" si="1"/>
        <v>2</v>
      </c>
      <c r="K32" s="41">
        <f>'Nov 09'!$F32*'Nov 09'!$I32</f>
        <v>6249150</v>
      </c>
      <c r="L32" s="42">
        <f>'Nov 09'!$K32/$K$2</f>
        <v>3.119124434880554E-2</v>
      </c>
      <c r="M32" s="65"/>
    </row>
    <row r="33" spans="1:13" s="4" customFormat="1" ht="25.5" x14ac:dyDescent="0.2">
      <c r="A33" s="36" t="s">
        <v>150</v>
      </c>
      <c r="B33" s="63" t="s">
        <v>106</v>
      </c>
      <c r="C33" s="64" t="s">
        <v>107</v>
      </c>
      <c r="D33" s="37">
        <v>3.1E-2</v>
      </c>
      <c r="E33" s="38">
        <f>'Nov 09'!$D33*$C$6*$C$2</f>
        <v>6209300.8603646997</v>
      </c>
      <c r="F33" s="38">
        <v>125721.70212766</v>
      </c>
      <c r="G33" s="39">
        <f>'Nov 09'!$E33/'Nov 09'!$F33</f>
        <v>49.389252255427373</v>
      </c>
      <c r="H33" s="36">
        <v>47</v>
      </c>
      <c r="I33" s="36">
        <v>49</v>
      </c>
      <c r="J33" s="40">
        <f t="shared" si="1"/>
        <v>2</v>
      </c>
      <c r="K33" s="41">
        <f>'Nov 09'!$F33*'Nov 09'!$I33</f>
        <v>6160363.4042553399</v>
      </c>
      <c r="L33" s="42">
        <f>'Nov 09'!$K33/$K$2</f>
        <v>3.0748085774796225E-2</v>
      </c>
      <c r="M33" s="65"/>
    </row>
    <row r="34" spans="1:13" s="4" customFormat="1" ht="25.5" x14ac:dyDescent="0.2">
      <c r="A34" s="36" t="s">
        <v>150</v>
      </c>
      <c r="B34" s="63" t="s">
        <v>108</v>
      </c>
      <c r="C34" s="64" t="s">
        <v>109</v>
      </c>
      <c r="D34" s="37">
        <v>3.1E-2</v>
      </c>
      <c r="E34" s="38">
        <f>'Nov 09'!$D34*$C$6*$C$2</f>
        <v>6209300.8603646997</v>
      </c>
      <c r="F34" s="38">
        <v>138698.30952380999</v>
      </c>
      <c r="G34" s="39">
        <f>'Nov 09'!$E34/'Nov 09'!$F34</f>
        <v>44.768396108668973</v>
      </c>
      <c r="H34" s="36">
        <v>42</v>
      </c>
      <c r="I34" s="36">
        <v>45</v>
      </c>
      <c r="J34" s="40">
        <f t="shared" si="1"/>
        <v>3</v>
      </c>
      <c r="K34" s="41">
        <f>'Nov 09'!$F34*'Nov 09'!$I34</f>
        <v>6241423.9285714496</v>
      </c>
      <c r="L34" s="42">
        <f>'Nov 09'!$K34/$K$2</f>
        <v>3.1152681379156187E-2</v>
      </c>
      <c r="M34" s="65"/>
    </row>
    <row r="35" spans="1:13" s="4" customFormat="1" ht="25.5" x14ac:dyDescent="0.2">
      <c r="A35" s="36" t="s">
        <v>150</v>
      </c>
      <c r="B35" s="63" t="s">
        <v>114</v>
      </c>
      <c r="C35" s="64" t="s">
        <v>115</v>
      </c>
      <c r="D35" s="37">
        <v>3.1E-2</v>
      </c>
      <c r="E35" s="38">
        <f>'Nov 09'!$D35*$C$6*$C$2</f>
        <v>6209300.8603646997</v>
      </c>
      <c r="F35" s="38">
        <v>220828.11111111101</v>
      </c>
      <c r="G35" s="39">
        <f>'Nov 09'!$E35/'Nov 09'!$F35</f>
        <v>28.118253736456825</v>
      </c>
      <c r="H35" s="36">
        <v>27</v>
      </c>
      <c r="I35" s="36">
        <v>28</v>
      </c>
      <c r="J35" s="40">
        <f t="shared" si="1"/>
        <v>1</v>
      </c>
      <c r="K35" s="41">
        <f>'Nov 09'!$F35*'Nov 09'!$I35</f>
        <v>6183187.1111111082</v>
      </c>
      <c r="L35" s="42">
        <f>'Nov 09'!$K35/$K$2</f>
        <v>3.0862005238640709E-2</v>
      </c>
      <c r="M35" s="65"/>
    </row>
    <row r="36" spans="1:13" s="46" customFormat="1" ht="25.5" customHeight="1" x14ac:dyDescent="0.25">
      <c r="A36" s="36" t="s">
        <v>151</v>
      </c>
      <c r="B36" s="36" t="s">
        <v>152</v>
      </c>
      <c r="C36" s="36" t="s">
        <v>63</v>
      </c>
      <c r="D36" s="37">
        <v>3.1E-2</v>
      </c>
      <c r="E36" s="38">
        <f>'Nov 09'!$D36*$C$6*$C$2</f>
        <v>6209300.8603646997</v>
      </c>
      <c r="F36" s="38">
        <v>116229.31372549001</v>
      </c>
      <c r="G36" s="39">
        <f>'Nov 09'!$E36/'Nov 09'!$F36</f>
        <v>53.422847140178469</v>
      </c>
      <c r="H36" s="36">
        <v>51</v>
      </c>
      <c r="I36" s="36">
        <v>53</v>
      </c>
      <c r="J36" s="40">
        <f t="shared" si="1"/>
        <v>2</v>
      </c>
      <c r="K36" s="41">
        <f>'Nov 09'!$F36*'Nov 09'!$I36</f>
        <v>6160153.62745097</v>
      </c>
      <c r="L36" s="42">
        <f>'Nov 09'!$K36/$K$2</f>
        <v>3.0747038720466625E-2</v>
      </c>
      <c r="M36" s="43"/>
    </row>
    <row r="37" spans="1:13" s="46" customFormat="1" ht="25.5" x14ac:dyDescent="0.25">
      <c r="A37" s="36" t="s">
        <v>151</v>
      </c>
      <c r="B37" s="36" t="s">
        <v>60</v>
      </c>
      <c r="C37" s="36" t="s">
        <v>61</v>
      </c>
      <c r="D37" s="37">
        <v>3.1E-2</v>
      </c>
      <c r="E37" s="38">
        <f>'Nov 09'!$D37*$C$6*$C$2</f>
        <v>6209300.8603646997</v>
      </c>
      <c r="F37" s="38">
        <v>135288.704545455</v>
      </c>
      <c r="G37" s="39">
        <f>'Nov 09'!$E37/'Nov 09'!$F37</f>
        <v>45.896668766448769</v>
      </c>
      <c r="H37" s="36">
        <v>44</v>
      </c>
      <c r="I37" s="36">
        <v>46</v>
      </c>
      <c r="J37" s="40">
        <f t="shared" si="1"/>
        <v>2</v>
      </c>
      <c r="K37" s="41">
        <f>'Nov 09'!$F37*'Nov 09'!$I37</f>
        <v>6223280.4090909297</v>
      </c>
      <c r="L37" s="42">
        <f>'Nov 09'!$K37/$K$2</f>
        <v>3.1062122031170588E-2</v>
      </c>
      <c r="M37" s="43"/>
    </row>
    <row r="38" spans="1:13" s="46" customFormat="1" ht="25.5" x14ac:dyDescent="0.25">
      <c r="A38" s="36" t="s">
        <v>151</v>
      </c>
      <c r="B38" s="36" t="s">
        <v>56</v>
      </c>
      <c r="C38" s="36" t="s">
        <v>57</v>
      </c>
      <c r="D38" s="37">
        <v>3.1E-2</v>
      </c>
      <c r="E38" s="38">
        <f>'Nov 09'!$D38*$C$6*$C$2</f>
        <v>6209300.8603646997</v>
      </c>
      <c r="F38" s="38">
        <v>179532.51515151499</v>
      </c>
      <c r="G38" s="39">
        <f>'Nov 09'!$E38/'Nov 09'!$F38</f>
        <v>34.585940352500558</v>
      </c>
      <c r="H38" s="36">
        <v>33</v>
      </c>
      <c r="I38" s="36">
        <v>35</v>
      </c>
      <c r="J38" s="40">
        <f t="shared" si="1"/>
        <v>2</v>
      </c>
      <c r="K38" s="41">
        <f>'Nov 09'!$F38*'Nov 09'!$I38</f>
        <v>6283638.0303030247</v>
      </c>
      <c r="L38" s="42">
        <f>'Nov 09'!$K38/$K$2</f>
        <v>3.1363383692602803E-2</v>
      </c>
      <c r="M38" s="43"/>
    </row>
    <row r="39" spans="1:13" s="46" customFormat="1" ht="25.5" x14ac:dyDescent="0.25">
      <c r="A39" s="36" t="s">
        <v>151</v>
      </c>
      <c r="B39" s="36" t="s">
        <v>66</v>
      </c>
      <c r="C39" s="36" t="s">
        <v>67</v>
      </c>
      <c r="D39" s="37">
        <v>3.1E-2</v>
      </c>
      <c r="E39" s="38">
        <f>'Nov 09'!$D39*$C$6*$C$2</f>
        <v>6209300.8603646997</v>
      </c>
      <c r="F39" s="38">
        <v>271892.318181818</v>
      </c>
      <c r="G39" s="39">
        <f>'Nov 09'!$E39/'Nov 09'!$F39</f>
        <v>22.837353044349189</v>
      </c>
      <c r="H39" s="36">
        <v>22</v>
      </c>
      <c r="I39" s="36">
        <v>23</v>
      </c>
      <c r="J39" s="40">
        <f t="shared" si="1"/>
        <v>1</v>
      </c>
      <c r="K39" s="41">
        <f>'Nov 09'!$F39*'Nov 09'!$I39</f>
        <v>6253523.3181818137</v>
      </c>
      <c r="L39" s="42">
        <f>'Nov 09'!$K39/$K$2</f>
        <v>3.1213072795238099E-2</v>
      </c>
      <c r="M39" s="43"/>
    </row>
    <row r="40" spans="1:13" s="67" customFormat="1" ht="12.75" x14ac:dyDescent="0.2">
      <c r="A40" s="36"/>
      <c r="B40" s="64"/>
      <c r="C40" s="64"/>
      <c r="D40" s="37"/>
      <c r="E40" s="66"/>
      <c r="F40" s="38"/>
      <c r="G40" s="39"/>
      <c r="H40" s="36"/>
      <c r="I40" s="36"/>
      <c r="J40" s="48"/>
      <c r="K40" s="38"/>
      <c r="L40" s="49"/>
      <c r="M40" s="65"/>
    </row>
    <row r="41" spans="1:13" s="17" customFormat="1" ht="12.75" x14ac:dyDescent="0.2">
      <c r="A41" s="50" t="s">
        <v>153</v>
      </c>
      <c r="B41" s="68"/>
      <c r="C41" s="68"/>
      <c r="D41" s="58">
        <f>SUBTOTAL(9,D30:D40)</f>
        <v>0.31000000000000005</v>
      </c>
      <c r="E41" s="69">
        <f>'Nov 09'!$D41*$C$6*$C$2</f>
        <v>62093008.603647001</v>
      </c>
      <c r="F41" s="70"/>
      <c r="G41" s="71"/>
      <c r="H41" s="57"/>
      <c r="I41" s="57"/>
      <c r="J41" s="61"/>
      <c r="K41" s="69">
        <f>SUM(K30:K40)</f>
        <v>62236589.874009654</v>
      </c>
      <c r="L41" s="72">
        <f>'Nov 09'!$K41/$K$2</f>
        <v>0.31064011620726523</v>
      </c>
      <c r="M41" s="73"/>
    </row>
    <row r="42" spans="1:13" s="67" customFormat="1" ht="12.75" x14ac:dyDescent="0.2">
      <c r="A42" s="36"/>
      <c r="B42" s="64"/>
      <c r="C42" s="64"/>
      <c r="D42" s="37"/>
      <c r="E42" s="66"/>
      <c r="F42" s="38"/>
      <c r="G42" s="39"/>
      <c r="H42" s="36"/>
      <c r="I42" s="36"/>
      <c r="J42" s="48"/>
      <c r="K42" s="38"/>
      <c r="L42" s="42"/>
      <c r="M42" s="65"/>
    </row>
    <row r="43" spans="1:13" s="4" customFormat="1" ht="24.75" customHeight="1" x14ac:dyDescent="0.2">
      <c r="A43" s="36" t="s">
        <v>150</v>
      </c>
      <c r="B43" s="64" t="s">
        <v>110</v>
      </c>
      <c r="C43" s="64" t="s">
        <v>111</v>
      </c>
      <c r="D43" s="37">
        <v>0.1</v>
      </c>
      <c r="E43" s="38">
        <f>'Nov 09'!$D43*$C$6*$C$2</f>
        <v>20030002.775369998</v>
      </c>
      <c r="F43" s="38">
        <v>416332.45652173902</v>
      </c>
      <c r="G43" s="39">
        <f>'Nov 09'!$E43/'Nov 09'!$F43</f>
        <v>48.11059637942045</v>
      </c>
      <c r="H43" s="36">
        <v>46</v>
      </c>
      <c r="I43" s="36">
        <v>48</v>
      </c>
      <c r="J43" s="40">
        <f>I43-H43</f>
        <v>2</v>
      </c>
      <c r="K43" s="41">
        <f>'Nov 09'!$F43*'Nov 09'!$I43</f>
        <v>19983957.913043473</v>
      </c>
      <c r="L43" s="42">
        <f>'Nov 09'!$K43/$K$2</f>
        <v>9.9745487677841776E-2</v>
      </c>
      <c r="M43" s="65"/>
    </row>
    <row r="44" spans="1:13" s="46" customFormat="1" ht="25.5" x14ac:dyDescent="0.25">
      <c r="A44" s="36" t="s">
        <v>151</v>
      </c>
      <c r="B44" s="36" t="s">
        <v>68</v>
      </c>
      <c r="C44" s="36" t="s">
        <v>69</v>
      </c>
      <c r="D44" s="37">
        <v>0.1</v>
      </c>
      <c r="E44" s="38">
        <f>'Nov 09'!$D44*$C$6*$C$2</f>
        <v>20030002.775369998</v>
      </c>
      <c r="F44" s="38">
        <v>249422.342105263</v>
      </c>
      <c r="G44" s="39">
        <f>'Nov 09'!$E44/'Nov 09'!$F44</f>
        <v>80.305567682131667</v>
      </c>
      <c r="H44" s="36">
        <v>76</v>
      </c>
      <c r="I44" s="36">
        <v>80</v>
      </c>
      <c r="J44" s="40">
        <f>I44-H44</f>
        <v>4</v>
      </c>
      <c r="K44" s="41">
        <f>'Nov 09'!$F44*'Nov 09'!$I44</f>
        <v>19953787.36842104</v>
      </c>
      <c r="L44" s="42">
        <f>'Nov 09'!$K44/$K$2</f>
        <v>9.9594898104947094E-2</v>
      </c>
      <c r="M44" s="43"/>
    </row>
    <row r="45" spans="1:13" s="46" customFormat="1" ht="25.5" x14ac:dyDescent="0.25">
      <c r="A45" s="36" t="s">
        <v>151</v>
      </c>
      <c r="B45" s="36" t="s">
        <v>92</v>
      </c>
      <c r="C45" s="36" t="s">
        <v>93</v>
      </c>
      <c r="D45" s="37">
        <v>0.1</v>
      </c>
      <c r="E45" s="38">
        <f>'Nov 09'!$D45*$C$6*$C$2</f>
        <v>20030002.775369998</v>
      </c>
      <c r="F45" s="38">
        <v>416300.369565217</v>
      </c>
      <c r="G45" s="39">
        <f>'Nov 09'!$E45/'Nov 09'!$F45</f>
        <v>48.114304573616593</v>
      </c>
      <c r="H45" s="36">
        <v>46</v>
      </c>
      <c r="I45" s="36">
        <v>48</v>
      </c>
      <c r="J45" s="40">
        <f>I45-H45</f>
        <v>2</v>
      </c>
      <c r="K45" s="41">
        <f>'Nov 09'!$F45*'Nov 09'!$I45</f>
        <v>19982417.739130415</v>
      </c>
      <c r="L45" s="42">
        <f>'Nov 09'!$K45/$K$2</f>
        <v>9.9737800241812585E-2</v>
      </c>
      <c r="M45" s="43"/>
    </row>
    <row r="46" spans="1:13" s="46" customFormat="1" ht="25.5" x14ac:dyDescent="0.25">
      <c r="A46" s="36" t="s">
        <v>151</v>
      </c>
      <c r="B46" s="36" t="s">
        <v>95</v>
      </c>
      <c r="C46" s="36" t="s">
        <v>96</v>
      </c>
      <c r="D46" s="37">
        <v>0.1</v>
      </c>
      <c r="E46" s="38">
        <f>'Nov 09'!$D46*$C$6*$C$2</f>
        <v>20030002.775369998</v>
      </c>
      <c r="F46" s="38">
        <v>249780.94736842101</v>
      </c>
      <c r="G46" s="39">
        <f>'Nov 09'!$E46/'Nov 09'!$F46</f>
        <v>80.190274664248975</v>
      </c>
      <c r="H46" s="36">
        <v>76</v>
      </c>
      <c r="I46" s="36">
        <v>80</v>
      </c>
      <c r="J46" s="40">
        <f>I46-H46</f>
        <v>4</v>
      </c>
      <c r="K46" s="41">
        <f>'Nov 09'!$F46*'Nov 09'!$I46</f>
        <v>19982475.789473683</v>
      </c>
      <c r="L46" s="42">
        <f>'Nov 09'!$K46/$K$2</f>
        <v>9.9738089987208581E-2</v>
      </c>
      <c r="M46" s="43"/>
    </row>
    <row r="47" spans="1:13" s="46" customFormat="1" ht="25.5" x14ac:dyDescent="0.25">
      <c r="A47" s="36" t="s">
        <v>151</v>
      </c>
      <c r="B47" s="36" t="s">
        <v>77</v>
      </c>
      <c r="C47" s="36" t="s">
        <v>78</v>
      </c>
      <c r="D47" s="37">
        <v>0.1</v>
      </c>
      <c r="E47" s="38">
        <f>'Nov 09'!$D47*$C$6*$C$2</f>
        <v>20030002.775369998</v>
      </c>
      <c r="F47" s="38">
        <v>164846.87931034499</v>
      </c>
      <c r="G47" s="39">
        <f>'Nov 09'!$E47/'Nov 09'!$F47</f>
        <v>121.50671495370561</v>
      </c>
      <c r="H47" s="36">
        <v>116</v>
      </c>
      <c r="I47" s="36">
        <v>122</v>
      </c>
      <c r="J47" s="40">
        <f>I47-H47</f>
        <v>6</v>
      </c>
      <c r="K47" s="41">
        <f>'Nov 09'!$F47*'Nov 09'!$I47</f>
        <v>20111319.275862087</v>
      </c>
      <c r="L47" s="42">
        <f>'Nov 09'!$K47/$K$2</f>
        <v>0.10038118363461546</v>
      </c>
      <c r="M47" s="43"/>
    </row>
    <row r="48" spans="1:13" s="47" customFormat="1" ht="12.75" x14ac:dyDescent="0.25">
      <c r="A48" s="36"/>
      <c r="B48" s="36"/>
      <c r="C48" s="36"/>
      <c r="D48" s="37"/>
      <c r="E48" s="38"/>
      <c r="F48" s="38"/>
      <c r="G48" s="39"/>
      <c r="H48" s="36"/>
      <c r="I48" s="36"/>
      <c r="J48" s="48"/>
      <c r="K48" s="38"/>
      <c r="L48" s="42"/>
      <c r="M48" s="36"/>
    </row>
    <row r="49" spans="1:16" s="56" customFormat="1" ht="25.5" x14ac:dyDescent="0.25">
      <c r="A49" s="50" t="s">
        <v>154</v>
      </c>
      <c r="B49" s="50"/>
      <c r="C49" s="50"/>
      <c r="D49" s="58">
        <f>SUBTOTAL(9,D43:D48)</f>
        <v>0.5</v>
      </c>
      <c r="E49" s="52">
        <f>'Nov 09'!$D49*$C$6*$C$2</f>
        <v>100150013.87684999</v>
      </c>
      <c r="F49" s="71"/>
      <c r="G49" s="71"/>
      <c r="H49" s="57"/>
      <c r="I49" s="57"/>
      <c r="J49" s="61"/>
      <c r="K49" s="52">
        <f>SUM(K43:K48)</f>
        <v>100013958.08593069</v>
      </c>
      <c r="L49" s="74">
        <f>'Nov 09'!$K49/$K$2</f>
        <v>0.49919745964642548</v>
      </c>
      <c r="M49" s="50"/>
    </row>
    <row r="50" spans="1:16" s="47" customFormat="1" ht="12.75" x14ac:dyDescent="0.25">
      <c r="A50" s="36"/>
      <c r="B50" s="36"/>
      <c r="C50" s="36"/>
      <c r="D50" s="37"/>
      <c r="E50" s="38"/>
      <c r="F50" s="38"/>
      <c r="G50" s="39"/>
      <c r="H50" s="36"/>
      <c r="I50" s="36"/>
      <c r="J50" s="48"/>
      <c r="K50" s="38"/>
      <c r="L50" s="42"/>
      <c r="M50" s="36"/>
    </row>
    <row r="51" spans="1:16" s="46" customFormat="1" ht="12.75" x14ac:dyDescent="0.25">
      <c r="A51" s="36"/>
      <c r="B51" s="36"/>
      <c r="C51" s="36"/>
      <c r="D51" s="37"/>
      <c r="E51" s="38"/>
      <c r="F51" s="38"/>
      <c r="G51" s="75"/>
      <c r="H51" s="36"/>
      <c r="I51" s="36"/>
      <c r="J51" s="40"/>
      <c r="K51" s="41"/>
      <c r="L51" s="42"/>
      <c r="M51" s="43"/>
    </row>
    <row r="52" spans="1:16" s="46" customFormat="1" ht="25.5" x14ac:dyDescent="0.25">
      <c r="A52" s="36" t="s">
        <v>155</v>
      </c>
      <c r="B52" s="36" t="s">
        <v>156</v>
      </c>
      <c r="C52" s="36" t="s">
        <v>54</v>
      </c>
      <c r="D52" s="37">
        <v>1E-3</v>
      </c>
      <c r="E52" s="38">
        <f>'Nov 09'!$D52*$C$6*$C$2</f>
        <v>200300.02775370001</v>
      </c>
      <c r="F52" s="38">
        <v>47375.25</v>
      </c>
      <c r="G52" s="75">
        <f>'Nov 09'!$E52/'Nov 09'!$F52</f>
        <v>4.227946612497032</v>
      </c>
      <c r="H52" s="36">
        <v>4</v>
      </c>
      <c r="I52" s="36">
        <v>4</v>
      </c>
      <c r="J52" s="40">
        <f t="shared" ref="J52:J61" si="2">I52-H52</f>
        <v>0</v>
      </c>
      <c r="K52" s="41">
        <f>'Nov 09'!$F52*'Nov 09'!$I52</f>
        <v>189501</v>
      </c>
      <c r="L52" s="42">
        <f>'Nov 09'!$K52/$K$2</f>
        <v>9.4585215514797992E-4</v>
      </c>
      <c r="M52" s="43"/>
    </row>
    <row r="53" spans="1:16" s="46" customFormat="1" ht="25.5" x14ac:dyDescent="0.25">
      <c r="A53" s="36" t="s">
        <v>155</v>
      </c>
      <c r="B53" s="36" t="s">
        <v>71</v>
      </c>
      <c r="C53" s="36" t="s">
        <v>72</v>
      </c>
      <c r="D53" s="37">
        <v>1E-3</v>
      </c>
      <c r="E53" s="38">
        <f>'Nov 09'!$D53*$C$6*$C$2</f>
        <v>200300.02775370001</v>
      </c>
      <c r="F53" s="38">
        <v>79126</v>
      </c>
      <c r="G53" s="75">
        <f>'Nov 09'!$E53/'Nov 09'!$F53</f>
        <v>2.5314059570014913</v>
      </c>
      <c r="H53" s="36">
        <v>2</v>
      </c>
      <c r="I53" s="36">
        <v>3</v>
      </c>
      <c r="J53" s="40">
        <f t="shared" si="2"/>
        <v>1</v>
      </c>
      <c r="K53" s="41">
        <f>'Nov 09'!$F53*'Nov 09'!$I53</f>
        <v>237378</v>
      </c>
      <c r="L53" s="42">
        <f>'Nov 09'!$K53/$K$2</f>
        <v>1.184819567626119E-3</v>
      </c>
      <c r="M53" s="43"/>
      <c r="P53" s="46" t="s">
        <v>159</v>
      </c>
    </row>
    <row r="54" spans="1:16" s="46" customFormat="1" ht="25.5" x14ac:dyDescent="0.25">
      <c r="A54" s="36" t="s">
        <v>155</v>
      </c>
      <c r="B54" s="36" t="s">
        <v>160</v>
      </c>
      <c r="C54" s="36" t="s">
        <v>84</v>
      </c>
      <c r="D54" s="37">
        <v>1E-3</v>
      </c>
      <c r="E54" s="38">
        <f>'Nov 09'!$D54*$C$6*$C$2</f>
        <v>200300.02775370001</v>
      </c>
      <c r="F54" s="38">
        <v>94635.5</v>
      </c>
      <c r="G54" s="75">
        <f>'Nov 09'!$E54/'Nov 09'!$F54</f>
        <v>2.1165421829408628</v>
      </c>
      <c r="H54" s="36">
        <v>2</v>
      </c>
      <c r="I54" s="36">
        <v>2</v>
      </c>
      <c r="J54" s="40">
        <f t="shared" si="2"/>
        <v>0</v>
      </c>
      <c r="K54" s="41">
        <f>'Nov 09'!$F54*'Nov 09'!$I54</f>
        <v>189271</v>
      </c>
      <c r="L54" s="42">
        <f>'Nov 09'!$K54/$K$2</f>
        <v>9.4470416122877077E-4</v>
      </c>
      <c r="M54" s="43"/>
    </row>
    <row r="55" spans="1:16" s="46" customFormat="1" ht="25.5" x14ac:dyDescent="0.25">
      <c r="A55" s="36" t="s">
        <v>155</v>
      </c>
      <c r="B55" s="36" t="s">
        <v>161</v>
      </c>
      <c r="C55" s="36" t="s">
        <v>86</v>
      </c>
      <c r="D55" s="37">
        <v>1E-3</v>
      </c>
      <c r="E55" s="38">
        <f>'Nov 09'!$D55*$C$6*$C$2</f>
        <v>200300.02775370001</v>
      </c>
      <c r="F55" s="38">
        <v>247502</v>
      </c>
      <c r="G55" s="75">
        <f>'Nov 09'!$E55/'Nov 09'!$F55</f>
        <v>0.80928650174018801</v>
      </c>
      <c r="H55" s="36">
        <v>1</v>
      </c>
      <c r="I55" s="36">
        <v>1</v>
      </c>
      <c r="J55" s="40">
        <f t="shared" si="2"/>
        <v>0</v>
      </c>
      <c r="K55" s="41">
        <f>'Nov 09'!$F55*'Nov 09'!$I55</f>
        <v>247502</v>
      </c>
      <c r="L55" s="42">
        <f>'Nov 09'!$K55/$K$2</f>
        <v>1.2353512651829559E-3</v>
      </c>
      <c r="M55" s="43"/>
    </row>
    <row r="56" spans="1:16" s="46" customFormat="1" ht="25.5" x14ac:dyDescent="0.25">
      <c r="A56" s="36" t="s">
        <v>155</v>
      </c>
      <c r="B56" s="36" t="s">
        <v>87</v>
      </c>
      <c r="C56" s="36" t="s">
        <v>88</v>
      </c>
      <c r="D56" s="37">
        <v>1E-3</v>
      </c>
      <c r="E56" s="38">
        <f>'Nov 09'!$D56*$C$6*$C$2</f>
        <v>200300.02775370001</v>
      </c>
      <c r="F56" s="38">
        <v>11802.2352941176</v>
      </c>
      <c r="G56" s="75">
        <f>'Nov 09'!$E56/'Nov 09'!$F56</f>
        <v>16.97136370883339</v>
      </c>
      <c r="H56" s="36">
        <v>17</v>
      </c>
      <c r="I56" s="36">
        <v>17</v>
      </c>
      <c r="J56" s="40">
        <f t="shared" si="2"/>
        <v>0</v>
      </c>
      <c r="K56" s="41">
        <f>'Nov 09'!$F56*'Nov 09'!$I56</f>
        <v>200637.99999999919</v>
      </c>
      <c r="L56" s="42">
        <f>'Nov 09'!$K56/$K$2</f>
        <v>1.0014400172272421E-3</v>
      </c>
      <c r="M56" s="43"/>
    </row>
    <row r="57" spans="1:16" s="46" customFormat="1" ht="25.5" x14ac:dyDescent="0.25">
      <c r="A57" s="36" t="s">
        <v>155</v>
      </c>
      <c r="B57" s="36" t="s">
        <v>162</v>
      </c>
      <c r="C57" s="36" t="s">
        <v>91</v>
      </c>
      <c r="D57" s="37">
        <v>1E-3</v>
      </c>
      <c r="E57" s="38">
        <f>'Nov 09'!$D57*$C$6*$C$2</f>
        <v>200300.02775370001</v>
      </c>
      <c r="F57" s="38">
        <v>91797.5</v>
      </c>
      <c r="G57" s="75">
        <f>'Nov 09'!$E57/'Nov 09'!$F57</f>
        <v>2.1819769356867016</v>
      </c>
      <c r="H57" s="36">
        <v>2</v>
      </c>
      <c r="I57" s="36">
        <v>2</v>
      </c>
      <c r="J57" s="40">
        <f t="shared" si="2"/>
        <v>0</v>
      </c>
      <c r="K57" s="41">
        <f>'Nov 09'!$F57*'Nov 09'!$I57</f>
        <v>183595</v>
      </c>
      <c r="L57" s="42">
        <f>'Nov 09'!$K57/$K$2</f>
        <v>9.1637366781385516E-4</v>
      </c>
      <c r="M57" s="43"/>
    </row>
    <row r="58" spans="1:16" s="4" customFormat="1" ht="25.5" x14ac:dyDescent="0.2">
      <c r="A58" s="36" t="s">
        <v>155</v>
      </c>
      <c r="B58" s="64" t="s">
        <v>163</v>
      </c>
      <c r="C58" s="64" t="s">
        <v>113</v>
      </c>
      <c r="D58" s="37">
        <v>1E-3</v>
      </c>
      <c r="E58" s="38">
        <f>'Nov 09'!$D58*$C$6*$C$2</f>
        <v>200300.02775370001</v>
      </c>
      <c r="F58" s="38">
        <v>66439</v>
      </c>
      <c r="G58" s="75">
        <f>'Nov 09'!$E58/'Nov 09'!$F58</f>
        <v>3.0147959444558166</v>
      </c>
      <c r="H58" s="36">
        <v>3</v>
      </c>
      <c r="I58" s="36">
        <v>3</v>
      </c>
      <c r="J58" s="40">
        <f t="shared" si="2"/>
        <v>0</v>
      </c>
      <c r="K58" s="41">
        <f>'Nov 09'!$F58*'Nov 09'!$I58</f>
        <v>199317</v>
      </c>
      <c r="L58" s="42">
        <f>'Nov 09'!$K58/$K$2</f>
        <v>9.9484653910865851E-4</v>
      </c>
      <c r="M58" s="65"/>
    </row>
    <row r="59" spans="1:16" s="46" customFormat="1" ht="25.5" x14ac:dyDescent="0.25">
      <c r="A59" s="36" t="s">
        <v>155</v>
      </c>
      <c r="B59" s="36" t="s">
        <v>164</v>
      </c>
      <c r="C59" s="36" t="s">
        <v>82</v>
      </c>
      <c r="D59" s="37">
        <v>1E-3</v>
      </c>
      <c r="E59" s="38">
        <f>'Nov 09'!$D59*$C$6*$C$2</f>
        <v>200300.02775370001</v>
      </c>
      <c r="F59" s="38">
        <v>28470</v>
      </c>
      <c r="G59" s="75">
        <f>'Nov 09'!$E59/'Nov 09'!$F59</f>
        <v>7.0354769144257112</v>
      </c>
      <c r="H59" s="36">
        <v>6</v>
      </c>
      <c r="I59" s="36">
        <v>7</v>
      </c>
      <c r="J59" s="40">
        <f t="shared" si="2"/>
        <v>1</v>
      </c>
      <c r="K59" s="41">
        <f>'Nov 09'!$F59*'Nov 09'!$I59</f>
        <v>199290</v>
      </c>
      <c r="L59" s="42">
        <f>'Nov 09'!$K59/$K$2</f>
        <v>9.9471177460509915E-4</v>
      </c>
      <c r="M59" s="43"/>
    </row>
    <row r="60" spans="1:16" s="46" customFormat="1" ht="25.5" x14ac:dyDescent="0.25">
      <c r="A60" s="36" t="s">
        <v>155</v>
      </c>
      <c r="B60" s="36" t="s">
        <v>100</v>
      </c>
      <c r="C60" s="36" t="s">
        <v>101</v>
      </c>
      <c r="D60" s="37">
        <v>1E-3</v>
      </c>
      <c r="E60" s="38">
        <f>'Nov 09'!$D60*$C$6*$C$2</f>
        <v>200300.02775370001</v>
      </c>
      <c r="F60" s="38">
        <v>7547.72</v>
      </c>
      <c r="G60" s="75">
        <f>'Nov 09'!$E60/'Nov 09'!$F60</f>
        <v>26.53781907035502</v>
      </c>
      <c r="H60" s="36">
        <v>25</v>
      </c>
      <c r="I60" s="36">
        <v>27</v>
      </c>
      <c r="J60" s="40">
        <f t="shared" si="2"/>
        <v>2</v>
      </c>
      <c r="K60" s="41">
        <f>'Nov 09'!$F60*'Nov 09'!$I60</f>
        <v>203788.44</v>
      </c>
      <c r="L60" s="42">
        <f>'Nov 09'!$K60/$K$2</f>
        <v>1.0171647388047809E-3</v>
      </c>
      <c r="M60" s="43"/>
    </row>
    <row r="61" spans="1:16" s="46" customFormat="1" ht="25.5" x14ac:dyDescent="0.25">
      <c r="A61" s="36" t="s">
        <v>155</v>
      </c>
      <c r="B61" s="36" t="s">
        <v>174</v>
      </c>
      <c r="C61" s="36" t="s">
        <v>75</v>
      </c>
      <c r="D61" s="37">
        <v>1E-3</v>
      </c>
      <c r="E61" s="38">
        <f>'Nov 09'!$D61*$C$6*$C$2</f>
        <v>200300.02775370001</v>
      </c>
      <c r="F61" s="38">
        <v>27686.142857142899</v>
      </c>
      <c r="G61" s="75">
        <f>'Nov 09'!$E61/'Nov 09'!$F61</f>
        <v>7.2346671324793626</v>
      </c>
      <c r="H61" s="36">
        <v>7</v>
      </c>
      <c r="I61" s="36">
        <v>7</v>
      </c>
      <c r="J61" s="40">
        <f t="shared" si="2"/>
        <v>0</v>
      </c>
      <c r="K61" s="41">
        <f>'Nov 09'!$F61*'Nov 09'!$I61</f>
        <v>193803.00000000029</v>
      </c>
      <c r="L61" s="42">
        <f>'Nov 09'!$K61/$K$2</f>
        <v>9.6732463271510024E-4</v>
      </c>
      <c r="M61" s="43"/>
    </row>
    <row r="62" spans="1:16" s="46" customFormat="1" ht="12.75" x14ac:dyDescent="0.25">
      <c r="A62" s="36"/>
      <c r="B62" s="36"/>
      <c r="C62" s="36"/>
      <c r="D62" s="37"/>
      <c r="E62" s="38"/>
      <c r="F62" s="38"/>
      <c r="G62" s="39"/>
      <c r="H62" s="36"/>
      <c r="I62" s="36"/>
      <c r="J62" s="43"/>
      <c r="K62" s="41"/>
      <c r="L62" s="42"/>
      <c r="M62" s="43"/>
    </row>
    <row r="63" spans="1:16" s="46" customFormat="1" ht="12.75" x14ac:dyDescent="0.25">
      <c r="A63" s="36"/>
      <c r="B63" s="36"/>
      <c r="C63" s="36"/>
      <c r="D63" s="37"/>
      <c r="E63" s="38"/>
      <c r="F63" s="38"/>
      <c r="G63" s="39"/>
      <c r="H63" s="36"/>
      <c r="I63" s="36"/>
      <c r="J63" s="43"/>
      <c r="K63" s="41"/>
      <c r="L63" s="42"/>
      <c r="M63" s="43"/>
    </row>
    <row r="64" spans="1:16" s="17" customFormat="1" ht="12.75" x14ac:dyDescent="0.2">
      <c r="A64" s="50" t="s">
        <v>167</v>
      </c>
      <c r="B64" s="68"/>
      <c r="C64" s="68"/>
      <c r="D64" s="76">
        <f>SUM(D52:D63)</f>
        <v>1.0000000000000002E-2</v>
      </c>
      <c r="E64" s="52">
        <f>SUM(E51:E63)</f>
        <v>2003000.2775370001</v>
      </c>
      <c r="F64" s="71"/>
      <c r="G64" s="71"/>
      <c r="H64" s="68"/>
      <c r="I64" s="68"/>
      <c r="J64" s="50"/>
      <c r="K64" s="52">
        <f>SUM(K51:K63)</f>
        <v>2044083.4399999992</v>
      </c>
      <c r="L64" s="55">
        <f>'Nov 09'!$K64/$K$2</f>
        <v>1.020258851946056E-2</v>
      </c>
      <c r="M64" s="62"/>
    </row>
    <row r="65" spans="1:13" s="4" customFormat="1" ht="12.75" x14ac:dyDescent="0.2">
      <c r="A65" s="36"/>
      <c r="B65" s="64"/>
      <c r="C65" s="64"/>
      <c r="D65" s="77"/>
      <c r="E65" s="38"/>
      <c r="F65" s="38"/>
      <c r="G65" s="39"/>
      <c r="H65" s="64"/>
      <c r="I65" s="64"/>
      <c r="J65" s="36"/>
      <c r="K65" s="36"/>
      <c r="L65" s="42"/>
      <c r="M65" s="65"/>
    </row>
    <row r="66" spans="1:13" s="46" customFormat="1" ht="25.5" x14ac:dyDescent="0.25">
      <c r="A66" s="50" t="s">
        <v>168</v>
      </c>
      <c r="B66" s="57" t="s">
        <v>169</v>
      </c>
      <c r="C66" s="57" t="s">
        <v>170</v>
      </c>
      <c r="D66" s="58">
        <v>0</v>
      </c>
      <c r="E66" s="59">
        <f>'Nov 09'!$D66*$C$6*$C$2</f>
        <v>0</v>
      </c>
      <c r="F66" s="59">
        <v>0</v>
      </c>
      <c r="G66" s="60" t="s">
        <v>175</v>
      </c>
      <c r="H66" s="57">
        <v>0</v>
      </c>
      <c r="I66" s="57">
        <v>0</v>
      </c>
      <c r="J66" s="78">
        <f>I66-H66</f>
        <v>0</v>
      </c>
      <c r="K66" s="59">
        <f>'Nov 09'!$F66*'Nov 09'!$I66</f>
        <v>0</v>
      </c>
      <c r="L66" s="79">
        <f>'Nov 09'!$K66/$K$2</f>
        <v>0</v>
      </c>
      <c r="M66" s="57"/>
    </row>
    <row r="67" spans="1:13" s="4" customFormat="1" ht="12.75" x14ac:dyDescent="0.2">
      <c r="A67" s="36"/>
      <c r="B67" s="64"/>
      <c r="C67" s="64"/>
      <c r="D67" s="77"/>
      <c r="E67" s="38"/>
      <c r="F67" s="38"/>
      <c r="G67" s="39"/>
      <c r="H67" s="64"/>
      <c r="I67" s="64"/>
      <c r="J67" s="36"/>
      <c r="K67" s="36"/>
      <c r="L67" s="42"/>
      <c r="M67" s="65"/>
    </row>
    <row r="68" spans="1:13" s="4" customFormat="1" ht="12.75" x14ac:dyDescent="0.2">
      <c r="A68" s="36"/>
      <c r="B68" s="64"/>
      <c r="C68" s="64"/>
      <c r="D68" s="80"/>
      <c r="E68" s="66"/>
      <c r="F68" s="38"/>
      <c r="G68" s="39"/>
      <c r="H68" s="64"/>
      <c r="I68" s="64"/>
      <c r="J68" s="36"/>
      <c r="K68" s="36"/>
      <c r="L68" s="42"/>
      <c r="M68" s="65"/>
    </row>
    <row r="69" spans="1:13" s="17" customFormat="1" ht="12.75" x14ac:dyDescent="0.2">
      <c r="A69" s="50" t="s">
        <v>171</v>
      </c>
      <c r="B69" s="68"/>
      <c r="C69" s="68"/>
      <c r="D69" s="68"/>
      <c r="E69" s="81"/>
      <c r="F69" s="81"/>
      <c r="G69" s="50"/>
      <c r="H69" s="68"/>
      <c r="I69" s="68"/>
      <c r="J69" s="68"/>
      <c r="K69" s="81">
        <f>SUM(K26,K28,K41,K49,K64,K66:K66)</f>
        <v>200349493.27820933</v>
      </c>
      <c r="L69" s="55">
        <f>'Nov 09'!$K69/$K$2</f>
        <v>1</v>
      </c>
      <c r="M69" s="68"/>
    </row>
    <row r="70" spans="1:13" s="4" customFormat="1" ht="12.75" x14ac:dyDescent="0.2">
      <c r="A70" s="65"/>
      <c r="B70" s="65"/>
      <c r="C70" s="65"/>
      <c r="D70" s="82"/>
      <c r="E70" s="83"/>
      <c r="F70" s="38"/>
      <c r="G70" s="84"/>
      <c r="H70" s="65"/>
      <c r="I70" s="65"/>
      <c r="J70" s="65"/>
      <c r="K70" s="65"/>
      <c r="L70" s="42"/>
      <c r="M70" s="65"/>
    </row>
    <row r="71" spans="1:13" s="4" customFormat="1" ht="12.75" x14ac:dyDescent="0.2">
      <c r="A71" s="65"/>
      <c r="B71" s="65"/>
      <c r="C71" s="65"/>
      <c r="D71" s="82"/>
      <c r="E71" s="83"/>
      <c r="F71" s="38"/>
      <c r="G71" s="84"/>
      <c r="H71" s="65"/>
      <c r="I71" s="65"/>
      <c r="J71" s="65"/>
      <c r="K71" s="65"/>
      <c r="L71" s="42"/>
      <c r="M71" s="65"/>
    </row>
    <row r="72" spans="1:13" s="4" customFormat="1" ht="12.75" x14ac:dyDescent="0.2">
      <c r="A72" s="65"/>
      <c r="B72" s="65"/>
      <c r="C72" s="65"/>
      <c r="D72" s="82"/>
      <c r="E72" s="83"/>
      <c r="F72" s="38"/>
      <c r="G72" s="84"/>
      <c r="H72" s="65"/>
      <c r="I72" s="65"/>
      <c r="J72" s="65"/>
      <c r="K72" s="65"/>
      <c r="L72" s="42"/>
      <c r="M72" s="65"/>
    </row>
    <row r="73" spans="1:13" s="4" customFormat="1" ht="12.75" x14ac:dyDescent="0.2">
      <c r="A73" s="65"/>
      <c r="B73" s="65"/>
      <c r="C73" s="65"/>
      <c r="D73" s="82"/>
      <c r="E73" s="83"/>
      <c r="F73" s="38"/>
      <c r="G73" s="84"/>
      <c r="H73" s="65"/>
      <c r="I73" s="65"/>
      <c r="J73" s="65"/>
      <c r="K73" s="65"/>
      <c r="L73" s="42"/>
      <c r="M73" s="65"/>
    </row>
    <row r="74" spans="1:13" s="4" customFormat="1" ht="12.75" x14ac:dyDescent="0.2">
      <c r="A74" s="65"/>
      <c r="B74" s="65"/>
      <c r="C74" s="65"/>
      <c r="D74" s="82"/>
      <c r="E74" s="83"/>
      <c r="F74" s="38"/>
      <c r="G74" s="84"/>
      <c r="H74" s="65"/>
      <c r="I74" s="65"/>
      <c r="J74" s="65"/>
      <c r="K74" s="65"/>
      <c r="L74" s="42"/>
      <c r="M74" s="65"/>
    </row>
    <row r="75" spans="1:13" s="4" customFormat="1" ht="12.75" x14ac:dyDescent="0.2">
      <c r="A75" s="65"/>
      <c r="B75" s="65"/>
      <c r="C75" s="65"/>
      <c r="D75" s="82"/>
      <c r="E75" s="83"/>
      <c r="F75" s="38"/>
      <c r="G75" s="84"/>
      <c r="H75" s="65"/>
      <c r="I75" s="65"/>
      <c r="J75" s="65"/>
      <c r="K75" s="65"/>
      <c r="L75" s="42"/>
      <c r="M75" s="65"/>
    </row>
    <row r="76" spans="1:13" s="4" customFormat="1" ht="12.75" x14ac:dyDescent="0.2">
      <c r="A76" s="65"/>
      <c r="B76" s="65"/>
      <c r="C76" s="65"/>
      <c r="D76" s="82"/>
      <c r="E76" s="83"/>
      <c r="F76" s="38"/>
      <c r="G76" s="84"/>
      <c r="H76" s="65"/>
      <c r="I76" s="65"/>
      <c r="J76" s="65"/>
      <c r="K76" s="65"/>
      <c r="L76" s="42"/>
      <c r="M76" s="65"/>
    </row>
    <row r="77" spans="1:13" s="4" customFormat="1" ht="12.75" x14ac:dyDescent="0.2">
      <c r="A77" s="65"/>
      <c r="B77" s="65"/>
      <c r="C77" s="65"/>
      <c r="D77" s="82"/>
      <c r="E77" s="83"/>
      <c r="F77" s="38"/>
      <c r="G77" s="84"/>
      <c r="H77" s="65"/>
      <c r="I77" s="65"/>
      <c r="J77" s="65"/>
      <c r="K77" s="65"/>
      <c r="L77" s="42"/>
      <c r="M77" s="65"/>
    </row>
    <row r="78" spans="1:13" s="4" customFormat="1" ht="12.75" x14ac:dyDescent="0.2">
      <c r="A78" s="65"/>
      <c r="B78" s="65"/>
      <c r="C78" s="65"/>
      <c r="D78" s="82"/>
      <c r="E78" s="83"/>
      <c r="F78" s="38"/>
      <c r="G78" s="84"/>
      <c r="H78" s="65"/>
      <c r="I78" s="65"/>
      <c r="J78" s="65"/>
      <c r="K78" s="65"/>
      <c r="L78" s="42"/>
      <c r="M78" s="65"/>
    </row>
    <row r="79" spans="1:13" s="4" customFormat="1" ht="12.75" x14ac:dyDescent="0.2"/>
    <row r="80" spans="1:13" s="4" customFormat="1" ht="12.75" x14ac:dyDescent="0.2"/>
    <row r="82" spans="1:13" s="4" customFormat="1" ht="12.75" x14ac:dyDescent="0.2">
      <c r="A82" s="85"/>
      <c r="B82" s="85"/>
      <c r="E82" s="85"/>
      <c r="F82" s="85"/>
      <c r="G82" s="85"/>
      <c r="H82" s="86"/>
      <c r="M82" s="85"/>
    </row>
    <row r="83" spans="1:13" s="4" customFormat="1" ht="12.75" x14ac:dyDescent="0.2">
      <c r="A83" s="85"/>
      <c r="B83" s="85"/>
      <c r="E83" s="85"/>
      <c r="F83" s="85"/>
      <c r="G83" s="85"/>
      <c r="H83" s="86"/>
      <c r="M83" s="85"/>
    </row>
    <row r="84" spans="1:13" s="4" customFormat="1" ht="12.75" x14ac:dyDescent="0.2">
      <c r="A84" s="87"/>
      <c r="B84" s="87"/>
    </row>
    <row r="85" spans="1:13" s="4" customFormat="1" ht="12.75" x14ac:dyDescent="0.2">
      <c r="A85" s="88"/>
      <c r="B85" s="88"/>
      <c r="E85" s="88"/>
      <c r="F85" s="87"/>
      <c r="G85" s="87"/>
      <c r="M85" s="89"/>
    </row>
    <row r="86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H86"/>
  <sheetViews>
    <sheetView zoomScale="140" zoomScaleNormal="140" workbookViewId="0">
      <pane xSplit="2" topLeftCell="C1" activePane="topRight" state="frozen"/>
      <selection pane="topRight" activeCell="O23" sqref="O23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116</v>
      </c>
      <c r="C1" s="6">
        <v>44145</v>
      </c>
      <c r="D1" s="7"/>
      <c r="E1" s="8" t="s">
        <v>117</v>
      </c>
      <c r="F1" s="9"/>
      <c r="G1" s="10"/>
      <c r="K1" s="11" t="s">
        <v>118</v>
      </c>
      <c r="L1" s="11" t="s">
        <v>119</v>
      </c>
      <c r="M1" s="12" t="s">
        <v>120</v>
      </c>
    </row>
    <row r="2" spans="1:17" x14ac:dyDescent="0.25">
      <c r="A2" s="5"/>
      <c r="B2" s="5" t="s">
        <v>121</v>
      </c>
      <c r="C2" s="13">
        <v>5.91</v>
      </c>
      <c r="D2" s="14"/>
      <c r="E2" s="15">
        <f>SUM(E26,E41,E49,E64,E28,E66)</f>
        <v>146872770.6820673</v>
      </c>
      <c r="F2" s="16"/>
      <c r="G2" s="17"/>
      <c r="H2" s="14"/>
      <c r="I2" s="14"/>
      <c r="J2" s="14"/>
      <c r="K2" s="15">
        <f>SUM(K26,K41,K49,K64,K28,K66:K66)</f>
        <v>173548121.21227437</v>
      </c>
      <c r="L2" s="18">
        <f>SUM(L49,L64,L41,L26,L28,L66)</f>
        <v>1</v>
      </c>
      <c r="M2" s="19">
        <f>K2/$C$6</f>
        <v>6.9833590591628063</v>
      </c>
      <c r="N2" s="20"/>
    </row>
    <row r="3" spans="1:17" ht="26.25" x14ac:dyDescent="0.25">
      <c r="A3" s="5"/>
      <c r="B3" s="5" t="s">
        <v>122</v>
      </c>
      <c r="C3" s="21">
        <v>24851668.050000001</v>
      </c>
      <c r="D3" s="22"/>
      <c r="E3" s="8" t="s">
        <v>123</v>
      </c>
      <c r="F3" s="16"/>
      <c r="H3" s="14"/>
      <c r="I3" s="14"/>
      <c r="J3" s="14"/>
      <c r="K3" s="8" t="s">
        <v>123</v>
      </c>
      <c r="L3" s="14"/>
      <c r="M3" s="12" t="s">
        <v>124</v>
      </c>
      <c r="N3" s="23"/>
    </row>
    <row r="4" spans="1:17" x14ac:dyDescent="0.25">
      <c r="A4" s="5"/>
      <c r="B4" s="5" t="s">
        <v>125</v>
      </c>
      <c r="C4" s="21">
        <v>0</v>
      </c>
      <c r="D4" s="22"/>
      <c r="E4" s="15">
        <f>SUM(E26,E64,E28)</f>
        <v>28639717.3507898</v>
      </c>
      <c r="F4" s="16"/>
      <c r="G4" s="17"/>
      <c r="H4" s="14"/>
      <c r="I4" s="14"/>
      <c r="J4" s="14"/>
      <c r="K4" s="15">
        <f>SUM(K26,K28,K64)</f>
        <v>28794659.304138925</v>
      </c>
      <c r="L4" s="14"/>
      <c r="M4" s="19">
        <f>K4/$C$6</f>
        <v>1.158661030165294</v>
      </c>
      <c r="N4" s="23"/>
    </row>
    <row r="5" spans="1:17" x14ac:dyDescent="0.25">
      <c r="A5" s="5"/>
      <c r="B5" s="5" t="s">
        <v>126</v>
      </c>
      <c r="C5" s="21">
        <v>0</v>
      </c>
      <c r="D5" s="22"/>
      <c r="E5" s="16"/>
      <c r="F5" s="16"/>
      <c r="G5" s="24">
        <f>SUM(D26,D28,D41,D49,D64,D66:D66)</f>
        <v>0.99999599999999988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127</v>
      </c>
      <c r="C6" s="21">
        <f>C3+C4-C5</f>
        <v>24851668.050000001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128</v>
      </c>
      <c r="B8" s="30" t="s">
        <v>129</v>
      </c>
      <c r="C8" s="31" t="s">
        <v>1</v>
      </c>
      <c r="D8" s="31" t="s">
        <v>130</v>
      </c>
      <c r="E8" s="31" t="s">
        <v>131</v>
      </c>
      <c r="F8" s="31" t="s">
        <v>132</v>
      </c>
      <c r="G8" s="31" t="s">
        <v>133</v>
      </c>
      <c r="H8" s="31" t="s">
        <v>134</v>
      </c>
      <c r="I8" s="31" t="s">
        <v>135</v>
      </c>
      <c r="J8" s="31" t="s">
        <v>136</v>
      </c>
      <c r="K8" s="32" t="s">
        <v>137</v>
      </c>
      <c r="L8" s="32" t="s">
        <v>138</v>
      </c>
      <c r="M8" s="32" t="s">
        <v>139</v>
      </c>
      <c r="N8" s="33"/>
      <c r="Q8" s="35"/>
    </row>
    <row r="9" spans="1:17" s="46" customFormat="1" ht="12.75" customHeight="1" x14ac:dyDescent="0.25">
      <c r="A9" s="36" t="s">
        <v>140</v>
      </c>
      <c r="B9" s="36" t="s">
        <v>49</v>
      </c>
      <c r="C9" s="36" t="s">
        <v>50</v>
      </c>
      <c r="D9" s="37">
        <v>1.2692E-2</v>
      </c>
      <c r="E9" s="38">
        <f>'Nov 10'!$D9*$C$6*$C$2</f>
        <v>1864116.6619634463</v>
      </c>
      <c r="F9" s="38">
        <v>422</v>
      </c>
      <c r="G9" s="39">
        <f>'Nov 10'!$E9/'Nov 10'!$F9</f>
        <v>4417.3380615247543</v>
      </c>
      <c r="H9" s="36">
        <v>5625</v>
      </c>
      <c r="I9" s="36">
        <f>ROUND(Table13895845679910111213144562678910111213141516171819202134567891011121314151617181920212223345678[[#This Row],[Target Quantity]],0)</f>
        <v>4417</v>
      </c>
      <c r="J9" s="40">
        <f t="shared" ref="J9:J24" si="0">I9-H9</f>
        <v>-1208</v>
      </c>
      <c r="K9" s="41">
        <f>'Nov 10'!$F9*'Nov 10'!$I9</f>
        <v>1863974</v>
      </c>
      <c r="L9" s="42">
        <f>'Nov 10'!$K9/$K$2</f>
        <v>1.0740387086761321E-2</v>
      </c>
      <c r="M9" s="43"/>
    </row>
    <row r="10" spans="1:17" s="46" customFormat="1" ht="12.75" customHeight="1" x14ac:dyDescent="0.25">
      <c r="A10" s="36" t="s">
        <v>140</v>
      </c>
      <c r="B10" s="36" t="s">
        <v>37</v>
      </c>
      <c r="C10" s="36" t="s">
        <v>38</v>
      </c>
      <c r="D10" s="37">
        <v>1.2692E-2</v>
      </c>
      <c r="E10" s="38">
        <f>'Nov 10'!$D10*$C$6*$C$2</f>
        <v>1864116.6619634463</v>
      </c>
      <c r="F10" s="38">
        <v>85.299984584553698</v>
      </c>
      <c r="G10" s="39">
        <f>'Nov 10'!$E10/'Nov 10'!$F10</f>
        <v>21853.657665267674</v>
      </c>
      <c r="H10" s="36">
        <v>25948</v>
      </c>
      <c r="I10" s="36">
        <f>ROUND(Table13895845679910111213144562678910111213141516171819202134567891011121314151617181920212223345678[[#This Row],[Target Quantity]],0)</f>
        <v>21854</v>
      </c>
      <c r="J10" s="40">
        <f t="shared" si="0"/>
        <v>-4094</v>
      </c>
      <c r="K10" s="41">
        <f>'Nov 10'!$F10*'Nov 10'!$I10</f>
        <v>1864145.8631108366</v>
      </c>
      <c r="L10" s="42">
        <f>'Nov 10'!$K10/$K$2</f>
        <v>1.0741377377578853E-2</v>
      </c>
      <c r="M10" s="43"/>
    </row>
    <row r="11" spans="1:17" s="47" customFormat="1" ht="12.75" customHeight="1" x14ac:dyDescent="0.25">
      <c r="A11" s="36" t="s">
        <v>140</v>
      </c>
      <c r="B11" s="36" t="s">
        <v>27</v>
      </c>
      <c r="C11" s="36" t="s">
        <v>28</v>
      </c>
      <c r="D11" s="37">
        <v>1.2692E-2</v>
      </c>
      <c r="E11" s="38">
        <f>'Nov 10'!$D11*$C$6*$C$2</f>
        <v>1864116.6619634463</v>
      </c>
      <c r="F11" s="38">
        <v>198.10002877145899</v>
      </c>
      <c r="G11" s="39">
        <f>'Nov 10'!$E11/'Nov 10'!$F11</f>
        <v>9409.9767351069495</v>
      </c>
      <c r="H11" s="36">
        <v>10427</v>
      </c>
      <c r="I11" s="36">
        <f>ROUND(Table13895845679910111213144562678910111213141516171819202134567891011121314151617181920212223345678[[#This Row],[Target Quantity]],0)</f>
        <v>9410</v>
      </c>
      <c r="J11" s="40">
        <f t="shared" si="0"/>
        <v>-1017</v>
      </c>
      <c r="K11" s="41">
        <f>'Nov 10'!$F11*'Nov 10'!$I11</f>
        <v>1864121.2707394292</v>
      </c>
      <c r="L11" s="42">
        <f>'Nov 10'!$K11/$K$2</f>
        <v>1.0741235674106434E-2</v>
      </c>
      <c r="M11" s="36"/>
    </row>
    <row r="12" spans="1:17" s="47" customFormat="1" ht="12.75" customHeight="1" x14ac:dyDescent="0.25">
      <c r="A12" s="36" t="s">
        <v>140</v>
      </c>
      <c r="B12" s="36" t="s">
        <v>51</v>
      </c>
      <c r="C12" s="36" t="s">
        <v>52</v>
      </c>
      <c r="D12" s="37">
        <v>1.2692E-2</v>
      </c>
      <c r="E12" s="38">
        <f>'Nov 10'!$D12*$C$6*$C$2</f>
        <v>1864116.6619634463</v>
      </c>
      <c r="F12" s="38">
        <v>415</v>
      </c>
      <c r="G12" s="39">
        <f>'Nov 10'!$E12/'Nov 10'!$F12</f>
        <v>4491.8473782251722</v>
      </c>
      <c r="H12" s="36">
        <v>4796</v>
      </c>
      <c r="I12" s="36">
        <f>ROUND(Table13895845679910111213144562678910111213141516171819202134567891011121314151617181920212223345678[[#This Row],[Target Quantity]],0)</f>
        <v>4492</v>
      </c>
      <c r="J12" s="40">
        <f t="shared" si="0"/>
        <v>-304</v>
      </c>
      <c r="K12" s="41">
        <f>'Nov 10'!$F12*'Nov 10'!$I12</f>
        <v>1864180</v>
      </c>
      <c r="L12" s="42">
        <f>'Nov 10'!$K12/$K$2</f>
        <v>1.0741574077427431E-2</v>
      </c>
      <c r="M12" s="36"/>
    </row>
    <row r="13" spans="1:17" s="47" customFormat="1" ht="12.75" customHeight="1" x14ac:dyDescent="0.25">
      <c r="A13" s="36" t="s">
        <v>140</v>
      </c>
      <c r="B13" s="36" t="s">
        <v>41</v>
      </c>
      <c r="C13" s="36" t="s">
        <v>42</v>
      </c>
      <c r="D13" s="37">
        <v>1.2692E-2</v>
      </c>
      <c r="E13" s="38">
        <f>'Nov 10'!$D13*$C$6*$C$2</f>
        <v>1864116.6619634463</v>
      </c>
      <c r="F13" s="38">
        <v>1330.71997585999</v>
      </c>
      <c r="G13" s="39">
        <f>'Nov 10'!$E13/'Nov 10'!$F13</f>
        <v>1400.8331548181231</v>
      </c>
      <c r="H13" s="36">
        <v>1657</v>
      </c>
      <c r="I13" s="36">
        <f>ROUND(Table13895845679910111213144562678910111213141516171819202134567891011121314151617181920212223345678[[#This Row],[Target Quantity]],0)</f>
        <v>1401</v>
      </c>
      <c r="J13" s="40">
        <f t="shared" si="0"/>
        <v>-256</v>
      </c>
      <c r="K13" s="41">
        <f>'Nov 10'!$F13*'Nov 10'!$I13</f>
        <v>1864338.6861798461</v>
      </c>
      <c r="L13" s="42">
        <f>'Nov 10'!$K13/$K$2</f>
        <v>1.0742488441574605E-2</v>
      </c>
      <c r="M13" s="36"/>
    </row>
    <row r="14" spans="1:17" s="47" customFormat="1" ht="12.75" customHeight="1" x14ac:dyDescent="0.25">
      <c r="A14" s="36" t="s">
        <v>140</v>
      </c>
      <c r="B14" s="36" t="s">
        <v>31</v>
      </c>
      <c r="C14" s="36" t="s">
        <v>32</v>
      </c>
      <c r="D14" s="37">
        <v>1.2692E-2</v>
      </c>
      <c r="E14" s="38">
        <f>'Nov 10'!$D14*$C$6*$C$2</f>
        <v>1864116.6619634463</v>
      </c>
      <c r="F14" s="38">
        <v>263.879972643337</v>
      </c>
      <c r="G14" s="39">
        <f>'Nov 10'!$E14/'Nov 10'!$F14</f>
        <v>7064.2597211536258</v>
      </c>
      <c r="H14" s="36">
        <v>8773</v>
      </c>
      <c r="I14" s="36">
        <f>ROUND(Table13895845679910111213144562678910111213141516171819202134567891011121314151617181920212223345678[[#This Row],[Target Quantity]],0)</f>
        <v>7064</v>
      </c>
      <c r="J14" s="40">
        <f t="shared" si="0"/>
        <v>-1709</v>
      </c>
      <c r="K14" s="41">
        <f>'Nov 10'!$F14*'Nov 10'!$I14</f>
        <v>1864048.1267525326</v>
      </c>
      <c r="L14" s="42">
        <f>'Nov 10'!$K14/$K$2</f>
        <v>1.07408142118262E-2</v>
      </c>
      <c r="M14" s="36"/>
    </row>
    <row r="15" spans="1:17" s="47" customFormat="1" ht="12.75" customHeight="1" x14ac:dyDescent="0.25">
      <c r="A15" s="36" t="s">
        <v>140</v>
      </c>
      <c r="B15" s="36" t="s">
        <v>29</v>
      </c>
      <c r="C15" s="36" t="s">
        <v>30</v>
      </c>
      <c r="D15" s="37">
        <v>6.3460000000000001E-3</v>
      </c>
      <c r="E15" s="38">
        <f>'Nov 10'!$D15*$C$6*$C$2</f>
        <v>932058.33098172315</v>
      </c>
      <c r="F15" s="38">
        <v>19.790008834631799</v>
      </c>
      <c r="G15" s="39">
        <f>'Nov 10'!$E15/'Nov 10'!$F15</f>
        <v>47097.418640392665</v>
      </c>
      <c r="H15" s="36">
        <v>62255</v>
      </c>
      <c r="I15" s="36">
        <f>ROUND(Table13895845679910111213144562678910111213141516171819202134567891011121314151617181920212223345678[[#This Row],[Target Quantity]],0)</f>
        <v>47097</v>
      </c>
      <c r="J15" s="40">
        <f t="shared" si="0"/>
        <v>-15158</v>
      </c>
      <c r="K15" s="41">
        <f>'Nov 10'!$F15*'Nov 10'!$I15</f>
        <v>932050.04608465382</v>
      </c>
      <c r="L15" s="42">
        <f>'Nov 10'!$K15/$K$2</f>
        <v>5.3705568206331789E-3</v>
      </c>
      <c r="M15" s="36"/>
    </row>
    <row r="16" spans="1:17" s="47" customFormat="1" ht="12.75" customHeight="1" x14ac:dyDescent="0.25">
      <c r="A16" s="36" t="s">
        <v>140</v>
      </c>
      <c r="B16" s="36" t="s">
        <v>39</v>
      </c>
      <c r="C16" s="36" t="s">
        <v>40</v>
      </c>
      <c r="D16" s="37">
        <v>6.3460000000000001E-3</v>
      </c>
      <c r="E16" s="38">
        <f>'Nov 10'!$D16*$C$6*$C$2</f>
        <v>932058.33098172315</v>
      </c>
      <c r="F16" s="38">
        <v>32.520003243769303</v>
      </c>
      <c r="G16" s="39">
        <f>'Nov 10'!$E16/'Nov 10'!$F16</f>
        <v>28661.077429637146</v>
      </c>
      <c r="H16" s="36">
        <v>36994</v>
      </c>
      <c r="I16" s="36">
        <f>ROUND(Table13895845679910111213144562678910111213141516171819202134567891011121314151617181920212223345678[[#This Row],[Target Quantity]],0)</f>
        <v>28661</v>
      </c>
      <c r="J16" s="40">
        <f t="shared" si="0"/>
        <v>-8333</v>
      </c>
      <c r="K16" s="41">
        <f>'Nov 10'!$F16*'Nov 10'!$I16</f>
        <v>932055.81296967203</v>
      </c>
      <c r="L16" s="42">
        <f>'Nov 10'!$K16/$K$2</f>
        <v>5.3705900499472041E-3</v>
      </c>
      <c r="M16" s="36"/>
    </row>
    <row r="17" spans="1:15" s="47" customFormat="1" ht="12.75" customHeight="1" x14ac:dyDescent="0.25">
      <c r="A17" s="36" t="s">
        <v>140</v>
      </c>
      <c r="B17" s="36" t="s">
        <v>19</v>
      </c>
      <c r="C17" s="36" t="s">
        <v>20</v>
      </c>
      <c r="D17" s="37">
        <v>1.2692E-2</v>
      </c>
      <c r="E17" s="38">
        <f>'Nov 10'!$D17*$C$6*$C$2</f>
        <v>1864116.6619634463</v>
      </c>
      <c r="F17" s="38">
        <v>476.99008168028001</v>
      </c>
      <c r="G17" s="39">
        <f>'Nov 10'!$E17/'Nov 10'!$F17</f>
        <v>3908.0826490076547</v>
      </c>
      <c r="H17" s="36">
        <v>5142</v>
      </c>
      <c r="I17" s="36">
        <f>ROUND(Table13895845679910111213144562678910111213141516171819202134567891011121314151617181920212223345678[[#This Row],[Target Quantity]],0)</f>
        <v>3908</v>
      </c>
      <c r="J17" s="40">
        <f t="shared" si="0"/>
        <v>-1234</v>
      </c>
      <c r="K17" s="41">
        <f>'Nov 10'!$F17*'Nov 10'!$I17</f>
        <v>1864077.2392065343</v>
      </c>
      <c r="L17" s="42">
        <f>'Nov 10'!$K17/$K$2</f>
        <v>1.0740981960424101E-2</v>
      </c>
      <c r="M17" s="36"/>
    </row>
    <row r="18" spans="1:15" s="47" customFormat="1" ht="12.75" customHeight="1" x14ac:dyDescent="0.25">
      <c r="A18" s="36" t="s">
        <v>140</v>
      </c>
      <c r="B18" s="36" t="s">
        <v>33</v>
      </c>
      <c r="C18" s="36" t="s">
        <v>34</v>
      </c>
      <c r="D18" s="37">
        <v>6.3460000000000001E-3</v>
      </c>
      <c r="E18" s="38">
        <f>'Nov 10'!$D18*$C$6*$C$2</f>
        <v>932058.33098172315</v>
      </c>
      <c r="F18" s="38">
        <v>23.059996522948499</v>
      </c>
      <c r="G18" s="39">
        <f>'Nov 10'!$E18/'Nov 10'!$F18</f>
        <v>40418.840915876608</v>
      </c>
      <c r="H18" s="36">
        <v>57520</v>
      </c>
      <c r="I18" s="36">
        <f>ROUND(Table13895845679910111213144562678910111213141516171819202134567891011121314151617181920212223345678[[#This Row],[Target Quantity]],0)</f>
        <v>40419</v>
      </c>
      <c r="J18" s="40">
        <f t="shared" si="0"/>
        <v>-17101</v>
      </c>
      <c r="K18" s="41">
        <f>'Nov 10'!$F18*'Nov 10'!$I18</f>
        <v>932061.99946105538</v>
      </c>
      <c r="L18" s="42">
        <f>'Nov 10'!$K18/$K$2</f>
        <v>5.370625697071126E-3</v>
      </c>
      <c r="M18" s="36"/>
    </row>
    <row r="19" spans="1:15" s="47" customFormat="1" ht="12.75" customHeight="1" x14ac:dyDescent="0.25">
      <c r="A19" s="36" t="s">
        <v>140</v>
      </c>
      <c r="B19" s="36" t="s">
        <v>21</v>
      </c>
      <c r="C19" s="36" t="s">
        <v>22</v>
      </c>
      <c r="D19" s="37">
        <v>1.2692E-2</v>
      </c>
      <c r="E19" s="38">
        <f>'Nov 10'!$D19*$C$6*$C$2</f>
        <v>1864116.6619634463</v>
      </c>
      <c r="F19" s="38">
        <v>38.799999999999997</v>
      </c>
      <c r="G19" s="39">
        <f>'Nov 10'!$E19/'Nov 10'!$F19</f>
        <v>48044.243865037279</v>
      </c>
      <c r="H19" s="36">
        <v>62730</v>
      </c>
      <c r="I19" s="36">
        <f>ROUND(Table13895845679910111213144562678910111213141516171819202134567891011121314151617181920212223345678[[#This Row],[Target Quantity]],0)</f>
        <v>48044</v>
      </c>
      <c r="J19" s="40">
        <f t="shared" si="0"/>
        <v>-14686</v>
      </c>
      <c r="K19" s="41">
        <f>'Nov 10'!$F19*'Nov 10'!$I19</f>
        <v>1864107.2</v>
      </c>
      <c r="L19" s="42">
        <f>'Nov 10'!$K19/$K$2</f>
        <v>1.0741154597230863E-2</v>
      </c>
      <c r="M19" s="36"/>
    </row>
    <row r="20" spans="1:15" s="47" customFormat="1" ht="12.75" customHeight="1" x14ac:dyDescent="0.25">
      <c r="A20" s="36" t="s">
        <v>140</v>
      </c>
      <c r="B20" s="36" t="s">
        <v>147</v>
      </c>
      <c r="C20" s="36" t="s">
        <v>148</v>
      </c>
      <c r="D20" s="37">
        <v>6.3460000000000001E-3</v>
      </c>
      <c r="E20" s="38">
        <f>'Nov 10'!$D20*$C$6*$C$2</f>
        <v>932058.33098172315</v>
      </c>
      <c r="F20" s="38">
        <v>180.69000490757401</v>
      </c>
      <c r="G20" s="39">
        <f>'Nov 10'!$E20/'Nov 10'!$F20</f>
        <v>5158.3281070720359</v>
      </c>
      <c r="H20" s="36">
        <v>6113</v>
      </c>
      <c r="I20" s="36">
        <f>ROUND(Table13895845679910111213144562678910111213141516171819202134567891011121314151617181920212223345678[[#This Row],[Target Quantity]],0)</f>
        <v>5158</v>
      </c>
      <c r="J20" s="40">
        <f t="shared" si="0"/>
        <v>-955</v>
      </c>
      <c r="K20" s="41">
        <f>'Nov 10'!$F20*'Nov 10'!$I20</f>
        <v>931999.04531326669</v>
      </c>
      <c r="L20" s="42">
        <f>'Nov 10'!$K20/$K$2</f>
        <v>5.3702629495671547E-3</v>
      </c>
      <c r="M20" s="36"/>
    </row>
    <row r="21" spans="1:15" s="47" customFormat="1" ht="12.75" customHeight="1" x14ac:dyDescent="0.25">
      <c r="A21" s="36" t="s">
        <v>140</v>
      </c>
      <c r="B21" s="36" t="s">
        <v>45</v>
      </c>
      <c r="C21" s="36" t="s">
        <v>46</v>
      </c>
      <c r="D21" s="37">
        <v>6.3460000000000001E-3</v>
      </c>
      <c r="E21" s="38">
        <f>'Nov 10'!$D21*$C$6*$C$2</f>
        <v>932058.33098172315</v>
      </c>
      <c r="F21" s="38">
        <v>65.500026414496304</v>
      </c>
      <c r="G21" s="39">
        <f>'Nov 10'!$E21/'Nov 10'!$F21</f>
        <v>14229.892444370715</v>
      </c>
      <c r="H21" s="36">
        <v>18929</v>
      </c>
      <c r="I21" s="36">
        <f>ROUND(Table13895845679910111213144562678910111213141516171819202134567891011121314151617181920212223345678[[#This Row],[Target Quantity]],0)</f>
        <v>14230</v>
      </c>
      <c r="J21" s="40">
        <f t="shared" si="0"/>
        <v>-4699</v>
      </c>
      <c r="K21" s="41">
        <f>'Nov 10'!$F21*'Nov 10'!$I21</f>
        <v>932065.37587828236</v>
      </c>
      <c r="L21" s="42">
        <f>'Nov 10'!$K21/$K$2</f>
        <v>5.3706451522931324E-3</v>
      </c>
      <c r="M21" s="36"/>
    </row>
    <row r="22" spans="1:15" s="47" customFormat="1" ht="12.75" customHeight="1" x14ac:dyDescent="0.25">
      <c r="A22" s="36" t="s">
        <v>140</v>
      </c>
      <c r="B22" s="36" t="s">
        <v>23</v>
      </c>
      <c r="C22" s="36" t="s">
        <v>24</v>
      </c>
      <c r="D22" s="37">
        <v>1.2692E-2</v>
      </c>
      <c r="E22" s="38">
        <f>'Nov 10'!$D22*$C$6*$C$2</f>
        <v>1864116.6619634463</v>
      </c>
      <c r="F22" s="38">
        <v>248.900030263291</v>
      </c>
      <c r="G22" s="39">
        <f>'Nov 10'!$E22/'Nov 10'!$F22</f>
        <v>7489.4191856527686</v>
      </c>
      <c r="H22" s="36">
        <v>9913</v>
      </c>
      <c r="I22" s="36">
        <f>ROUND(Table13895845679910111213144562678910111213141516171819202134567891011121314151617181920212223345678[[#This Row],[Target Quantity]],0)</f>
        <v>7489</v>
      </c>
      <c r="J22" s="40">
        <f t="shared" si="0"/>
        <v>-2424</v>
      </c>
      <c r="K22" s="41">
        <f>'Nov 10'!$F22*'Nov 10'!$I22</f>
        <v>1864012.3266417864</v>
      </c>
      <c r="L22" s="42">
        <f>'Nov 10'!$K22/$K$2</f>
        <v>1.0740607928344154E-2</v>
      </c>
      <c r="M22" s="36"/>
    </row>
    <row r="23" spans="1:15" s="47" customFormat="1" ht="12.75" customHeight="1" x14ac:dyDescent="0.25">
      <c r="A23" s="36" t="s">
        <v>140</v>
      </c>
      <c r="B23" s="36" t="s">
        <v>172</v>
      </c>
      <c r="C23" s="36" t="s">
        <v>173</v>
      </c>
      <c r="D23" s="37">
        <v>6.3460000000000001E-3</v>
      </c>
      <c r="E23" s="38">
        <f>'Nov 10'!$D23*$C$6*$C$2</f>
        <v>932058.33098172315</v>
      </c>
      <c r="F23" s="38">
        <v>29.0499881150463</v>
      </c>
      <c r="G23" s="39">
        <f>'Nov 10'!$E23/'Nov 10'!$F23</f>
        <v>32084.637256666141</v>
      </c>
      <c r="H23" s="36">
        <v>42070</v>
      </c>
      <c r="I23" s="36">
        <f>ROUND(Table13895845679910111213144562678910111213141516171819202134567891011121314151617181920212223345678[[#This Row],[Target Quantity]],0)</f>
        <v>32085</v>
      </c>
      <c r="J23" s="40">
        <f t="shared" si="0"/>
        <v>-9985</v>
      </c>
      <c r="K23" s="41">
        <f>'Nov 10'!$F23*'Nov 10'!$I23</f>
        <v>932068.86867126054</v>
      </c>
      <c r="L23" s="42">
        <f>'Nov 10'!$K23/$K$2</f>
        <v>5.3706652780827627E-3</v>
      </c>
      <c r="M23" s="36"/>
    </row>
    <row r="24" spans="1:15" s="47" customFormat="1" ht="12.75" customHeight="1" x14ac:dyDescent="0.25">
      <c r="A24" s="36" t="s">
        <v>140</v>
      </c>
      <c r="B24" s="47" t="s">
        <v>11</v>
      </c>
      <c r="C24" s="36" t="s">
        <v>12</v>
      </c>
      <c r="D24" s="37">
        <v>1.2692E-2</v>
      </c>
      <c r="E24" s="38">
        <f>'Nov 10'!$D24*$C$6*$C$2</f>
        <v>1864116.6619634463</v>
      </c>
      <c r="F24" s="38">
        <v>2.4260543273520399</v>
      </c>
      <c r="G24" s="39">
        <f>'Nov 10'!$E24/'Nov 10'!$F24</f>
        <v>768373.83274844859</v>
      </c>
      <c r="H24" s="36">
        <v>1008700</v>
      </c>
      <c r="I24" s="36">
        <f>ROUND(Table13895845679910111213144562678910111213141516171819202134567891011121314151617181920212223345678[[#This Row],[Target Quantity]],-2)</f>
        <v>768400</v>
      </c>
      <c r="J24" s="40">
        <f t="shared" si="0"/>
        <v>-240300</v>
      </c>
      <c r="K24" s="41">
        <f>'Nov 10'!$F24*'Nov 10'!$I24</f>
        <v>1864180.1451373075</v>
      </c>
      <c r="L24" s="42">
        <f>'Nov 10'!$K24/$K$2</f>
        <v>1.0741574913721748E-2</v>
      </c>
      <c r="M24" s="36"/>
    </row>
    <row r="25" spans="1:15" s="47" customFormat="1" ht="12.75" customHeight="1" x14ac:dyDescent="0.25">
      <c r="A25" s="36"/>
      <c r="B25" s="36"/>
      <c r="C25" s="36"/>
      <c r="D25" s="37"/>
      <c r="E25" s="38"/>
      <c r="F25" s="38"/>
      <c r="G25" s="39"/>
      <c r="H25" s="36"/>
      <c r="I25" s="36"/>
      <c r="J25" s="48"/>
      <c r="K25" s="38"/>
      <c r="L25" s="49"/>
      <c r="M25" s="36"/>
    </row>
    <row r="26" spans="1:15" s="56" customFormat="1" ht="12.75" customHeight="1" x14ac:dyDescent="0.25">
      <c r="A26" s="50" t="s">
        <v>149</v>
      </c>
      <c r="B26" s="50"/>
      <c r="C26" s="50"/>
      <c r="D26" s="51">
        <f>SUM(D9:D25)</f>
        <v>0.164996</v>
      </c>
      <c r="E26" s="52">
        <f>'Nov 10'!$D26*$C$6*$C$2</f>
        <v>24233516.605524801</v>
      </c>
      <c r="F26" s="53"/>
      <c r="G26" s="53"/>
      <c r="H26" s="50"/>
      <c r="I26" s="50"/>
      <c r="J26" s="54"/>
      <c r="K26" s="52">
        <f>SUM(K9:K25)</f>
        <v>24233486.006146461</v>
      </c>
      <c r="L26" s="55">
        <f>'Nov 10'!$K26/$K$2</f>
        <v>0.13963554221659025</v>
      </c>
      <c r="M26" s="50"/>
    </row>
    <row r="27" spans="1:15" s="47" customFormat="1" ht="12.75" customHeight="1" x14ac:dyDescent="0.25">
      <c r="A27" s="36"/>
      <c r="B27" s="36"/>
      <c r="C27" s="36"/>
      <c r="D27" s="37"/>
      <c r="E27" s="38"/>
      <c r="F27" s="38"/>
      <c r="G27" s="39"/>
      <c r="H27" s="36"/>
      <c r="I27" s="36"/>
      <c r="J27" s="48"/>
      <c r="K27" s="38"/>
      <c r="L27" s="42"/>
      <c r="M27" s="36"/>
    </row>
    <row r="28" spans="1:15" s="46" customFormat="1" ht="12.75" customHeight="1" x14ac:dyDescent="0.25">
      <c r="A28" s="57"/>
      <c r="B28" s="50" t="s">
        <v>35</v>
      </c>
      <c r="C28" s="57" t="s">
        <v>36</v>
      </c>
      <c r="D28" s="58">
        <v>0.02</v>
      </c>
      <c r="E28" s="59">
        <f>'Nov 10'!$D28*$C$6*$C$2</f>
        <v>2937467.1635100003</v>
      </c>
      <c r="F28" s="53">
        <v>17.990001166997299</v>
      </c>
      <c r="G28" s="60">
        <f>'Nov 10'!$E28/'Nov 10'!$F28</f>
        <v>163283.32256580345</v>
      </c>
      <c r="H28" s="57">
        <v>214225</v>
      </c>
      <c r="I28" s="57">
        <f>ROUND(Table13895845679910111213144562678910111213141516171819202134567891011121314151617181920212223345678[[#This Row],[Target Quantity]],0)</f>
        <v>163283</v>
      </c>
      <c r="J28" s="61">
        <f>I28-H28</f>
        <v>-50942</v>
      </c>
      <c r="K28" s="62">
        <f>'Nov 10'!$F28*'Nov 10'!$I28</f>
        <v>2937461.3605508199</v>
      </c>
      <c r="L28" s="55">
        <f>'Nov 10'!$K28/$K$2</f>
        <v>1.6925918529292986E-2</v>
      </c>
      <c r="M28" s="50"/>
      <c r="O28" s="44"/>
    </row>
    <row r="29" spans="1:15" s="46" customFormat="1" ht="12.75" customHeight="1" x14ac:dyDescent="0.25">
      <c r="A29" s="36"/>
      <c r="B29" s="36"/>
      <c r="C29" s="36"/>
      <c r="D29" s="37"/>
      <c r="E29" s="38"/>
      <c r="F29" s="38"/>
      <c r="G29" s="39"/>
      <c r="H29" s="36"/>
      <c r="I29" s="36"/>
      <c r="J29" s="48"/>
      <c r="K29" s="41"/>
      <c r="L29" s="42"/>
      <c r="M29" s="36"/>
      <c r="O29" s="44"/>
    </row>
    <row r="30" spans="1:15" s="4" customFormat="1" ht="25.5" x14ac:dyDescent="0.2">
      <c r="A30" s="36" t="s">
        <v>150</v>
      </c>
      <c r="B30" s="63" t="s">
        <v>98</v>
      </c>
      <c r="C30" s="64" t="s">
        <v>99</v>
      </c>
      <c r="D30" s="37">
        <v>3.0499999999999999E-2</v>
      </c>
      <c r="E30" s="38">
        <f>'Nov 10'!$D30*$C$6*$C$2</f>
        <v>4479637.4243527502</v>
      </c>
      <c r="F30" s="38">
        <v>156250</v>
      </c>
      <c r="G30" s="39">
        <f>'Nov 10'!$E30/'Nov 10'!$F30</f>
        <v>28.669679515857602</v>
      </c>
      <c r="H30" s="36">
        <v>39</v>
      </c>
      <c r="I30" s="36">
        <v>29</v>
      </c>
      <c r="J30" s="40">
        <f t="shared" ref="J30:J39" si="1">I30-H30</f>
        <v>-10</v>
      </c>
      <c r="K30" s="41">
        <f>'Nov 10'!$F30*'Nov 10'!$I30</f>
        <v>4531250</v>
      </c>
      <c r="L30" s="42">
        <f>'Nov 10'!$K30/$K$2</f>
        <v>2.6109473086473971E-2</v>
      </c>
      <c r="M30" s="65"/>
    </row>
    <row r="31" spans="1:15" s="4" customFormat="1" ht="25.5" x14ac:dyDescent="0.2">
      <c r="A31" s="36" t="s">
        <v>150</v>
      </c>
      <c r="B31" s="63" t="s">
        <v>102</v>
      </c>
      <c r="C31" s="64" t="s">
        <v>103</v>
      </c>
      <c r="D31" s="37">
        <v>3.0499999999999999E-2</v>
      </c>
      <c r="E31" s="38">
        <f>'Nov 10'!$D31*$C$6*$C$2</f>
        <v>4479637.4243527502</v>
      </c>
      <c r="F31" s="38">
        <v>212559.93103448299</v>
      </c>
      <c r="G31" s="39">
        <f>'Nov 10'!$E31/'Nov 10'!$F31</f>
        <v>21.074703038109433</v>
      </c>
      <c r="H31" s="36">
        <v>29</v>
      </c>
      <c r="I31" s="36">
        <v>21</v>
      </c>
      <c r="J31" s="40">
        <f t="shared" si="1"/>
        <v>-8</v>
      </c>
      <c r="K31" s="41">
        <f>'Nov 10'!$F31*'Nov 10'!$I31</f>
        <v>4463758.5517241424</v>
      </c>
      <c r="L31" s="42">
        <f>'Nov 10'!$K31/$K$2</f>
        <v>2.5720581245960723E-2</v>
      </c>
      <c r="M31" s="65"/>
    </row>
    <row r="32" spans="1:15" s="4" customFormat="1" ht="25.5" x14ac:dyDescent="0.2">
      <c r="A32" s="36" t="s">
        <v>150</v>
      </c>
      <c r="B32" s="63" t="s">
        <v>104</v>
      </c>
      <c r="C32" s="64" t="s">
        <v>105</v>
      </c>
      <c r="D32" s="37">
        <v>3.0499999999999999E-2</v>
      </c>
      <c r="E32" s="38">
        <f>'Nov 10'!$D32*$C$6*$C$2</f>
        <v>4479637.4243527502</v>
      </c>
      <c r="F32" s="38">
        <v>170937.5</v>
      </c>
      <c r="G32" s="39">
        <f>'Nov 10'!$E32/'Nov 10'!$F32</f>
        <v>26.206288405719928</v>
      </c>
      <c r="H32" s="36">
        <v>36</v>
      </c>
      <c r="I32" s="36">
        <v>26</v>
      </c>
      <c r="J32" s="40">
        <f t="shared" si="1"/>
        <v>-10</v>
      </c>
      <c r="K32" s="41">
        <f>'Nov 10'!$F32*'Nov 10'!$I32</f>
        <v>4444375</v>
      </c>
      <c r="L32" s="42">
        <f>'Nov 10'!$K32/$K$2</f>
        <v>2.5608891464540193E-2</v>
      </c>
      <c r="M32" s="65"/>
    </row>
    <row r="33" spans="1:13" s="4" customFormat="1" ht="25.5" x14ac:dyDescent="0.2">
      <c r="A33" s="36" t="s">
        <v>150</v>
      </c>
      <c r="B33" s="63" t="s">
        <v>106</v>
      </c>
      <c r="C33" s="64" t="s">
        <v>107</v>
      </c>
      <c r="D33" s="37">
        <v>3.0499999999999999E-2</v>
      </c>
      <c r="E33" s="38">
        <f>'Nov 10'!$D33*$C$6*$C$2</f>
        <v>4479637.4243527502</v>
      </c>
      <c r="F33" s="38">
        <v>125296.97959183699</v>
      </c>
      <c r="G33" s="39">
        <f>'Nov 10'!$E33/'Nov 10'!$F33</f>
        <v>35.752158104253262</v>
      </c>
      <c r="H33" s="36">
        <v>49</v>
      </c>
      <c r="I33" s="36">
        <v>36</v>
      </c>
      <c r="J33" s="40">
        <f t="shared" si="1"/>
        <v>-13</v>
      </c>
      <c r="K33" s="41">
        <f>'Nov 10'!$F33*'Nov 10'!$I33</f>
        <v>4510691.2653061319</v>
      </c>
      <c r="L33" s="42">
        <f>'Nov 10'!$K33/$K$2</f>
        <v>2.5991011794295981E-2</v>
      </c>
      <c r="M33" s="65"/>
    </row>
    <row r="34" spans="1:13" s="4" customFormat="1" ht="25.5" x14ac:dyDescent="0.2">
      <c r="A34" s="36" t="s">
        <v>150</v>
      </c>
      <c r="B34" s="63" t="s">
        <v>108</v>
      </c>
      <c r="C34" s="64" t="s">
        <v>109</v>
      </c>
      <c r="D34" s="37">
        <v>3.0499999999999999E-2</v>
      </c>
      <c r="E34" s="38">
        <f>'Nov 10'!$D34*$C$6*$C$2</f>
        <v>4479637.4243527502</v>
      </c>
      <c r="F34" s="38">
        <v>137674.933333333</v>
      </c>
      <c r="G34" s="39">
        <f>'Nov 10'!$E34/'Nov 10'!$F34</f>
        <v>32.53778531714871</v>
      </c>
      <c r="H34" s="36">
        <v>45</v>
      </c>
      <c r="I34" s="36">
        <v>33</v>
      </c>
      <c r="J34" s="40">
        <f t="shared" si="1"/>
        <v>-12</v>
      </c>
      <c r="K34" s="41">
        <f>'Nov 10'!$F34*'Nov 10'!$I34</f>
        <v>4543272.7999999886</v>
      </c>
      <c r="L34" s="42">
        <f>'Nov 10'!$K34/$K$2</f>
        <v>2.6178749549486111E-2</v>
      </c>
      <c r="M34" s="65"/>
    </row>
    <row r="35" spans="1:13" s="4" customFormat="1" ht="25.5" x14ac:dyDescent="0.2">
      <c r="A35" s="36" t="s">
        <v>150</v>
      </c>
      <c r="B35" s="63" t="s">
        <v>114</v>
      </c>
      <c r="C35" s="64" t="s">
        <v>115</v>
      </c>
      <c r="D35" s="37">
        <v>3.0499999999999999E-2</v>
      </c>
      <c r="E35" s="38">
        <f>'Nov 10'!$D35*$C$6*$C$2</f>
        <v>4479637.4243527502</v>
      </c>
      <c r="F35" s="38">
        <v>220718.75</v>
      </c>
      <c r="G35" s="39">
        <f>'Nov 10'!$E35/'Nov 10'!$F35</f>
        <v>20.295681378916608</v>
      </c>
      <c r="H35" s="36">
        <v>28</v>
      </c>
      <c r="I35" s="36">
        <v>20</v>
      </c>
      <c r="J35" s="40">
        <f t="shared" si="1"/>
        <v>-8</v>
      </c>
      <c r="K35" s="41">
        <f>'Nov 10'!$F35*'Nov 10'!$I35</f>
        <v>4414375</v>
      </c>
      <c r="L35" s="42">
        <f>'Nov 10'!$K35/$K$2</f>
        <v>2.5436028746174573E-2</v>
      </c>
      <c r="M35" s="65"/>
    </row>
    <row r="36" spans="1:13" s="46" customFormat="1" ht="25.5" customHeight="1" x14ac:dyDescent="0.25">
      <c r="A36" s="36" t="s">
        <v>151</v>
      </c>
      <c r="B36" s="36" t="s">
        <v>152</v>
      </c>
      <c r="C36" s="36" t="s">
        <v>63</v>
      </c>
      <c r="D36" s="37">
        <v>3.0499999999999999E-2</v>
      </c>
      <c r="E36" s="38">
        <f>'Nov 10'!$D36*$C$6*$C$2</f>
        <v>4479637.4243527502</v>
      </c>
      <c r="F36" s="38">
        <v>114994.754716981</v>
      </c>
      <c r="G36" s="39">
        <f>'Nov 10'!$E36/'Nov 10'!$F36</f>
        <v>38.955145696669355</v>
      </c>
      <c r="H36" s="36">
        <v>53</v>
      </c>
      <c r="I36" s="36">
        <v>39</v>
      </c>
      <c r="J36" s="40">
        <f t="shared" si="1"/>
        <v>-14</v>
      </c>
      <c r="K36" s="41">
        <f>'Nov 10'!$F36*'Nov 10'!$I36</f>
        <v>4484795.4339622585</v>
      </c>
      <c r="L36" s="42">
        <f>'Nov 10'!$K36/$K$2</f>
        <v>2.5841797667614661E-2</v>
      </c>
      <c r="M36" s="43"/>
    </row>
    <row r="37" spans="1:13" s="46" customFormat="1" ht="25.5" x14ac:dyDescent="0.25">
      <c r="A37" s="36" t="s">
        <v>151</v>
      </c>
      <c r="B37" s="36" t="s">
        <v>60</v>
      </c>
      <c r="C37" s="36" t="s">
        <v>61</v>
      </c>
      <c r="D37" s="37">
        <v>3.0499999999999999E-2</v>
      </c>
      <c r="E37" s="38">
        <f>'Nov 10'!$D37*$C$6*$C$2</f>
        <v>4479637.4243527502</v>
      </c>
      <c r="F37" s="38">
        <v>134681.08695652199</v>
      </c>
      <c r="G37" s="39">
        <f>'Nov 10'!$E37/'Nov 10'!$F37</f>
        <v>33.261072698343128</v>
      </c>
      <c r="H37" s="36">
        <v>46</v>
      </c>
      <c r="I37" s="36">
        <v>33</v>
      </c>
      <c r="J37" s="40">
        <f t="shared" si="1"/>
        <v>-13</v>
      </c>
      <c r="K37" s="41">
        <f>'Nov 10'!$F37*'Nov 10'!$I37</f>
        <v>4444475.8695652261</v>
      </c>
      <c r="L37" s="42">
        <f>'Nov 10'!$K37/$K$2</f>
        <v>2.5609472684115037E-2</v>
      </c>
      <c r="M37" s="43"/>
    </row>
    <row r="38" spans="1:13" s="46" customFormat="1" ht="25.5" x14ac:dyDescent="0.25">
      <c r="A38" s="36" t="s">
        <v>151</v>
      </c>
      <c r="B38" s="36" t="s">
        <v>56</v>
      </c>
      <c r="C38" s="36" t="s">
        <v>57</v>
      </c>
      <c r="D38" s="37">
        <v>3.0499999999999999E-2</v>
      </c>
      <c r="E38" s="38">
        <f>'Nov 10'!$D38*$C$6*$C$2</f>
        <v>4479637.4243527502</v>
      </c>
      <c r="F38" s="38">
        <v>176933.11428571399</v>
      </c>
      <c r="G38" s="39">
        <f>'Nov 10'!$E38/'Nov 10'!$F38</f>
        <v>25.318253411393478</v>
      </c>
      <c r="H38" s="36">
        <v>35</v>
      </c>
      <c r="I38" s="36">
        <v>25</v>
      </c>
      <c r="J38" s="40">
        <f t="shared" si="1"/>
        <v>-10</v>
      </c>
      <c r="K38" s="41">
        <f>'Nov 10'!$F38*'Nov 10'!$I38</f>
        <v>4423327.8571428498</v>
      </c>
      <c r="L38" s="42">
        <f>'Nov 10'!$K38/$K$2</f>
        <v>2.5487615920269643E-2</v>
      </c>
      <c r="M38" s="43"/>
    </row>
    <row r="39" spans="1:13" s="46" customFormat="1" ht="25.5" x14ac:dyDescent="0.25">
      <c r="A39" s="36" t="s">
        <v>151</v>
      </c>
      <c r="B39" s="36" t="s">
        <v>66</v>
      </c>
      <c r="C39" s="36" t="s">
        <v>67</v>
      </c>
      <c r="D39" s="37">
        <v>3.0499999999999999E-2</v>
      </c>
      <c r="E39" s="38">
        <f>'Nov 10'!$D39*$C$6*$C$2</f>
        <v>4479637.4243527502</v>
      </c>
      <c r="F39" s="38">
        <v>262041.47826087</v>
      </c>
      <c r="G39" s="39">
        <f>'Nov 10'!$E39/'Nov 10'!$F39</f>
        <v>17.09514636416888</v>
      </c>
      <c r="H39" s="36">
        <v>23</v>
      </c>
      <c r="I39" s="36">
        <v>17</v>
      </c>
      <c r="J39" s="40">
        <f t="shared" si="1"/>
        <v>-6</v>
      </c>
      <c r="K39" s="41">
        <f>'Nov 10'!$F39*'Nov 10'!$I39</f>
        <v>4454705.1304347897</v>
      </c>
      <c r="L39" s="42">
        <f>'Nov 10'!$K39/$K$2</f>
        <v>2.5668414612141165E-2</v>
      </c>
      <c r="M39" s="43"/>
    </row>
    <row r="40" spans="1:13" s="67" customFormat="1" ht="12.75" x14ac:dyDescent="0.2">
      <c r="A40" s="36"/>
      <c r="B40" s="64"/>
      <c r="C40" s="64"/>
      <c r="D40" s="37"/>
      <c r="E40" s="66"/>
      <c r="F40" s="38"/>
      <c r="G40" s="39"/>
      <c r="H40" s="36"/>
      <c r="I40" s="36"/>
      <c r="J40" s="48"/>
      <c r="K40" s="38"/>
      <c r="L40" s="49"/>
      <c r="M40" s="65"/>
    </row>
    <row r="41" spans="1:13" s="17" customFormat="1" ht="12.75" x14ac:dyDescent="0.2">
      <c r="A41" s="50" t="s">
        <v>153</v>
      </c>
      <c r="B41" s="68"/>
      <c r="C41" s="68"/>
      <c r="D41" s="58">
        <f>SUBTOTAL(9,D30:D40)</f>
        <v>0.30499999999999994</v>
      </c>
      <c r="E41" s="69">
        <f>'Nov 10'!$D41*$C$6*$C$2</f>
        <v>44796374.243527494</v>
      </c>
      <c r="F41" s="70"/>
      <c r="G41" s="71"/>
      <c r="H41" s="57"/>
      <c r="I41" s="57"/>
      <c r="J41" s="61"/>
      <c r="K41" s="69">
        <f>SUM(K30:K40)</f>
        <v>44715026.908135392</v>
      </c>
      <c r="L41" s="72">
        <f>'Nov 10'!$K41/$K$2</f>
        <v>0.25765203677107207</v>
      </c>
      <c r="M41" s="73"/>
    </row>
    <row r="42" spans="1:13" s="67" customFormat="1" ht="12.75" x14ac:dyDescent="0.2">
      <c r="A42" s="36"/>
      <c r="B42" s="64"/>
      <c r="C42" s="64"/>
      <c r="D42" s="37"/>
      <c r="E42" s="66"/>
      <c r="F42" s="38"/>
      <c r="G42" s="39"/>
      <c r="H42" s="36"/>
      <c r="I42" s="36"/>
      <c r="J42" s="48"/>
      <c r="K42" s="38"/>
      <c r="L42" s="42"/>
      <c r="M42" s="65"/>
    </row>
    <row r="43" spans="1:13" s="4" customFormat="1" ht="24.75" customHeight="1" x14ac:dyDescent="0.2">
      <c r="A43" s="36" t="s">
        <v>150</v>
      </c>
      <c r="B43" s="64" t="s">
        <v>110</v>
      </c>
      <c r="C43" s="64" t="s">
        <v>111</v>
      </c>
      <c r="D43" s="37">
        <v>0.1</v>
      </c>
      <c r="E43" s="38">
        <f>'Nov 10'!$D43*$C$6*$C$2</f>
        <v>14687335.817550002</v>
      </c>
      <c r="F43" s="38">
        <v>416335.375</v>
      </c>
      <c r="G43" s="39">
        <f>'Nov 10'!$E43/'Nov 10'!$F43</f>
        <v>35.277655225790028</v>
      </c>
      <c r="H43" s="36">
        <v>48</v>
      </c>
      <c r="I43" s="36">
        <v>48</v>
      </c>
      <c r="J43" s="40">
        <f>I43-H43</f>
        <v>0</v>
      </c>
      <c r="K43" s="41">
        <f>'Nov 10'!$F43*'Nov 10'!$I43</f>
        <v>19984098</v>
      </c>
      <c r="L43" s="42">
        <f>'Nov 10'!$K43/$K$2</f>
        <v>0.11515018347883217</v>
      </c>
      <c r="M43" s="65"/>
    </row>
    <row r="44" spans="1:13" s="46" customFormat="1" ht="25.5" x14ac:dyDescent="0.25">
      <c r="A44" s="36" t="s">
        <v>151</v>
      </c>
      <c r="B44" s="36" t="s">
        <v>68</v>
      </c>
      <c r="C44" s="36" t="s">
        <v>69</v>
      </c>
      <c r="D44" s="37">
        <v>0.1</v>
      </c>
      <c r="E44" s="38">
        <f>'Nov 10'!$D44*$C$6*$C$2</f>
        <v>14687335.817550002</v>
      </c>
      <c r="F44" s="38">
        <v>249407.92499999999</v>
      </c>
      <c r="G44" s="39">
        <f>'Nov 10'!$E44/'Nov 10'!$F44</f>
        <v>58.888809638065844</v>
      </c>
      <c r="H44" s="36">
        <v>80</v>
      </c>
      <c r="I44" s="36">
        <v>80</v>
      </c>
      <c r="J44" s="40">
        <f>I44-H44</f>
        <v>0</v>
      </c>
      <c r="K44" s="41">
        <f>'Nov 10'!$F44*'Nov 10'!$I44</f>
        <v>19952634</v>
      </c>
      <c r="L44" s="42">
        <f>'Nov 10'!$K44/$K$2</f>
        <v>0.11496888505981032</v>
      </c>
      <c r="M44" s="43"/>
    </row>
    <row r="45" spans="1:13" s="46" customFormat="1" ht="25.5" x14ac:dyDescent="0.25">
      <c r="A45" s="36" t="s">
        <v>151</v>
      </c>
      <c r="B45" s="36" t="s">
        <v>92</v>
      </c>
      <c r="C45" s="36" t="s">
        <v>93</v>
      </c>
      <c r="D45" s="37">
        <v>0.1</v>
      </c>
      <c r="E45" s="38">
        <f>'Nov 10'!$D45*$C$6*$C$2</f>
        <v>14687335.817550002</v>
      </c>
      <c r="F45" s="38">
        <v>416301.75</v>
      </c>
      <c r="G45" s="39">
        <f>'Nov 10'!$E45/'Nov 10'!$F45</f>
        <v>35.280504628073274</v>
      </c>
      <c r="H45" s="36">
        <v>48</v>
      </c>
      <c r="I45" s="36">
        <v>48</v>
      </c>
      <c r="J45" s="40">
        <f>I45-H45</f>
        <v>0</v>
      </c>
      <c r="K45" s="41">
        <f>'Nov 10'!$F45*'Nov 10'!$I45</f>
        <v>19982484</v>
      </c>
      <c r="L45" s="42">
        <f>'Nov 10'!$K45/$K$2</f>
        <v>0.11514088346458411</v>
      </c>
      <c r="M45" s="43"/>
    </row>
    <row r="46" spans="1:13" s="46" customFormat="1" ht="25.5" x14ac:dyDescent="0.25">
      <c r="A46" s="36" t="s">
        <v>151</v>
      </c>
      <c r="B46" s="36" t="s">
        <v>95</v>
      </c>
      <c r="C46" s="36" t="s">
        <v>96</v>
      </c>
      <c r="D46" s="37">
        <v>0.1</v>
      </c>
      <c r="E46" s="38">
        <f>'Nov 10'!$D46*$C$6*$C$2</f>
        <v>14687335.817550002</v>
      </c>
      <c r="F46" s="38">
        <v>249778.21249999999</v>
      </c>
      <c r="G46" s="39">
        <f>'Nov 10'!$E46/'Nov 10'!$F46</f>
        <v>58.80150902893503</v>
      </c>
      <c r="H46" s="36">
        <v>80</v>
      </c>
      <c r="I46" s="36">
        <v>80</v>
      </c>
      <c r="J46" s="40">
        <f>I46-H46</f>
        <v>0</v>
      </c>
      <c r="K46" s="41">
        <f>'Nov 10'!$F46*'Nov 10'!$I46</f>
        <v>19982257</v>
      </c>
      <c r="L46" s="42">
        <f>'Nov 10'!$K46/$K$2</f>
        <v>0.11513957547001513</v>
      </c>
      <c r="M46" s="43"/>
    </row>
    <row r="47" spans="1:13" s="46" customFormat="1" ht="25.5" x14ac:dyDescent="0.25">
      <c r="A47" s="36" t="s">
        <v>151</v>
      </c>
      <c r="B47" s="36" t="s">
        <v>77</v>
      </c>
      <c r="C47" s="36" t="s">
        <v>78</v>
      </c>
      <c r="D47" s="37">
        <v>0.1</v>
      </c>
      <c r="E47" s="38">
        <f>'Nov 10'!$D47*$C$6*$C$2</f>
        <v>14687335.817550002</v>
      </c>
      <c r="F47" s="38">
        <v>165057.06557377099</v>
      </c>
      <c r="G47" s="39">
        <f>'Nov 10'!$E47/'Nov 10'!$F47</f>
        <v>88.983381392937758</v>
      </c>
      <c r="H47" s="36">
        <v>122</v>
      </c>
      <c r="I47" s="36">
        <v>122</v>
      </c>
      <c r="J47" s="40">
        <f>I47-H47</f>
        <v>0</v>
      </c>
      <c r="K47" s="41">
        <f>'Nov 10'!$F47*'Nov 10'!$I47</f>
        <v>20136962.00000006</v>
      </c>
      <c r="L47" s="42">
        <f>'Nov 10'!$K47/$K$2</f>
        <v>0.11603099969817393</v>
      </c>
      <c r="M47" s="43"/>
    </row>
    <row r="48" spans="1:13" s="47" customFormat="1" ht="12.75" x14ac:dyDescent="0.25">
      <c r="A48" s="36"/>
      <c r="B48" s="36"/>
      <c r="C48" s="36"/>
      <c r="D48" s="37"/>
      <c r="E48" s="38"/>
      <c r="F48" s="38"/>
      <c r="G48" s="39"/>
      <c r="H48" s="36"/>
      <c r="I48" s="36"/>
      <c r="J48" s="48"/>
      <c r="K48" s="38"/>
      <c r="L48" s="42"/>
      <c r="M48" s="36"/>
    </row>
    <row r="49" spans="1:16" s="56" customFormat="1" ht="25.5" x14ac:dyDescent="0.25">
      <c r="A49" s="50" t="s">
        <v>154</v>
      </c>
      <c r="B49" s="50"/>
      <c r="C49" s="50"/>
      <c r="D49" s="58">
        <f>SUBTOTAL(9,D43:D48)</f>
        <v>0.5</v>
      </c>
      <c r="E49" s="52">
        <f>'Nov 10'!$D49*$C$6*$C$2</f>
        <v>73436679.087750003</v>
      </c>
      <c r="F49" s="71"/>
      <c r="G49" s="71"/>
      <c r="H49" s="57"/>
      <c r="I49" s="57"/>
      <c r="J49" s="61"/>
      <c r="K49" s="52">
        <f>SUM(K43:K48)</f>
        <v>100038435.00000006</v>
      </c>
      <c r="L49" s="74">
        <f>'Nov 10'!$K49/$K$2</f>
        <v>0.57643052717141563</v>
      </c>
      <c r="M49" s="50"/>
    </row>
    <row r="50" spans="1:16" s="47" customFormat="1" ht="12.75" x14ac:dyDescent="0.25">
      <c r="A50" s="36"/>
      <c r="B50" s="36"/>
      <c r="C50" s="36"/>
      <c r="D50" s="37"/>
      <c r="E50" s="38"/>
      <c r="F50" s="38"/>
      <c r="G50" s="39"/>
      <c r="H50" s="36"/>
      <c r="I50" s="36"/>
      <c r="J50" s="48"/>
      <c r="K50" s="38"/>
      <c r="L50" s="42"/>
      <c r="M50" s="36"/>
    </row>
    <row r="51" spans="1:16" s="46" customFormat="1" ht="12.75" x14ac:dyDescent="0.25">
      <c r="A51" s="36"/>
      <c r="B51" s="36"/>
      <c r="C51" s="36"/>
      <c r="D51" s="37"/>
      <c r="E51" s="38"/>
      <c r="F51" s="38"/>
      <c r="G51" s="75"/>
      <c r="H51" s="36"/>
      <c r="I51" s="36"/>
      <c r="J51" s="40"/>
      <c r="K51" s="41"/>
      <c r="L51" s="42"/>
      <c r="M51" s="43"/>
    </row>
    <row r="52" spans="1:16" s="46" customFormat="1" ht="25.5" x14ac:dyDescent="0.25">
      <c r="A52" s="36" t="s">
        <v>155</v>
      </c>
      <c r="B52" s="36" t="s">
        <v>156</v>
      </c>
      <c r="C52" s="36" t="s">
        <v>54</v>
      </c>
      <c r="D52" s="37">
        <v>1E-3</v>
      </c>
      <c r="E52" s="38">
        <f>'Nov 10'!$D52*$C$6*$C$2</f>
        <v>146873.35817550001</v>
      </c>
      <c r="F52" s="38">
        <v>47229</v>
      </c>
      <c r="G52" s="75">
        <f>'Nov 10'!$E52/'Nov 10'!$F52</f>
        <v>3.10981299996824</v>
      </c>
      <c r="H52" s="36">
        <v>4</v>
      </c>
      <c r="I52" s="36">
        <v>3</v>
      </c>
      <c r="J52" s="40">
        <f t="shared" ref="J52:J61" si="2">I52-H52</f>
        <v>-1</v>
      </c>
      <c r="K52" s="41">
        <f>'Nov 10'!$F52*'Nov 10'!$I52</f>
        <v>141687</v>
      </c>
      <c r="L52" s="42">
        <f>'Nov 10'!$K52/$K$2</f>
        <v>8.1641333256899035E-4</v>
      </c>
      <c r="M52" s="43"/>
    </row>
    <row r="53" spans="1:16" s="46" customFormat="1" ht="25.5" x14ac:dyDescent="0.25">
      <c r="A53" s="36" t="s">
        <v>155</v>
      </c>
      <c r="B53" s="36" t="s">
        <v>71</v>
      </c>
      <c r="C53" s="36" t="s">
        <v>72</v>
      </c>
      <c r="D53" s="37">
        <v>1E-3</v>
      </c>
      <c r="E53" s="38">
        <f>'Nov 10'!$D53*$C$6*$C$2</f>
        <v>146873.35817550001</v>
      </c>
      <c r="F53" s="38">
        <v>78759.333333333299</v>
      </c>
      <c r="G53" s="75">
        <f>'Nov 10'!$E53/'Nov 10'!$F53</f>
        <v>1.8648374987366585</v>
      </c>
      <c r="H53" s="36">
        <v>3</v>
      </c>
      <c r="I53" s="36">
        <v>2</v>
      </c>
      <c r="J53" s="40">
        <f t="shared" si="2"/>
        <v>-1</v>
      </c>
      <c r="K53" s="41">
        <f>'Nov 10'!$F53*'Nov 10'!$I53</f>
        <v>157518.6666666666</v>
      </c>
      <c r="L53" s="42">
        <f>'Nov 10'!$K53/$K$2</f>
        <v>9.0763683044426942E-4</v>
      </c>
      <c r="M53" s="43"/>
      <c r="P53" s="46" t="s">
        <v>159</v>
      </c>
    </row>
    <row r="54" spans="1:16" s="46" customFormat="1" ht="25.5" x14ac:dyDescent="0.25">
      <c r="A54" s="36" t="s">
        <v>155</v>
      </c>
      <c r="B54" s="36" t="s">
        <v>160</v>
      </c>
      <c r="C54" s="36" t="s">
        <v>84</v>
      </c>
      <c r="D54" s="37">
        <v>1E-3</v>
      </c>
      <c r="E54" s="38">
        <f>'Nov 10'!$D54*$C$6*$C$2</f>
        <v>146873.35817550001</v>
      </c>
      <c r="F54" s="38">
        <v>94866.5</v>
      </c>
      <c r="G54" s="75">
        <f>'Nov 10'!$E54/'Nov 10'!$F54</f>
        <v>1.5482109930850196</v>
      </c>
      <c r="H54" s="36">
        <v>2</v>
      </c>
      <c r="I54" s="36">
        <v>2</v>
      </c>
      <c r="J54" s="40">
        <f t="shared" si="2"/>
        <v>0</v>
      </c>
      <c r="K54" s="41">
        <f>'Nov 10'!$F54*'Nov 10'!$I54</f>
        <v>189733</v>
      </c>
      <c r="L54" s="42">
        <f>'Nov 10'!$K54/$K$2</f>
        <v>1.0932587381221441E-3</v>
      </c>
      <c r="M54" s="43"/>
    </row>
    <row r="55" spans="1:16" s="46" customFormat="1" ht="25.5" x14ac:dyDescent="0.25">
      <c r="A55" s="36" t="s">
        <v>155</v>
      </c>
      <c r="B55" s="36" t="s">
        <v>161</v>
      </c>
      <c r="C55" s="36" t="s">
        <v>86</v>
      </c>
      <c r="D55" s="37">
        <v>1E-3</v>
      </c>
      <c r="E55" s="38">
        <f>'Nov 10'!$D55*$C$6*$C$2</f>
        <v>146873.35817550001</v>
      </c>
      <c r="F55" s="38">
        <v>250142</v>
      </c>
      <c r="G55" s="75">
        <f>'Nov 10'!$E55/'Nov 10'!$F55</f>
        <v>0.58715992586410926</v>
      </c>
      <c r="H55" s="36">
        <v>1</v>
      </c>
      <c r="I55" s="36">
        <v>1</v>
      </c>
      <c r="J55" s="40">
        <f t="shared" si="2"/>
        <v>0</v>
      </c>
      <c r="K55" s="41">
        <f>'Nov 10'!$F55*'Nov 10'!$I55</f>
        <v>250142</v>
      </c>
      <c r="L55" s="42">
        <f>'Nov 10'!$K55/$K$2</f>
        <v>1.4413408699137703E-3</v>
      </c>
      <c r="M55" s="43"/>
    </row>
    <row r="56" spans="1:16" s="46" customFormat="1" ht="25.5" x14ac:dyDescent="0.25">
      <c r="A56" s="36" t="s">
        <v>155</v>
      </c>
      <c r="B56" s="36" t="s">
        <v>87</v>
      </c>
      <c r="C56" s="36" t="s">
        <v>88</v>
      </c>
      <c r="D56" s="37">
        <v>1E-3</v>
      </c>
      <c r="E56" s="38">
        <f>'Nov 10'!$D56*$C$6*$C$2</f>
        <v>146873.35817550001</v>
      </c>
      <c r="F56" s="38">
        <v>11925.8823529412</v>
      </c>
      <c r="G56" s="75">
        <f>'Nov 10'!$E56/'Nov 10'!$F56</f>
        <v>12.315512917941675</v>
      </c>
      <c r="H56" s="36">
        <v>17</v>
      </c>
      <c r="I56" s="36">
        <v>12</v>
      </c>
      <c r="J56" s="40">
        <f t="shared" si="2"/>
        <v>-5</v>
      </c>
      <c r="K56" s="41">
        <f>'Nov 10'!$F56*'Nov 10'!$I56</f>
        <v>143110.58823529439</v>
      </c>
      <c r="L56" s="42">
        <f>'Nov 10'!$K56/$K$2</f>
        <v>8.2461617697520047E-4</v>
      </c>
      <c r="M56" s="43"/>
    </row>
    <row r="57" spans="1:16" s="46" customFormat="1" ht="25.5" x14ac:dyDescent="0.25">
      <c r="A57" s="36" t="s">
        <v>155</v>
      </c>
      <c r="B57" s="36" t="s">
        <v>162</v>
      </c>
      <c r="C57" s="36" t="s">
        <v>91</v>
      </c>
      <c r="D57" s="37">
        <v>1E-3</v>
      </c>
      <c r="E57" s="38">
        <f>'Nov 10'!$D57*$C$6*$C$2</f>
        <v>146873.35817550001</v>
      </c>
      <c r="F57" s="38">
        <v>91832</v>
      </c>
      <c r="G57" s="75">
        <f>'Nov 10'!$E57/'Nov 10'!$F57</f>
        <v>1.5993701343268143</v>
      </c>
      <c r="H57" s="36">
        <v>2</v>
      </c>
      <c r="I57" s="36">
        <v>2</v>
      </c>
      <c r="J57" s="40">
        <f t="shared" si="2"/>
        <v>0</v>
      </c>
      <c r="K57" s="41">
        <f>'Nov 10'!$F57*'Nov 10'!$I57</f>
        <v>183664</v>
      </c>
      <c r="L57" s="42">
        <f>'Nov 10'!$K57/$K$2</f>
        <v>1.0582886101967791E-3</v>
      </c>
      <c r="M57" s="43"/>
    </row>
    <row r="58" spans="1:16" s="4" customFormat="1" ht="25.5" x14ac:dyDescent="0.2">
      <c r="A58" s="36" t="s">
        <v>155</v>
      </c>
      <c r="B58" s="64" t="s">
        <v>163</v>
      </c>
      <c r="C58" s="64" t="s">
        <v>113</v>
      </c>
      <c r="D58" s="37">
        <v>1E-3</v>
      </c>
      <c r="E58" s="38">
        <f>'Nov 10'!$D58*$C$6*$C$2</f>
        <v>146873.35817550001</v>
      </c>
      <c r="F58" s="38">
        <v>65920.666666666701</v>
      </c>
      <c r="G58" s="75">
        <f>'Nov 10'!$E58/'Nov 10'!$F58</f>
        <v>2.2280320512863936</v>
      </c>
      <c r="H58" s="36">
        <v>3</v>
      </c>
      <c r="I58" s="36">
        <v>2</v>
      </c>
      <c r="J58" s="40">
        <f t="shared" si="2"/>
        <v>-1</v>
      </c>
      <c r="K58" s="41">
        <f>'Nov 10'!$F58*'Nov 10'!$I58</f>
        <v>131841.3333333334</v>
      </c>
      <c r="L58" s="42">
        <f>'Nov 10'!$K58/$K$2</f>
        <v>7.596817090982647E-4</v>
      </c>
      <c r="M58" s="65"/>
    </row>
    <row r="59" spans="1:16" s="46" customFormat="1" ht="25.5" x14ac:dyDescent="0.25">
      <c r="A59" s="36" t="s">
        <v>155</v>
      </c>
      <c r="B59" s="36" t="s">
        <v>164</v>
      </c>
      <c r="C59" s="36" t="s">
        <v>82</v>
      </c>
      <c r="D59" s="37">
        <v>1E-3</v>
      </c>
      <c r="E59" s="38">
        <f>'Nov 10'!$D59*$C$6*$C$2</f>
        <v>146873.35817550001</v>
      </c>
      <c r="F59" s="38">
        <v>28860</v>
      </c>
      <c r="G59" s="75">
        <f>'Nov 10'!$E59/'Nov 10'!$F59</f>
        <v>5.0891669499480248</v>
      </c>
      <c r="H59" s="36">
        <v>7</v>
      </c>
      <c r="I59" s="36">
        <v>5</v>
      </c>
      <c r="J59" s="40">
        <f t="shared" si="2"/>
        <v>-2</v>
      </c>
      <c r="K59" s="41">
        <f>'Nov 10'!$F59*'Nov 10'!$I59</f>
        <v>144300</v>
      </c>
      <c r="L59" s="42">
        <f>'Nov 10'!$K59/$K$2</f>
        <v>8.3146967533863586E-4</v>
      </c>
      <c r="M59" s="43"/>
    </row>
    <row r="60" spans="1:16" s="46" customFormat="1" ht="25.5" x14ac:dyDescent="0.25">
      <c r="A60" s="36" t="s">
        <v>155</v>
      </c>
      <c r="B60" s="36" t="s">
        <v>100</v>
      </c>
      <c r="C60" s="36" t="s">
        <v>101</v>
      </c>
      <c r="D60" s="37">
        <v>1E-3</v>
      </c>
      <c r="E60" s="38">
        <f>'Nov 10'!$D60*$C$6*$C$2</f>
        <v>146873.35817550001</v>
      </c>
      <c r="F60" s="38">
        <v>7563.7777777777801</v>
      </c>
      <c r="G60" s="75">
        <f>'Nov 10'!$E60/'Nov 10'!$F60</f>
        <v>19.417989593376319</v>
      </c>
      <c r="H60" s="36">
        <v>27</v>
      </c>
      <c r="I60" s="36">
        <v>19</v>
      </c>
      <c r="J60" s="40">
        <f t="shared" si="2"/>
        <v>-8</v>
      </c>
      <c r="K60" s="41">
        <f>'Nov 10'!$F60*'Nov 10'!$I60</f>
        <v>143711.77777777781</v>
      </c>
      <c r="L60" s="42">
        <f>'Nov 10'!$K60/$K$2</f>
        <v>8.2808028559408942E-4</v>
      </c>
      <c r="M60" s="43"/>
    </row>
    <row r="61" spans="1:16" s="46" customFormat="1" ht="25.5" x14ac:dyDescent="0.25">
      <c r="A61" s="36" t="s">
        <v>155</v>
      </c>
      <c r="B61" s="36" t="s">
        <v>174</v>
      </c>
      <c r="C61" s="36" t="s">
        <v>75</v>
      </c>
      <c r="D61" s="37">
        <v>1E-3</v>
      </c>
      <c r="E61" s="38">
        <f>'Nov 10'!$D61*$C$6*$C$2</f>
        <v>146873.35817550001</v>
      </c>
      <c r="F61" s="38">
        <v>27600.714285714301</v>
      </c>
      <c r="G61" s="75">
        <f>'Nov 10'!$E61/'Nov 10'!$F61</f>
        <v>5.3213607682435731</v>
      </c>
      <c r="H61" s="36">
        <v>7</v>
      </c>
      <c r="I61" s="36">
        <v>5</v>
      </c>
      <c r="J61" s="40">
        <f t="shared" si="2"/>
        <v>-2</v>
      </c>
      <c r="K61" s="41">
        <f>'Nov 10'!$F61*'Nov 10'!$I61</f>
        <v>138003.57142857151</v>
      </c>
      <c r="L61" s="42">
        <f>'Nov 10'!$K61/$K$2</f>
        <v>7.9518908337689953E-4</v>
      </c>
      <c r="M61" s="43"/>
    </row>
    <row r="62" spans="1:16" s="46" customFormat="1" ht="12.75" x14ac:dyDescent="0.25">
      <c r="A62" s="36"/>
      <c r="B62" s="36"/>
      <c r="C62" s="36"/>
      <c r="D62" s="37"/>
      <c r="E62" s="38"/>
      <c r="F62" s="38"/>
      <c r="G62" s="39"/>
      <c r="H62" s="36"/>
      <c r="I62" s="36"/>
      <c r="J62" s="43"/>
      <c r="K62" s="41"/>
      <c r="L62" s="42"/>
      <c r="M62" s="43"/>
    </row>
    <row r="63" spans="1:16" s="46" customFormat="1" ht="12.75" x14ac:dyDescent="0.25">
      <c r="A63" s="36"/>
      <c r="B63" s="36"/>
      <c r="C63" s="36"/>
      <c r="D63" s="37"/>
      <c r="E63" s="38"/>
      <c r="F63" s="38"/>
      <c r="G63" s="39"/>
      <c r="H63" s="36"/>
      <c r="I63" s="36"/>
      <c r="J63" s="43"/>
      <c r="K63" s="41"/>
      <c r="L63" s="42"/>
      <c r="M63" s="43"/>
    </row>
    <row r="64" spans="1:16" s="17" customFormat="1" ht="12.75" x14ac:dyDescent="0.2">
      <c r="A64" s="50" t="s">
        <v>167</v>
      </c>
      <c r="B64" s="68"/>
      <c r="C64" s="68"/>
      <c r="D64" s="76">
        <f>SUM(D52:D63)</f>
        <v>1.0000000000000002E-2</v>
      </c>
      <c r="E64" s="52">
        <f>SUM(E51:E63)</f>
        <v>1468733.5817550004</v>
      </c>
      <c r="F64" s="71"/>
      <c r="G64" s="71"/>
      <c r="H64" s="68"/>
      <c r="I64" s="68"/>
      <c r="J64" s="50"/>
      <c r="K64" s="52">
        <f>SUM(K51:K63)</f>
        <v>1623711.9374416438</v>
      </c>
      <c r="L64" s="55">
        <f>'Nov 10'!$K64/$K$2</f>
        <v>9.3559753116290445E-3</v>
      </c>
      <c r="M64" s="62"/>
    </row>
    <row r="65" spans="1:13" s="4" customFormat="1" ht="12.75" x14ac:dyDescent="0.2">
      <c r="A65" s="36"/>
      <c r="B65" s="64"/>
      <c r="C65" s="64"/>
      <c r="D65" s="77"/>
      <c r="E65" s="38"/>
      <c r="F65" s="38"/>
      <c r="G65" s="39"/>
      <c r="H65" s="64"/>
      <c r="I65" s="64"/>
      <c r="J65" s="36"/>
      <c r="K65" s="36"/>
      <c r="L65" s="42"/>
      <c r="M65" s="65"/>
    </row>
    <row r="66" spans="1:13" s="46" customFormat="1" ht="25.5" x14ac:dyDescent="0.25">
      <c r="A66" s="50" t="s">
        <v>168</v>
      </c>
      <c r="B66" s="57" t="s">
        <v>169</v>
      </c>
      <c r="C66" s="57" t="s">
        <v>170</v>
      </c>
      <c r="D66" s="58">
        <v>0</v>
      </c>
      <c r="E66" s="59">
        <f>'Nov 10'!$D66*$C$6*$C$2</f>
        <v>0</v>
      </c>
      <c r="F66" s="59">
        <v>0</v>
      </c>
      <c r="G66" s="60" t="s">
        <v>175</v>
      </c>
      <c r="H66" s="57">
        <v>0</v>
      </c>
      <c r="I66" s="57">
        <v>0</v>
      </c>
      <c r="J66" s="78">
        <f>I66-H66</f>
        <v>0</v>
      </c>
      <c r="K66" s="59">
        <f>'Nov 10'!$F66*'Nov 10'!$I66</f>
        <v>0</v>
      </c>
      <c r="L66" s="79">
        <f>'Nov 10'!$K66/$K$2</f>
        <v>0</v>
      </c>
      <c r="M66" s="57"/>
    </row>
    <row r="67" spans="1:13" s="4" customFormat="1" ht="12.75" x14ac:dyDescent="0.2">
      <c r="A67" s="36"/>
      <c r="B67" s="64"/>
      <c r="C67" s="64"/>
      <c r="D67" s="77"/>
      <c r="E67" s="38"/>
      <c r="F67" s="38"/>
      <c r="G67" s="39"/>
      <c r="H67" s="64"/>
      <c r="I67" s="64"/>
      <c r="J67" s="36"/>
      <c r="K67" s="36"/>
      <c r="L67" s="42"/>
      <c r="M67" s="65"/>
    </row>
    <row r="68" spans="1:13" s="4" customFormat="1" ht="12.75" x14ac:dyDescent="0.2">
      <c r="A68" s="36"/>
      <c r="B68" s="64"/>
      <c r="C68" s="64"/>
      <c r="D68" s="80"/>
      <c r="E68" s="66"/>
      <c r="F68" s="38"/>
      <c r="G68" s="39"/>
      <c r="H68" s="64"/>
      <c r="I68" s="64"/>
      <c r="J68" s="36"/>
      <c r="K68" s="36"/>
      <c r="L68" s="42"/>
      <c r="M68" s="65"/>
    </row>
    <row r="69" spans="1:13" s="17" customFormat="1" ht="12.75" x14ac:dyDescent="0.2">
      <c r="A69" s="50" t="s">
        <v>171</v>
      </c>
      <c r="B69" s="68"/>
      <c r="C69" s="68"/>
      <c r="D69" s="68"/>
      <c r="E69" s="81"/>
      <c r="F69" s="81"/>
      <c r="G69" s="50"/>
      <c r="H69" s="68"/>
      <c r="I69" s="68"/>
      <c r="J69" s="68"/>
      <c r="K69" s="81">
        <f>SUM(K26,K28,K41,K49,K64,K66:K66)</f>
        <v>173548121.21227437</v>
      </c>
      <c r="L69" s="55">
        <f>'Nov 10'!$K69/$K$2</f>
        <v>1</v>
      </c>
      <c r="M69" s="68"/>
    </row>
    <row r="70" spans="1:13" s="4" customFormat="1" ht="12.75" x14ac:dyDescent="0.2">
      <c r="A70" s="65"/>
      <c r="B70" s="65"/>
      <c r="C70" s="65"/>
      <c r="D70" s="82"/>
      <c r="E70" s="83"/>
      <c r="F70" s="38"/>
      <c r="G70" s="84"/>
      <c r="H70" s="65"/>
      <c r="I70" s="65"/>
      <c r="J70" s="65"/>
      <c r="K70" s="65"/>
      <c r="L70" s="42"/>
      <c r="M70" s="65"/>
    </row>
    <row r="71" spans="1:13" s="4" customFormat="1" ht="12.75" x14ac:dyDescent="0.2">
      <c r="A71" s="65"/>
      <c r="B71" s="65"/>
      <c r="C71" s="65"/>
      <c r="D71" s="82"/>
      <c r="E71" s="83"/>
      <c r="F71" s="38"/>
      <c r="G71" s="84"/>
      <c r="H71" s="65"/>
      <c r="I71" s="65"/>
      <c r="J71" s="65"/>
      <c r="K71" s="65"/>
      <c r="L71" s="42"/>
      <c r="M71" s="65"/>
    </row>
    <row r="72" spans="1:13" s="4" customFormat="1" ht="12.75" x14ac:dyDescent="0.2">
      <c r="A72" s="65"/>
      <c r="B72" s="65"/>
      <c r="C72" s="65"/>
      <c r="D72" s="82"/>
      <c r="E72" s="83"/>
      <c r="F72" s="38"/>
      <c r="G72" s="84"/>
      <c r="H72" s="65"/>
      <c r="I72" s="65"/>
      <c r="J72" s="65"/>
      <c r="K72" s="65"/>
      <c r="L72" s="42"/>
      <c r="M72" s="65"/>
    </row>
    <row r="73" spans="1:13" s="4" customFormat="1" ht="12.75" x14ac:dyDescent="0.2">
      <c r="A73" s="65"/>
      <c r="B73" s="65"/>
      <c r="C73" s="65"/>
      <c r="D73" s="82"/>
      <c r="E73" s="83"/>
      <c r="F73" s="38"/>
      <c r="G73" s="84"/>
      <c r="H73" s="65"/>
      <c r="I73" s="65"/>
      <c r="J73" s="65"/>
      <c r="K73" s="65"/>
      <c r="L73" s="42"/>
      <c r="M73" s="65"/>
    </row>
    <row r="74" spans="1:13" s="4" customFormat="1" ht="12.75" x14ac:dyDescent="0.2">
      <c r="A74" s="65"/>
      <c r="B74" s="65"/>
      <c r="C74" s="65"/>
      <c r="D74" s="82"/>
      <c r="E74" s="83"/>
      <c r="F74" s="38"/>
      <c r="G74" s="84"/>
      <c r="H74" s="65"/>
      <c r="I74" s="65"/>
      <c r="J74" s="65"/>
      <c r="K74" s="65"/>
      <c r="L74" s="42"/>
      <c r="M74" s="65"/>
    </row>
    <row r="75" spans="1:13" s="4" customFormat="1" ht="12.75" x14ac:dyDescent="0.2">
      <c r="A75" s="65"/>
      <c r="B75" s="65"/>
      <c r="C75" s="65"/>
      <c r="D75" s="82"/>
      <c r="E75" s="83"/>
      <c r="F75" s="38"/>
      <c r="G75" s="84"/>
      <c r="H75" s="65"/>
      <c r="I75" s="65"/>
      <c r="J75" s="65"/>
      <c r="K75" s="65"/>
      <c r="L75" s="42"/>
      <c r="M75" s="65"/>
    </row>
    <row r="76" spans="1:13" s="4" customFormat="1" ht="12.75" x14ac:dyDescent="0.2">
      <c r="A76" s="65"/>
      <c r="B76" s="65"/>
      <c r="C76" s="65"/>
      <c r="D76" s="82"/>
      <c r="E76" s="83"/>
      <c r="F76" s="38"/>
      <c r="G76" s="84"/>
      <c r="H76" s="65"/>
      <c r="I76" s="65"/>
      <c r="J76" s="65"/>
      <c r="K76" s="65"/>
      <c r="L76" s="42"/>
      <c r="M76" s="65"/>
    </row>
    <row r="77" spans="1:13" s="4" customFormat="1" ht="12.75" x14ac:dyDescent="0.2">
      <c r="A77" s="65"/>
      <c r="B77" s="65"/>
      <c r="C77" s="65"/>
      <c r="D77" s="82"/>
      <c r="E77" s="83"/>
      <c r="F77" s="38"/>
      <c r="G77" s="84"/>
      <c r="H77" s="65"/>
      <c r="I77" s="65"/>
      <c r="J77" s="65"/>
      <c r="K77" s="65"/>
      <c r="L77" s="42"/>
      <c r="M77" s="65"/>
    </row>
    <row r="78" spans="1:13" s="4" customFormat="1" ht="12.75" x14ac:dyDescent="0.2">
      <c r="A78" s="65"/>
      <c r="B78" s="65"/>
      <c r="C78" s="65"/>
      <c r="D78" s="82"/>
      <c r="E78" s="83"/>
      <c r="F78" s="38"/>
      <c r="G78" s="84"/>
      <c r="H78" s="65"/>
      <c r="I78" s="65"/>
      <c r="J78" s="65"/>
      <c r="K78" s="65"/>
      <c r="L78" s="42"/>
      <c r="M78" s="65"/>
    </row>
    <row r="79" spans="1:13" s="4" customFormat="1" ht="12.75" x14ac:dyDescent="0.2"/>
    <row r="80" spans="1:13" s="4" customFormat="1" ht="12.75" x14ac:dyDescent="0.2"/>
    <row r="82" spans="1:13" s="4" customFormat="1" ht="12.75" x14ac:dyDescent="0.2">
      <c r="A82" s="85"/>
      <c r="B82" s="85"/>
      <c r="E82" s="85"/>
      <c r="F82" s="85"/>
      <c r="G82" s="85"/>
      <c r="H82" s="86"/>
      <c r="M82" s="85"/>
    </row>
    <row r="83" spans="1:13" s="4" customFormat="1" ht="12.75" x14ac:dyDescent="0.2">
      <c r="A83" s="85"/>
      <c r="B83" s="85"/>
      <c r="E83" s="85"/>
      <c r="F83" s="85"/>
      <c r="G83" s="85"/>
      <c r="H83" s="86"/>
      <c r="M83" s="85"/>
    </row>
    <row r="84" spans="1:13" s="4" customFormat="1" ht="12.75" x14ac:dyDescent="0.2">
      <c r="A84" s="87"/>
      <c r="B84" s="87"/>
    </row>
    <row r="85" spans="1:13" s="4" customFormat="1" ht="12.75" x14ac:dyDescent="0.2">
      <c r="A85" s="88"/>
      <c r="B85" s="88"/>
      <c r="E85" s="88"/>
      <c r="F85" s="87"/>
      <c r="G85" s="87"/>
      <c r="M85" s="89"/>
    </row>
    <row r="86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89"/>
  <sheetViews>
    <sheetView zoomScale="140" zoomScaleNormal="140" workbookViewId="0">
      <pane xSplit="2" topLeftCell="C1" activePane="topRight" state="frozen"/>
      <selection pane="topRight" activeCell="H13" sqref="H13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116</v>
      </c>
      <c r="C1" s="6">
        <v>44146</v>
      </c>
      <c r="D1" s="7"/>
      <c r="E1" s="8" t="s">
        <v>117</v>
      </c>
      <c r="F1" s="9"/>
      <c r="G1" s="10"/>
      <c r="K1" s="11" t="s">
        <v>118</v>
      </c>
      <c r="L1" s="11" t="s">
        <v>119</v>
      </c>
      <c r="M1" s="12" t="s">
        <v>120</v>
      </c>
    </row>
    <row r="2" spans="1:17" x14ac:dyDescent="0.25">
      <c r="A2" s="5"/>
      <c r="B2" s="5" t="s">
        <v>121</v>
      </c>
      <c r="C2" s="13">
        <v>5.4</v>
      </c>
      <c r="D2" s="14"/>
      <c r="E2" s="15">
        <f>SUM(E29,E44,E52,E67,E31,E69)</f>
        <v>130122150.85771903</v>
      </c>
      <c r="F2" s="16"/>
      <c r="G2" s="17"/>
      <c r="H2" s="14"/>
      <c r="I2" s="14"/>
      <c r="J2" s="14"/>
      <c r="K2" s="15">
        <f>SUM(K29,K44,K52,K67,K31,K69:K69)</f>
        <v>165288545.55888224</v>
      </c>
      <c r="L2" s="18">
        <f>SUM(L52,L67,L44,L29,L31,L69)</f>
        <v>1.0000000000000002</v>
      </c>
      <c r="M2" s="19">
        <f>K2/$C$6</f>
        <v>6.8593798025654937</v>
      </c>
      <c r="N2" s="20"/>
    </row>
    <row r="3" spans="1:17" ht="26.25" x14ac:dyDescent="0.25">
      <c r="A3" s="5"/>
      <c r="B3" s="5" t="s">
        <v>122</v>
      </c>
      <c r="C3" s="21">
        <v>24096718.699999999</v>
      </c>
      <c r="D3" s="22"/>
      <c r="E3" s="8" t="s">
        <v>123</v>
      </c>
      <c r="F3" s="16"/>
      <c r="H3" s="14"/>
      <c r="I3" s="14"/>
      <c r="J3" s="14"/>
      <c r="K3" s="8" t="s">
        <v>123</v>
      </c>
      <c r="L3" s="14"/>
      <c r="M3" s="12" t="s">
        <v>124</v>
      </c>
      <c r="N3" s="23"/>
    </row>
    <row r="4" spans="1:17" x14ac:dyDescent="0.25">
      <c r="A4" s="5"/>
      <c r="B4" s="5" t="s">
        <v>125</v>
      </c>
      <c r="C4" s="21">
        <v>0</v>
      </c>
      <c r="D4" s="22"/>
      <c r="E4" s="15">
        <f>SUM(E29,E67,E31)</f>
        <v>26024326.073719017</v>
      </c>
      <c r="F4" s="16"/>
      <c r="G4" s="17"/>
      <c r="H4" s="14"/>
      <c r="I4" s="14"/>
      <c r="J4" s="14"/>
      <c r="K4" s="15">
        <f>SUM(K29,K31,K67)</f>
        <v>26115616.345150098</v>
      </c>
      <c r="L4" s="14"/>
      <c r="M4" s="19">
        <f>K4/$C$6</f>
        <v>1.0837830938844839</v>
      </c>
      <c r="N4" s="23"/>
    </row>
    <row r="5" spans="1:17" x14ac:dyDescent="0.25">
      <c r="A5" s="5"/>
      <c r="B5" s="5" t="s">
        <v>126</v>
      </c>
      <c r="C5" s="21">
        <v>0</v>
      </c>
      <c r="D5" s="22"/>
      <c r="E5" s="16"/>
      <c r="F5" s="16"/>
      <c r="G5" s="24">
        <f>SUM(D29,D31,D44,D52,D67,D69:D69)</f>
        <v>0.99999899999999997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127</v>
      </c>
      <c r="C6" s="21">
        <f>C3+C4-C5</f>
        <v>24096718.699999999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128</v>
      </c>
      <c r="B8" s="30" t="s">
        <v>129</v>
      </c>
      <c r="C8" s="31" t="s">
        <v>1</v>
      </c>
      <c r="D8" s="31" t="s">
        <v>130</v>
      </c>
      <c r="E8" s="31" t="s">
        <v>131</v>
      </c>
      <c r="F8" s="31" t="s">
        <v>132</v>
      </c>
      <c r="G8" s="31" t="s">
        <v>133</v>
      </c>
      <c r="H8" s="31" t="s">
        <v>134</v>
      </c>
      <c r="I8" s="31" t="s">
        <v>135</v>
      </c>
      <c r="J8" s="31" t="s">
        <v>136</v>
      </c>
      <c r="K8" s="32" t="s">
        <v>137</v>
      </c>
      <c r="L8" s="32" t="s">
        <v>138</v>
      </c>
      <c r="M8" s="32" t="s">
        <v>139</v>
      </c>
      <c r="N8" s="33"/>
      <c r="Q8" s="35"/>
    </row>
    <row r="9" spans="1:17" s="46" customFormat="1" ht="12.75" customHeight="1" x14ac:dyDescent="0.25">
      <c r="A9" s="36" t="s">
        <v>140</v>
      </c>
      <c r="B9" s="36" t="s">
        <v>49</v>
      </c>
      <c r="C9" s="36" t="s">
        <v>50</v>
      </c>
      <c r="D9" s="37">
        <v>1.2142999999999999E-2</v>
      </c>
      <c r="E9" s="38">
        <f>'Nov 11'!$D9*$C$6*$C$2</f>
        <v>1580074.8579401397</v>
      </c>
      <c r="F9" s="38">
        <v>410.64002716776099</v>
      </c>
      <c r="G9" s="39">
        <f>'Nov 11'!$E9/'Nov 11'!$F9</f>
        <v>3847.8344861754626</v>
      </c>
      <c r="H9" s="36">
        <v>4417</v>
      </c>
      <c r="I9" s="36">
        <f>ROUND(Table138958456799101112131445626789101112131415161718192021345678910111213141516171819202122233456789[[#This Row],[Target Quantity]],0)</f>
        <v>3848</v>
      </c>
      <c r="J9" s="40">
        <f t="shared" ref="J9:J27" si="0">I9-H9</f>
        <v>-569</v>
      </c>
      <c r="K9" s="41">
        <f>'Nov 11'!$F9*'Nov 11'!$I9</f>
        <v>1580142.8245415443</v>
      </c>
      <c r="L9" s="42">
        <f>'Nov 11'!$K9/$K$2</f>
        <v>9.5599051900340896E-3</v>
      </c>
      <c r="M9" s="43"/>
    </row>
    <row r="10" spans="1:17" s="46" customFormat="1" ht="12.75" customHeight="1" x14ac:dyDescent="0.25">
      <c r="A10" s="36" t="s">
        <v>140</v>
      </c>
      <c r="B10" s="36" t="s">
        <v>37</v>
      </c>
      <c r="C10" s="36" t="s">
        <v>38</v>
      </c>
      <c r="D10" s="37">
        <v>1.2142999999999999E-2</v>
      </c>
      <c r="E10" s="38">
        <f>'Nov 11'!$D10*$C$6*$C$2</f>
        <v>1580074.8579401397</v>
      </c>
      <c r="F10" s="38">
        <v>77.200009151642703</v>
      </c>
      <c r="G10" s="39">
        <f>'Nov 11'!$E10/'Nov 11'!$F10</f>
        <v>20467.288479673942</v>
      </c>
      <c r="H10" s="36">
        <v>21854</v>
      </c>
      <c r="I10" s="36">
        <f>ROUND(Table138958456799101112131445626789101112131415161718192021345678910111213141516171819202122233456789[[#This Row],[Target Quantity]],0)</f>
        <v>20467</v>
      </c>
      <c r="J10" s="40">
        <f t="shared" si="0"/>
        <v>-1387</v>
      </c>
      <c r="K10" s="41">
        <f>'Nov 11'!$F10*'Nov 11'!$I10</f>
        <v>1580052.5873066713</v>
      </c>
      <c r="L10" s="42">
        <f>'Nov 11'!$K10/$K$2</f>
        <v>9.5593592524159197E-3</v>
      </c>
      <c r="M10" s="43"/>
    </row>
    <row r="11" spans="1:17" s="47" customFormat="1" ht="12.75" customHeight="1" x14ac:dyDescent="0.25">
      <c r="A11" s="36" t="s">
        <v>140</v>
      </c>
      <c r="B11" s="36" t="s">
        <v>27</v>
      </c>
      <c r="C11" s="36" t="s">
        <v>28</v>
      </c>
      <c r="D11" s="37">
        <v>1.2142999999999999E-2</v>
      </c>
      <c r="E11" s="38">
        <f>'Nov 11'!$D11*$C$6*$C$2</f>
        <v>1580074.8579401397</v>
      </c>
      <c r="F11" s="38">
        <v>201</v>
      </c>
      <c r="G11" s="39">
        <f>'Nov 11'!$E11/'Nov 11'!$F11</f>
        <v>7861.0689449758192</v>
      </c>
      <c r="H11" s="36">
        <v>9410</v>
      </c>
      <c r="I11" s="36">
        <f>ROUND(Table138958456799101112131445626789101112131415161718192021345678910111213141516171819202122233456789[[#This Row],[Target Quantity]],0)</f>
        <v>7861</v>
      </c>
      <c r="J11" s="40">
        <f t="shared" si="0"/>
        <v>-1549</v>
      </c>
      <c r="K11" s="41">
        <f>'Nov 11'!$F11*'Nov 11'!$I11</f>
        <v>1580061</v>
      </c>
      <c r="L11" s="42">
        <f>'Nov 11'!$K11/$K$2</f>
        <v>9.5594101494293846E-3</v>
      </c>
      <c r="M11" s="36"/>
    </row>
    <row r="12" spans="1:17" s="47" customFormat="1" ht="12.75" customHeight="1" x14ac:dyDescent="0.25">
      <c r="A12" s="36" t="s">
        <v>140</v>
      </c>
      <c r="B12" s="36" t="s">
        <v>51</v>
      </c>
      <c r="C12" s="36" t="s">
        <v>52</v>
      </c>
      <c r="D12" s="37">
        <v>1.2142999999999999E-2</v>
      </c>
      <c r="E12" s="38">
        <f>'Nov 11'!$D12*$C$6*$C$2</f>
        <v>1580074.8579401397</v>
      </c>
      <c r="F12" s="38">
        <v>382</v>
      </c>
      <c r="G12" s="39">
        <f>'Nov 11'!$E12/'Nov 11'!$F12</f>
        <v>4136.3216176443448</v>
      </c>
      <c r="H12" s="36">
        <v>4492</v>
      </c>
      <c r="I12" s="36">
        <f>ROUND(Table138958456799101112131445626789101112131415161718192021345678910111213141516171819202122233456789[[#This Row],[Target Quantity]],0)</f>
        <v>4136</v>
      </c>
      <c r="J12" s="40">
        <f t="shared" si="0"/>
        <v>-356</v>
      </c>
      <c r="K12" s="41">
        <f>'Nov 11'!$F12*'Nov 11'!$I12</f>
        <v>1579952</v>
      </c>
      <c r="L12" s="42">
        <f>'Nov 11'!$K12/$K$2</f>
        <v>9.5587506965941534E-3</v>
      </c>
      <c r="M12" s="36"/>
    </row>
    <row r="13" spans="1:17" s="47" customFormat="1" ht="12.75" customHeight="1" x14ac:dyDescent="0.25">
      <c r="A13" s="36" t="s">
        <v>140</v>
      </c>
      <c r="B13" s="36" t="s">
        <v>41</v>
      </c>
      <c r="C13" s="36" t="s">
        <v>42</v>
      </c>
      <c r="D13" s="37">
        <v>1.2142999999999999E-2</v>
      </c>
      <c r="E13" s="38">
        <f>'Nov 11'!$D13*$C$6*$C$2</f>
        <v>1580074.8579401397</v>
      </c>
      <c r="F13" s="38">
        <v>1230</v>
      </c>
      <c r="G13" s="39">
        <f>'Nov 11'!$E13/'Nov 11'!$F13</f>
        <v>1284.61370564239</v>
      </c>
      <c r="H13" s="36">
        <v>1401</v>
      </c>
      <c r="I13" s="36">
        <f>ROUND(Table138958456799101112131445626789101112131415161718192021345678910111213141516171819202122233456789[[#This Row],[Target Quantity]],0)</f>
        <v>1285</v>
      </c>
      <c r="J13" s="40">
        <f t="shared" si="0"/>
        <v>-116</v>
      </c>
      <c r="K13" s="41">
        <f>'Nov 11'!$F13*'Nov 11'!$I13</f>
        <v>1580550</v>
      </c>
      <c r="L13" s="42">
        <f>'Nov 11'!$K13/$K$2</f>
        <v>9.5623686121489061E-3</v>
      </c>
      <c r="M13" s="36"/>
    </row>
    <row r="14" spans="1:17" s="47" customFormat="1" ht="12.75" customHeight="1" x14ac:dyDescent="0.25">
      <c r="A14" s="36" t="s">
        <v>140</v>
      </c>
      <c r="B14" s="36" t="s">
        <v>31</v>
      </c>
      <c r="C14" s="36" t="s">
        <v>32</v>
      </c>
      <c r="D14" s="37">
        <v>1.2142999999999999E-2</v>
      </c>
      <c r="E14" s="38">
        <f>'Nov 11'!$D14*$C$6*$C$2</f>
        <v>1580074.8579401397</v>
      </c>
      <c r="F14" s="38">
        <v>267.26996036240098</v>
      </c>
      <c r="G14" s="39">
        <f>'Nov 11'!$E14/'Nov 11'!$F14</f>
        <v>5911.9059089082039</v>
      </c>
      <c r="H14" s="36">
        <v>7064</v>
      </c>
      <c r="I14" s="36">
        <f>ROUND(Table138958456799101112131445626789101112131415161718192021345678910111213141516171819202122233456789[[#This Row],[Target Quantity]],0)</f>
        <v>5912</v>
      </c>
      <c r="J14" s="40">
        <f t="shared" si="0"/>
        <v>-1152</v>
      </c>
      <c r="K14" s="41">
        <f>'Nov 11'!$F14*'Nov 11'!$I14</f>
        <v>1580100.0056625146</v>
      </c>
      <c r="L14" s="42">
        <f>'Nov 11'!$K14/$K$2</f>
        <v>9.5596461347021849E-3</v>
      </c>
      <c r="M14" s="36"/>
    </row>
    <row r="15" spans="1:17" s="47" customFormat="1" ht="12.75" customHeight="1" x14ac:dyDescent="0.25">
      <c r="A15" s="36" t="s">
        <v>140</v>
      </c>
      <c r="B15" s="36" t="s">
        <v>29</v>
      </c>
      <c r="C15" s="36" t="s">
        <v>30</v>
      </c>
      <c r="D15" s="37">
        <v>6.071E-3</v>
      </c>
      <c r="E15" s="38">
        <f>'Nov 11'!$D15*$C$6*$C$2</f>
        <v>789972.36782957998</v>
      </c>
      <c r="F15" s="38">
        <v>19.820009767076499</v>
      </c>
      <c r="G15" s="39">
        <f>'Nov 11'!$E15/'Nov 11'!$F15</f>
        <v>39857.314759845496</v>
      </c>
      <c r="H15" s="36">
        <v>47097</v>
      </c>
      <c r="I15" s="36">
        <f>ROUND(Table138958456799101112131445626789101112131415161718192021345678910111213141516171819202122233456789[[#This Row],[Target Quantity]],0)</f>
        <v>39857</v>
      </c>
      <c r="J15" s="40">
        <f t="shared" si="0"/>
        <v>-7240</v>
      </c>
      <c r="K15" s="41">
        <f>'Nov 11'!$F15*'Nov 11'!$I15</f>
        <v>789966.12928636803</v>
      </c>
      <c r="L15" s="42">
        <f>'Nov 11'!$K15/$K$2</f>
        <v>4.7793156302228532E-3</v>
      </c>
      <c r="M15" s="36"/>
    </row>
    <row r="16" spans="1:17" s="47" customFormat="1" ht="12.75" customHeight="1" x14ac:dyDescent="0.25">
      <c r="A16" s="36" t="s">
        <v>140</v>
      </c>
      <c r="B16" s="36" t="s">
        <v>39</v>
      </c>
      <c r="C16" s="36" t="s">
        <v>40</v>
      </c>
      <c r="D16" s="37">
        <v>6.071E-3</v>
      </c>
      <c r="E16" s="38">
        <f>'Nov 11'!$D16*$C$6*$C$2</f>
        <v>789972.36782957998</v>
      </c>
      <c r="F16" s="38">
        <v>34.049998255469099</v>
      </c>
      <c r="G16" s="39">
        <f>'Nov 11'!$E16/'Nov 11'!$F16</f>
        <v>23200.364414194792</v>
      </c>
      <c r="H16" s="36">
        <v>28661</v>
      </c>
      <c r="I16" s="36">
        <f>ROUND(Table138958456799101112131445626789101112131415161718192021345678910111213141516171819202122233456789[[#This Row],[Target Quantity]],0)</f>
        <v>23200</v>
      </c>
      <c r="J16" s="40">
        <f t="shared" si="0"/>
        <v>-5461</v>
      </c>
      <c r="K16" s="41">
        <f>'Nov 11'!$F16*'Nov 11'!$I16</f>
        <v>789959.95952688309</v>
      </c>
      <c r="L16" s="42">
        <f>'Nov 11'!$K16/$K$2</f>
        <v>4.7792783030174858E-3</v>
      </c>
      <c r="M16" s="36"/>
    </row>
    <row r="17" spans="1:15" s="47" customFormat="1" ht="12.75" customHeight="1" x14ac:dyDescent="0.25">
      <c r="A17" s="36" t="s">
        <v>140</v>
      </c>
      <c r="B17" s="36" t="s">
        <v>19</v>
      </c>
      <c r="C17" s="36" t="s">
        <v>20</v>
      </c>
      <c r="D17" s="37">
        <v>1.2142999999999999E-2</v>
      </c>
      <c r="E17" s="38">
        <f>'Nov 11'!$D17*$C$6*$C$2</f>
        <v>1580074.8579401397</v>
      </c>
      <c r="F17" s="38">
        <v>464.32011258955998</v>
      </c>
      <c r="G17" s="39">
        <f>'Nov 11'!$E17/'Nov 11'!$F17</f>
        <v>3402.9860329071321</v>
      </c>
      <c r="H17" s="36">
        <v>3908</v>
      </c>
      <c r="I17" s="36">
        <f>ROUND(Table138958456799101112131445626789101112131415161718192021345678910111213141516171819202122233456789[[#This Row],[Target Quantity]],0)</f>
        <v>3403</v>
      </c>
      <c r="J17" s="40">
        <f t="shared" si="0"/>
        <v>-505</v>
      </c>
      <c r="K17" s="41">
        <f>'Nov 11'!$F17*'Nov 11'!$I17</f>
        <v>1580081.3431422727</v>
      </c>
      <c r="L17" s="42">
        <f>'Nov 11'!$K17/$K$2</f>
        <v>9.5595332259692852E-3</v>
      </c>
      <c r="M17" s="36"/>
    </row>
    <row r="18" spans="1:15" s="47" customFormat="1" ht="12.75" customHeight="1" x14ac:dyDescent="0.25">
      <c r="A18" s="36" t="s">
        <v>140</v>
      </c>
      <c r="B18" s="36" t="s">
        <v>33</v>
      </c>
      <c r="C18" s="36" t="s">
        <v>34</v>
      </c>
      <c r="D18" s="37">
        <v>6.071E-3</v>
      </c>
      <c r="E18" s="38">
        <f>'Nov 11'!$D18*$C$6*$C$2</f>
        <v>789972.36782957998</v>
      </c>
      <c r="F18" s="38">
        <v>23.339988619213699</v>
      </c>
      <c r="G18" s="39">
        <f>'Nov 11'!$E18/'Nov 11'!$F18</f>
        <v>33846.304756946935</v>
      </c>
      <c r="H18" s="36">
        <v>40419</v>
      </c>
      <c r="I18" s="36">
        <f>ROUND(Table138958456799101112131445626789101112131415161718192021345678910111213141516171819202122233456789[[#This Row],[Target Quantity]],0)</f>
        <v>33846</v>
      </c>
      <c r="J18" s="40">
        <f t="shared" si="0"/>
        <v>-6573</v>
      </c>
      <c r="K18" s="41">
        <f>'Nov 11'!$F18*'Nov 11'!$I18</f>
        <v>789965.25480590691</v>
      </c>
      <c r="L18" s="42">
        <f>'Nov 11'!$K18/$K$2</f>
        <v>4.7793103395933172E-3</v>
      </c>
      <c r="M18" s="36"/>
    </row>
    <row r="19" spans="1:15" s="47" customFormat="1" ht="12.75" customHeight="1" x14ac:dyDescent="0.25">
      <c r="A19" s="36" t="s">
        <v>140</v>
      </c>
      <c r="B19" s="36" t="s">
        <v>21</v>
      </c>
      <c r="C19" s="36" t="s">
        <v>22</v>
      </c>
      <c r="D19" s="37">
        <v>1.2142999999999999E-2</v>
      </c>
      <c r="E19" s="38">
        <f>'Nov 11'!$D19*$C$6*$C$2</f>
        <v>1580074.8579401397</v>
      </c>
      <c r="F19" s="38">
        <v>37.810007493131302</v>
      </c>
      <c r="G19" s="39">
        <f>'Nov 11'!$E19/'Nov 11'!$F19</f>
        <v>41789.858365597567</v>
      </c>
      <c r="H19" s="36">
        <v>48044</v>
      </c>
      <c r="I19" s="36">
        <f>ROUND(Table138958456799101112131445626789101112131415161718192021345678910111213141516171819202122233456789[[#This Row],[Target Quantity]],0)</f>
        <v>41790</v>
      </c>
      <c r="J19" s="40">
        <f t="shared" si="0"/>
        <v>-6254</v>
      </c>
      <c r="K19" s="41">
        <f>'Nov 11'!$F19*'Nov 11'!$I19</f>
        <v>1580080.213137957</v>
      </c>
      <c r="L19" s="42">
        <f>'Nov 11'!$K19/$K$2</f>
        <v>9.559526389413783E-3</v>
      </c>
      <c r="M19" s="36"/>
    </row>
    <row r="20" spans="1:15" s="47" customFormat="1" ht="12.75" customHeight="1" x14ac:dyDescent="0.25">
      <c r="A20" s="36" t="s">
        <v>140</v>
      </c>
      <c r="B20" s="36" t="s">
        <v>147</v>
      </c>
      <c r="C20" s="36" t="s">
        <v>148</v>
      </c>
      <c r="D20" s="37">
        <v>0</v>
      </c>
      <c r="E20" s="38">
        <f>'Nov 11'!$D20*$C$6*$C$2</f>
        <v>0</v>
      </c>
      <c r="F20" s="38">
        <v>183.05001938735899</v>
      </c>
      <c r="G20" s="39">
        <f>'Nov 11'!$E20/'Nov 11'!$F20</f>
        <v>0</v>
      </c>
      <c r="H20" s="36">
        <v>5158</v>
      </c>
      <c r="I20" s="36">
        <f>ROUND(Table138958456799101112131445626789101112131415161718192021345678910111213141516171819202122233456789[[#This Row],[Target Quantity]],0)</f>
        <v>0</v>
      </c>
      <c r="J20" s="40">
        <f t="shared" si="0"/>
        <v>-5158</v>
      </c>
      <c r="K20" s="41">
        <f>'Nov 11'!$F20*'Nov 11'!$I20</f>
        <v>0</v>
      </c>
      <c r="L20" s="42">
        <f>'Nov 11'!$K20/$K$2</f>
        <v>0</v>
      </c>
      <c r="M20" s="36"/>
    </row>
    <row r="21" spans="1:15" s="47" customFormat="1" ht="12.75" customHeight="1" x14ac:dyDescent="0.25">
      <c r="A21" s="36" t="s">
        <v>140</v>
      </c>
      <c r="B21" s="36" t="s">
        <v>45</v>
      </c>
      <c r="C21" s="36" t="s">
        <v>46</v>
      </c>
      <c r="D21" s="37">
        <v>6.071E-3</v>
      </c>
      <c r="E21" s="38">
        <f>'Nov 11'!$D21*$C$6*$C$2</f>
        <v>789972.36782957998</v>
      </c>
      <c r="F21" s="38">
        <v>66.579971890372406</v>
      </c>
      <c r="G21" s="39">
        <f>'Nov 11'!$E21/'Nov 11'!$F21</f>
        <v>11865.015039812768</v>
      </c>
      <c r="H21" s="36">
        <v>14230</v>
      </c>
      <c r="I21" s="36">
        <f>ROUND(Table138958456799101112131445626789101112131415161718192021345678910111213141516171819202122233456789[[#This Row],[Target Quantity]],0)</f>
        <v>11865</v>
      </c>
      <c r="J21" s="40">
        <f t="shared" si="0"/>
        <v>-2365</v>
      </c>
      <c r="K21" s="41">
        <f>'Nov 11'!$F21*'Nov 11'!$I21</f>
        <v>789971.36647926865</v>
      </c>
      <c r="L21" s="42">
        <f>'Nov 11'!$K21/$K$2</f>
        <v>4.7793473153761278E-3</v>
      </c>
      <c r="M21" s="36"/>
    </row>
    <row r="22" spans="1:15" s="47" customFormat="1" ht="12.75" customHeight="1" x14ac:dyDescent="0.25">
      <c r="A22" s="36" t="s">
        <v>140</v>
      </c>
      <c r="B22" s="36" t="s">
        <v>23</v>
      </c>
      <c r="C22" s="36" t="s">
        <v>24</v>
      </c>
      <c r="D22" s="37">
        <v>1.2142999999999999E-2</v>
      </c>
      <c r="E22" s="38">
        <f>'Nov 11'!$D22*$C$6*$C$2</f>
        <v>1580074.8579401397</v>
      </c>
      <c r="F22" s="38">
        <v>253.96995593537201</v>
      </c>
      <c r="G22" s="39">
        <f>'Nov 11'!$E22/'Nov 11'!$F22</f>
        <v>6221.5030597643718</v>
      </c>
      <c r="H22" s="36">
        <v>7489</v>
      </c>
      <c r="I22" s="36">
        <f>ROUND(Table138958456799101112131445626789101112131415161718192021345678910111213141516171819202122233456789[[#This Row],[Target Quantity]],0)</f>
        <v>6222</v>
      </c>
      <c r="J22" s="40">
        <f t="shared" si="0"/>
        <v>-1267</v>
      </c>
      <c r="K22" s="41">
        <f>'Nov 11'!$F22*'Nov 11'!$I22</f>
        <v>1580201.0658298847</v>
      </c>
      <c r="L22" s="42">
        <f>'Nov 11'!$K22/$K$2</f>
        <v>9.5602575513434804E-3</v>
      </c>
      <c r="M22" s="36"/>
    </row>
    <row r="23" spans="1:15" s="47" customFormat="1" ht="12.75" customHeight="1" x14ac:dyDescent="0.25">
      <c r="A23" s="36" t="s">
        <v>140</v>
      </c>
      <c r="B23" s="36" t="s">
        <v>172</v>
      </c>
      <c r="C23" s="36" t="s">
        <v>173</v>
      </c>
      <c r="D23" s="37">
        <v>0</v>
      </c>
      <c r="E23" s="38">
        <f>'Nov 11'!$D23*$C$6*$C$2</f>
        <v>0</v>
      </c>
      <c r="F23" s="38">
        <v>30.070001558360602</v>
      </c>
      <c r="G23" s="39">
        <f>'Nov 11'!$E23/'Nov 11'!$F23</f>
        <v>0</v>
      </c>
      <c r="H23" s="36">
        <v>32085</v>
      </c>
      <c r="I23" s="36">
        <f>ROUND(Table138958456799101112131445626789101112131415161718192021345678910111213141516171819202122233456789[[#This Row],[Target Quantity]],0)</f>
        <v>0</v>
      </c>
      <c r="J23" s="40">
        <f t="shared" si="0"/>
        <v>-32085</v>
      </c>
      <c r="K23" s="41">
        <f>'Nov 11'!$F23*'Nov 11'!$I23</f>
        <v>0</v>
      </c>
      <c r="L23" s="42">
        <f>'Nov 11'!$K23/$K$2</f>
        <v>0</v>
      </c>
      <c r="M23" s="36"/>
    </row>
    <row r="24" spans="1:15" s="47" customFormat="1" ht="12.75" customHeight="1" x14ac:dyDescent="0.25">
      <c r="A24" s="36" t="s">
        <v>140</v>
      </c>
      <c r="B24" s="36" t="s">
        <v>47</v>
      </c>
      <c r="C24" s="36" t="s">
        <v>48</v>
      </c>
      <c r="D24" s="37">
        <v>6.071E-3</v>
      </c>
      <c r="E24" s="38">
        <f>'Nov 11'!$D24*$C$6*$C$2</f>
        <v>789972.36782957998</v>
      </c>
      <c r="F24" s="38">
        <v>336.55</v>
      </c>
      <c r="G24" s="39">
        <f>'Nov 11'!$E24/'Nov 11'!$F24</f>
        <v>2347.2659867169214</v>
      </c>
      <c r="H24" s="36">
        <v>0</v>
      </c>
      <c r="I24" s="36">
        <f>ROUND(Table138958456799101112131445626789101112131415161718192021345678910111213141516171819202122233456789[[#This Row],[Target Quantity]],0)</f>
        <v>2347</v>
      </c>
      <c r="J24" s="40">
        <f t="shared" si="0"/>
        <v>2347</v>
      </c>
      <c r="K24" s="41">
        <f>'Nov 11'!$F24*'Nov 11'!$I24</f>
        <v>789882.85</v>
      </c>
      <c r="L24" s="42">
        <f>'Nov 11'!$K24/$K$2</f>
        <v>4.7788117883741247E-3</v>
      </c>
      <c r="M24" s="36"/>
    </row>
    <row r="25" spans="1:15" s="47" customFormat="1" ht="12.75" customHeight="1" x14ac:dyDescent="0.25">
      <c r="A25" s="36" t="s">
        <v>140</v>
      </c>
      <c r="B25" s="36" t="s">
        <v>15</v>
      </c>
      <c r="C25" s="36" t="s">
        <v>16</v>
      </c>
      <c r="D25" s="37">
        <v>6.071E-3</v>
      </c>
      <c r="E25" s="38">
        <f>'Nov 11'!$D25*$C$6*$C$2</f>
        <v>789972.36782957998</v>
      </c>
      <c r="F25" s="38">
        <v>117.93</v>
      </c>
      <c r="G25" s="39">
        <f>'Nov 11'!$E25/'Nov 11'!$F25</f>
        <v>6698.6548616092596</v>
      </c>
      <c r="H25" s="36">
        <v>0</v>
      </c>
      <c r="I25" s="36">
        <f>ROUND(Table138958456799101112131445626789101112131415161718192021345678910111213141516171819202122233456789[[#This Row],[Target Quantity]],0)</f>
        <v>6699</v>
      </c>
      <c r="J25" s="40">
        <f t="shared" si="0"/>
        <v>6699</v>
      </c>
      <c r="K25" s="41">
        <f>'Nov 11'!$F25*'Nov 11'!$I25</f>
        <v>790013.07000000007</v>
      </c>
      <c r="L25" s="42">
        <f>'Nov 11'!$K25/$K$2</f>
        <v>4.7795996227613154E-3</v>
      </c>
      <c r="M25" s="36"/>
    </row>
    <row r="26" spans="1:15" s="47" customFormat="1" ht="12.75" customHeight="1" x14ac:dyDescent="0.25">
      <c r="A26" s="36" t="s">
        <v>140</v>
      </c>
      <c r="B26" s="36" t="s">
        <v>43</v>
      </c>
      <c r="C26" s="36" t="s">
        <v>44</v>
      </c>
      <c r="D26" s="37">
        <v>1.2142999999999999E-2</v>
      </c>
      <c r="E26" s="38">
        <f>'Nov 11'!$D26*$C$6*$C$2</f>
        <v>1580074.8579401397</v>
      </c>
      <c r="F26" s="38">
        <v>261.16000000000003</v>
      </c>
      <c r="G26" s="39">
        <f>'Nov 11'!$E26/'Nov 11'!$F26</f>
        <v>6050.2177130500058</v>
      </c>
      <c r="H26" s="36">
        <v>0</v>
      </c>
      <c r="I26" s="36">
        <f>ROUND(Table138958456799101112131445626789101112131415161718192021345678910111213141516171819202122233456789[[#This Row],[Target Quantity]],0)</f>
        <v>6050</v>
      </c>
      <c r="J26" s="40">
        <f t="shared" si="0"/>
        <v>6050</v>
      </c>
      <c r="K26" s="41">
        <f>'Nov 11'!$F26*'Nov 11'!$I26</f>
        <v>1580018.0000000002</v>
      </c>
      <c r="L26" s="42">
        <f>'Nov 11'!$K26/$K$2</f>
        <v>9.5591499983109004E-3</v>
      </c>
      <c r="M26" s="36"/>
    </row>
    <row r="27" spans="1:15" s="47" customFormat="1" ht="12.75" customHeight="1" x14ac:dyDescent="0.25">
      <c r="A27" s="36" t="s">
        <v>140</v>
      </c>
      <c r="B27" s="47" t="s">
        <v>11</v>
      </c>
      <c r="C27" s="36" t="s">
        <v>12</v>
      </c>
      <c r="D27" s="37">
        <v>1.2142999999999999E-2</v>
      </c>
      <c r="E27" s="38">
        <f>'Nov 11'!$D27*$C$6*$C$2</f>
        <v>1580074.8579401397</v>
      </c>
      <c r="F27" s="38">
        <v>2.40933107756377</v>
      </c>
      <c r="G27" s="39">
        <f>'Nov 11'!$E27/'Nov 11'!$F27</f>
        <v>655814.74985075742</v>
      </c>
      <c r="H27" s="36">
        <v>768400</v>
      </c>
      <c r="I27" s="36">
        <f>ROUND(Table138958456799101112131445626789101112131415161718192021345678910111213141516171819202122233456789[[#This Row],[Target Quantity]],-2)</f>
        <v>655800</v>
      </c>
      <c r="J27" s="40">
        <f t="shared" si="0"/>
        <v>-112600</v>
      </c>
      <c r="K27" s="41">
        <f>'Nov 11'!$F27*'Nov 11'!$I27</f>
        <v>1580039.3206663204</v>
      </c>
      <c r="L27" s="42">
        <f>'Nov 11'!$K27/$K$2</f>
        <v>9.5592789888967154E-3</v>
      </c>
      <c r="M27" s="36"/>
    </row>
    <row r="28" spans="1:15" s="47" customFormat="1" ht="12.75" customHeight="1" x14ac:dyDescent="0.25">
      <c r="A28" s="36"/>
      <c r="B28" s="36"/>
      <c r="C28" s="36"/>
      <c r="D28" s="37"/>
      <c r="E28" s="38"/>
      <c r="F28" s="38"/>
      <c r="G28" s="39"/>
      <c r="H28" s="36"/>
      <c r="I28" s="36"/>
      <c r="J28" s="48"/>
      <c r="K28" s="38"/>
      <c r="L28" s="49"/>
      <c r="M28" s="36"/>
    </row>
    <row r="29" spans="1:15" s="56" customFormat="1" ht="12.75" customHeight="1" x14ac:dyDescent="0.25">
      <c r="A29" s="50" t="s">
        <v>149</v>
      </c>
      <c r="B29" s="50"/>
      <c r="C29" s="50"/>
      <c r="D29" s="51">
        <f>SUM(D9:D28)</f>
        <v>0.16999899999999996</v>
      </c>
      <c r="E29" s="52">
        <f>'Nov 11'!$D29*$C$6*$C$2</f>
        <v>22120657.644319016</v>
      </c>
      <c r="F29" s="53"/>
      <c r="G29" s="53"/>
      <c r="H29" s="50"/>
      <c r="I29" s="50"/>
      <c r="J29" s="54"/>
      <c r="K29" s="52">
        <f>SUM(K9:K28)</f>
        <v>22121036.990385592</v>
      </c>
      <c r="L29" s="55">
        <f>'Nov 11'!$K29/$K$2</f>
        <v>0.13383284918860403</v>
      </c>
      <c r="M29" s="50"/>
    </row>
    <row r="30" spans="1:15" s="47" customFormat="1" ht="12.75" customHeight="1" x14ac:dyDescent="0.25">
      <c r="A30" s="36"/>
      <c r="B30" s="36"/>
      <c r="C30" s="36"/>
      <c r="D30" s="37"/>
      <c r="E30" s="38"/>
      <c r="F30" s="38"/>
      <c r="G30" s="39"/>
      <c r="H30" s="36"/>
      <c r="I30" s="36"/>
      <c r="J30" s="48"/>
      <c r="K30" s="38"/>
      <c r="L30" s="42"/>
      <c r="M30" s="36"/>
    </row>
    <row r="31" spans="1:15" s="46" customFormat="1" ht="12.75" customHeight="1" x14ac:dyDescent="0.25">
      <c r="A31" s="57"/>
      <c r="B31" s="50" t="s">
        <v>35</v>
      </c>
      <c r="C31" s="57" t="s">
        <v>36</v>
      </c>
      <c r="D31" s="58">
        <v>0.02</v>
      </c>
      <c r="E31" s="59">
        <f>'Nov 11'!$D31*$C$6*$C$2</f>
        <v>2602445.6196000003</v>
      </c>
      <c r="F31" s="53">
        <v>17.890000796163701</v>
      </c>
      <c r="G31" s="60">
        <f>'Nov 11'!$E31/'Nov 11'!$F31</f>
        <v>145469.28472792823</v>
      </c>
      <c r="H31" s="57">
        <v>163283</v>
      </c>
      <c r="I31" s="57">
        <f>ROUND(Table138958456799101112131445626789101112131415161718192021345678910111213141516171819202122233456789[[#This Row],[Target Quantity]],0)</f>
        <v>145469</v>
      </c>
      <c r="J31" s="61">
        <f>I31-H31</f>
        <v>-17814</v>
      </c>
      <c r="K31" s="62">
        <f>'Nov 11'!$F31*'Nov 11'!$I31</f>
        <v>2602440.5258171372</v>
      </c>
      <c r="L31" s="55">
        <f>'Nov 11'!$K31/$K$2</f>
        <v>1.5744832874036309E-2</v>
      </c>
      <c r="M31" s="50"/>
      <c r="O31" s="44"/>
    </row>
    <row r="32" spans="1:15" s="46" customFormat="1" ht="12.75" customHeight="1" x14ac:dyDescent="0.25">
      <c r="A32" s="36"/>
      <c r="B32" s="36"/>
      <c r="C32" s="36"/>
      <c r="D32" s="37"/>
      <c r="E32" s="38"/>
      <c r="F32" s="38"/>
      <c r="G32" s="39"/>
      <c r="H32" s="36"/>
      <c r="I32" s="36"/>
      <c r="J32" s="48"/>
      <c r="K32" s="41"/>
      <c r="L32" s="42"/>
      <c r="M32" s="36"/>
      <c r="O32" s="44"/>
    </row>
    <row r="33" spans="1:13" s="4" customFormat="1" ht="25.5" x14ac:dyDescent="0.2">
      <c r="A33" s="36" t="s">
        <v>150</v>
      </c>
      <c r="B33" s="63" t="s">
        <v>98</v>
      </c>
      <c r="C33" s="64" t="s">
        <v>99</v>
      </c>
      <c r="D33" s="37">
        <v>0.03</v>
      </c>
      <c r="E33" s="38">
        <f>'Nov 11'!$D33*$C$6*$C$2</f>
        <v>3903668.4294000003</v>
      </c>
      <c r="F33" s="38">
        <v>155474.793103448</v>
      </c>
      <c r="G33" s="39">
        <f>'Nov 11'!$E33/'Nov 11'!$F33</f>
        <v>25.108047108334937</v>
      </c>
      <c r="H33" s="36">
        <v>29</v>
      </c>
      <c r="I33" s="36">
        <v>25</v>
      </c>
      <c r="J33" s="40">
        <f t="shared" ref="J33:J42" si="1">I33-H33</f>
        <v>-4</v>
      </c>
      <c r="K33" s="41">
        <f>'Nov 11'!$F33*'Nov 11'!$I33</f>
        <v>3886869.8275862001</v>
      </c>
      <c r="L33" s="42">
        <f>'Nov 11'!$K33/$K$2</f>
        <v>2.3515663559405847E-2</v>
      </c>
      <c r="M33" s="65"/>
    </row>
    <row r="34" spans="1:13" s="4" customFormat="1" ht="25.5" x14ac:dyDescent="0.2">
      <c r="A34" s="36" t="s">
        <v>150</v>
      </c>
      <c r="B34" s="63" t="s">
        <v>102</v>
      </c>
      <c r="C34" s="64" t="s">
        <v>103</v>
      </c>
      <c r="D34" s="37">
        <v>0.03</v>
      </c>
      <c r="E34" s="38">
        <f>'Nov 11'!$D34*$C$6*$C$2</f>
        <v>3903668.4294000003</v>
      </c>
      <c r="F34" s="38">
        <v>210000</v>
      </c>
      <c r="G34" s="39">
        <f>'Nov 11'!$E34/'Nov 11'!$F34</f>
        <v>18.588897282857143</v>
      </c>
      <c r="H34" s="36">
        <v>21</v>
      </c>
      <c r="I34" s="36">
        <v>19</v>
      </c>
      <c r="J34" s="40">
        <f t="shared" si="1"/>
        <v>-2</v>
      </c>
      <c r="K34" s="41">
        <f>'Nov 11'!$F34*'Nov 11'!$I34</f>
        <v>3990000</v>
      </c>
      <c r="L34" s="42">
        <f>'Nov 11'!$K34/$K$2</f>
        <v>2.4139603785058451E-2</v>
      </c>
      <c r="M34" s="65"/>
    </row>
    <row r="35" spans="1:13" s="4" customFormat="1" ht="25.5" x14ac:dyDescent="0.2">
      <c r="A35" s="36" t="s">
        <v>150</v>
      </c>
      <c r="B35" s="63" t="s">
        <v>104</v>
      </c>
      <c r="C35" s="64" t="s">
        <v>105</v>
      </c>
      <c r="D35" s="37">
        <v>0.03</v>
      </c>
      <c r="E35" s="38">
        <f>'Nov 11'!$D35*$C$6*$C$2</f>
        <v>3903668.4294000003</v>
      </c>
      <c r="F35" s="38">
        <v>169687.5</v>
      </c>
      <c r="G35" s="39">
        <f>'Nov 11'!$E35/'Nov 11'!$F35</f>
        <v>23.005044151160224</v>
      </c>
      <c r="H35" s="36">
        <v>26</v>
      </c>
      <c r="I35" s="36">
        <v>23</v>
      </c>
      <c r="J35" s="40">
        <f t="shared" si="1"/>
        <v>-3</v>
      </c>
      <c r="K35" s="41">
        <f>'Nov 11'!$F35*'Nov 11'!$I35</f>
        <v>3902812.5</v>
      </c>
      <c r="L35" s="42">
        <f>'Nov 11'!$K35/$K$2</f>
        <v>2.3612117142198855E-2</v>
      </c>
      <c r="M35" s="65"/>
    </row>
    <row r="36" spans="1:13" s="4" customFormat="1" ht="25.5" x14ac:dyDescent="0.2">
      <c r="A36" s="36" t="s">
        <v>150</v>
      </c>
      <c r="B36" s="63" t="s">
        <v>106</v>
      </c>
      <c r="C36" s="64" t="s">
        <v>107</v>
      </c>
      <c r="D36" s="37">
        <v>0.03</v>
      </c>
      <c r="E36" s="38">
        <f>'Nov 11'!$D36*$C$6*$C$2</f>
        <v>3903668.4294000003</v>
      </c>
      <c r="F36" s="38">
        <v>125165.194444444</v>
      </c>
      <c r="G36" s="39">
        <f>'Nov 11'!$E36/'Nov 11'!$F36</f>
        <v>31.188130587954209</v>
      </c>
      <c r="H36" s="36">
        <v>36</v>
      </c>
      <c r="I36" s="36">
        <v>31</v>
      </c>
      <c r="J36" s="40">
        <f t="shared" si="1"/>
        <v>-5</v>
      </c>
      <c r="K36" s="41">
        <f>'Nov 11'!$F36*'Nov 11'!$I36</f>
        <v>3880121.027777764</v>
      </c>
      <c r="L36" s="42">
        <f>'Nov 11'!$K36/$K$2</f>
        <v>2.3474833145019799E-2</v>
      </c>
      <c r="M36" s="65"/>
    </row>
    <row r="37" spans="1:13" s="4" customFormat="1" ht="25.5" x14ac:dyDescent="0.2">
      <c r="A37" s="36" t="s">
        <v>150</v>
      </c>
      <c r="B37" s="63" t="s">
        <v>108</v>
      </c>
      <c r="C37" s="64" t="s">
        <v>109</v>
      </c>
      <c r="D37" s="37">
        <v>0.03</v>
      </c>
      <c r="E37" s="38">
        <f>'Nov 11'!$D37*$C$6*$C$2</f>
        <v>3903668.4294000003</v>
      </c>
      <c r="F37" s="38">
        <v>137281.24242424199</v>
      </c>
      <c r="G37" s="39">
        <f>'Nov 11'!$E37/'Nov 11'!$F37</f>
        <v>28.435555801108233</v>
      </c>
      <c r="H37" s="36">
        <v>33</v>
      </c>
      <c r="I37" s="36">
        <v>28</v>
      </c>
      <c r="J37" s="40">
        <f t="shared" si="1"/>
        <v>-5</v>
      </c>
      <c r="K37" s="41">
        <f>'Nov 11'!$F37*'Nov 11'!$I37</f>
        <v>3843874.787878776</v>
      </c>
      <c r="L37" s="42">
        <f>'Nov 11'!$K37/$K$2</f>
        <v>2.3255542450819362E-2</v>
      </c>
      <c r="M37" s="65"/>
    </row>
    <row r="38" spans="1:13" s="4" customFormat="1" ht="25.5" x14ac:dyDescent="0.2">
      <c r="A38" s="36" t="s">
        <v>150</v>
      </c>
      <c r="B38" s="63" t="s">
        <v>114</v>
      </c>
      <c r="C38" s="64" t="s">
        <v>115</v>
      </c>
      <c r="D38" s="37">
        <v>0.03</v>
      </c>
      <c r="E38" s="38">
        <f>'Nov 11'!$D38*$C$6*$C$2</f>
        <v>3903668.4294000003</v>
      </c>
      <c r="F38" s="38">
        <v>220678</v>
      </c>
      <c r="G38" s="39">
        <f>'Nov 11'!$E38/'Nov 11'!$F38</f>
        <v>17.689431793835364</v>
      </c>
      <c r="H38" s="36">
        <v>20</v>
      </c>
      <c r="I38" s="36">
        <v>18</v>
      </c>
      <c r="J38" s="40">
        <f t="shared" si="1"/>
        <v>-2</v>
      </c>
      <c r="K38" s="41">
        <f>'Nov 11'!$F38*'Nov 11'!$I38</f>
        <v>3972204</v>
      </c>
      <c r="L38" s="42">
        <f>'Nov 11'!$K38/$K$2</f>
        <v>2.4031937522161484E-2</v>
      </c>
      <c r="M38" s="65"/>
    </row>
    <row r="39" spans="1:13" s="46" customFormat="1" ht="25.5" customHeight="1" x14ac:dyDescent="0.25">
      <c r="A39" s="36" t="s">
        <v>151</v>
      </c>
      <c r="B39" s="36" t="s">
        <v>152</v>
      </c>
      <c r="C39" s="36" t="s">
        <v>63</v>
      </c>
      <c r="D39" s="37">
        <v>0.03</v>
      </c>
      <c r="E39" s="38">
        <f>'Nov 11'!$D39*$C$6*$C$2</f>
        <v>3903668.4294000003</v>
      </c>
      <c r="F39" s="38">
        <v>114687.128205128</v>
      </c>
      <c r="G39" s="39">
        <f>'Nov 11'!$E39/'Nov 11'!$F39</f>
        <v>34.037546239870501</v>
      </c>
      <c r="H39" s="36">
        <v>39</v>
      </c>
      <c r="I39" s="36">
        <v>34</v>
      </c>
      <c r="J39" s="40">
        <f t="shared" si="1"/>
        <v>-5</v>
      </c>
      <c r="K39" s="41">
        <f>'Nov 11'!$F39*'Nov 11'!$I39</f>
        <v>3899362.358974352</v>
      </c>
      <c r="L39" s="42">
        <f>'Nov 11'!$K39/$K$2</f>
        <v>2.3591243699251058E-2</v>
      </c>
      <c r="M39" s="43"/>
    </row>
    <row r="40" spans="1:13" s="46" customFormat="1" ht="25.5" x14ac:dyDescent="0.25">
      <c r="A40" s="36" t="s">
        <v>151</v>
      </c>
      <c r="B40" s="36" t="s">
        <v>60</v>
      </c>
      <c r="C40" s="36" t="s">
        <v>61</v>
      </c>
      <c r="D40" s="37">
        <v>0.03</v>
      </c>
      <c r="E40" s="38">
        <f>'Nov 11'!$D40*$C$6*$C$2</f>
        <v>3903668.4294000003</v>
      </c>
      <c r="F40" s="38">
        <v>134171.21212121201</v>
      </c>
      <c r="G40" s="39">
        <f>'Nov 11'!$E40/'Nov 11'!$F40</f>
        <v>29.094679608867033</v>
      </c>
      <c r="H40" s="36">
        <v>33</v>
      </c>
      <c r="I40" s="36">
        <v>29</v>
      </c>
      <c r="J40" s="40">
        <f t="shared" si="1"/>
        <v>-4</v>
      </c>
      <c r="K40" s="41">
        <f>'Nov 11'!$F40*'Nov 11'!$I40</f>
        <v>3890965.1515151481</v>
      </c>
      <c r="L40" s="42">
        <f>'Nov 11'!$K40/$K$2</f>
        <v>2.354044037570065E-2</v>
      </c>
      <c r="M40" s="43"/>
    </row>
    <row r="41" spans="1:13" s="46" customFormat="1" ht="25.5" x14ac:dyDescent="0.25">
      <c r="A41" s="36" t="s">
        <v>151</v>
      </c>
      <c r="B41" s="36" t="s">
        <v>56</v>
      </c>
      <c r="C41" s="36" t="s">
        <v>57</v>
      </c>
      <c r="D41" s="37">
        <v>0.03</v>
      </c>
      <c r="E41" s="38">
        <f>'Nov 11'!$D41*$C$6*$C$2</f>
        <v>3903668.4294000003</v>
      </c>
      <c r="F41" s="38">
        <v>175873.48</v>
      </c>
      <c r="G41" s="39">
        <f>'Nov 11'!$E41/'Nov 11'!$F41</f>
        <v>22.195890076207057</v>
      </c>
      <c r="H41" s="36">
        <v>25</v>
      </c>
      <c r="I41" s="36">
        <v>22</v>
      </c>
      <c r="J41" s="40">
        <f t="shared" si="1"/>
        <v>-3</v>
      </c>
      <c r="K41" s="41">
        <f>'Nov 11'!$F41*'Nov 11'!$I41</f>
        <v>3869216.56</v>
      </c>
      <c r="L41" s="42">
        <f>'Nov 11'!$K41/$K$2</f>
        <v>2.3408860831325023E-2</v>
      </c>
      <c r="M41" s="43"/>
    </row>
    <row r="42" spans="1:13" s="46" customFormat="1" ht="25.5" x14ac:dyDescent="0.25">
      <c r="A42" s="36" t="s">
        <v>151</v>
      </c>
      <c r="B42" s="36" t="s">
        <v>66</v>
      </c>
      <c r="C42" s="36" t="s">
        <v>67</v>
      </c>
      <c r="D42" s="37">
        <v>0.03</v>
      </c>
      <c r="E42" s="38">
        <f>'Nov 11'!$D42*$C$6*$C$2</f>
        <v>3903668.4294000003</v>
      </c>
      <c r="F42" s="38">
        <v>259455</v>
      </c>
      <c r="G42" s="39">
        <f>'Nov 11'!$E42/'Nov 11'!$F42</f>
        <v>15.045647335376078</v>
      </c>
      <c r="H42" s="36">
        <v>17</v>
      </c>
      <c r="I42" s="36">
        <v>15</v>
      </c>
      <c r="J42" s="40">
        <f t="shared" si="1"/>
        <v>-2</v>
      </c>
      <c r="K42" s="41">
        <f>'Nov 11'!$F42*'Nov 11'!$I42</f>
        <v>3891825</v>
      </c>
      <c r="L42" s="42">
        <f>'Nov 11'!$K42/$K$2</f>
        <v>2.3545642481399776E-2</v>
      </c>
      <c r="M42" s="43"/>
    </row>
    <row r="43" spans="1:13" s="67" customFormat="1" ht="12.75" x14ac:dyDescent="0.2">
      <c r="A43" s="36"/>
      <c r="B43" s="64"/>
      <c r="C43" s="64"/>
      <c r="D43" s="37"/>
      <c r="E43" s="66"/>
      <c r="F43" s="38"/>
      <c r="G43" s="39"/>
      <c r="H43" s="36"/>
      <c r="I43" s="36"/>
      <c r="J43" s="48"/>
      <c r="K43" s="38"/>
      <c r="L43" s="49"/>
      <c r="M43" s="65"/>
    </row>
    <row r="44" spans="1:13" s="17" customFormat="1" ht="12.75" x14ac:dyDescent="0.2">
      <c r="A44" s="50" t="s">
        <v>153</v>
      </c>
      <c r="B44" s="68"/>
      <c r="C44" s="68"/>
      <c r="D44" s="58">
        <f>SUBTOTAL(9,D33:D43)</f>
        <v>0.30000000000000004</v>
      </c>
      <c r="E44" s="69">
        <f>'Nov 11'!$D44*$C$6*$C$2</f>
        <v>39036684.294000007</v>
      </c>
      <c r="F44" s="70"/>
      <c r="G44" s="71"/>
      <c r="H44" s="57"/>
      <c r="I44" s="57"/>
      <c r="J44" s="61"/>
      <c r="K44" s="69">
        <f>SUM(K33:K43)</f>
        <v>39027251.213732243</v>
      </c>
      <c r="L44" s="72">
        <f>'Nov 11'!$K44/$K$2</f>
        <v>0.23611588499234032</v>
      </c>
      <c r="M44" s="73"/>
    </row>
    <row r="45" spans="1:13" s="67" customFormat="1" ht="12.75" x14ac:dyDescent="0.2">
      <c r="A45" s="36"/>
      <c r="B45" s="64"/>
      <c r="C45" s="64"/>
      <c r="D45" s="37"/>
      <c r="E45" s="66"/>
      <c r="F45" s="38"/>
      <c r="G45" s="39"/>
      <c r="H45" s="36"/>
      <c r="I45" s="36"/>
      <c r="J45" s="48"/>
      <c r="K45" s="38"/>
      <c r="L45" s="42"/>
      <c r="M45" s="65"/>
    </row>
    <row r="46" spans="1:13" s="4" customFormat="1" ht="24.75" customHeight="1" x14ac:dyDescent="0.2">
      <c r="A46" s="36" t="s">
        <v>150</v>
      </c>
      <c r="B46" s="64" t="s">
        <v>110</v>
      </c>
      <c r="C46" s="64" t="s">
        <v>111</v>
      </c>
      <c r="D46" s="37">
        <v>0.1</v>
      </c>
      <c r="E46" s="38">
        <f>'Nov 11'!$D46*$C$6*$C$2</f>
        <v>13012228.098000001</v>
      </c>
      <c r="F46" s="38">
        <v>416330.20833333302</v>
      </c>
      <c r="G46" s="39">
        <f>'Nov 11'!$E46/'Nov 11'!$F46</f>
        <v>31.254585513001775</v>
      </c>
      <c r="H46" s="36">
        <v>48</v>
      </c>
      <c r="I46" s="36">
        <v>48</v>
      </c>
      <c r="J46" s="40">
        <f>I46-H46</f>
        <v>0</v>
      </c>
      <c r="K46" s="41">
        <f>'Nov 11'!$F46*'Nov 11'!$I46</f>
        <v>19983849.999999985</v>
      </c>
      <c r="L46" s="42">
        <f>'Nov 11'!$K46/$K$2</f>
        <v>0.12090281230577443</v>
      </c>
      <c r="M46" s="65"/>
    </row>
    <row r="47" spans="1:13" s="46" customFormat="1" ht="25.5" x14ac:dyDescent="0.25">
      <c r="A47" s="36" t="s">
        <v>151</v>
      </c>
      <c r="B47" s="36" t="s">
        <v>68</v>
      </c>
      <c r="C47" s="36" t="s">
        <v>69</v>
      </c>
      <c r="D47" s="37">
        <v>0.1</v>
      </c>
      <c r="E47" s="38">
        <f>'Nov 11'!$D47*$C$6*$C$2</f>
        <v>13012228.098000001</v>
      </c>
      <c r="F47" s="38">
        <v>249362.51250000001</v>
      </c>
      <c r="G47" s="39">
        <f>'Nov 11'!$E47/'Nov 11'!$F47</f>
        <v>52.181973816132448</v>
      </c>
      <c r="H47" s="36">
        <v>80</v>
      </c>
      <c r="I47" s="36">
        <v>80</v>
      </c>
      <c r="J47" s="40">
        <f>I47-H47</f>
        <v>0</v>
      </c>
      <c r="K47" s="41">
        <f>'Nov 11'!$F47*'Nov 11'!$I47</f>
        <v>19949001</v>
      </c>
      <c r="L47" s="42">
        <f>'Nov 11'!$K47/$K$2</f>
        <v>0.12069197494930697</v>
      </c>
      <c r="M47" s="43"/>
    </row>
    <row r="48" spans="1:13" s="46" customFormat="1" ht="25.5" x14ac:dyDescent="0.25">
      <c r="A48" s="36" t="s">
        <v>151</v>
      </c>
      <c r="B48" s="36" t="s">
        <v>92</v>
      </c>
      <c r="C48" s="36" t="s">
        <v>93</v>
      </c>
      <c r="D48" s="37">
        <v>0.1</v>
      </c>
      <c r="E48" s="38">
        <f>'Nov 11'!$D48*$C$6*$C$2</f>
        <v>13012228.098000001</v>
      </c>
      <c r="F48" s="38">
        <v>416297.45833333302</v>
      </c>
      <c r="G48" s="39">
        <f>'Nov 11'!$E48/'Nov 11'!$F48</f>
        <v>31.257044302156167</v>
      </c>
      <c r="H48" s="36">
        <v>48</v>
      </c>
      <c r="I48" s="36">
        <v>48</v>
      </c>
      <c r="J48" s="40">
        <f>I48-H48</f>
        <v>0</v>
      </c>
      <c r="K48" s="41">
        <f>'Nov 11'!$F48*'Nov 11'!$I48</f>
        <v>19982277.999999985</v>
      </c>
      <c r="L48" s="42">
        <f>'Nov 11'!$K48/$K$2</f>
        <v>0.12089330166488468</v>
      </c>
      <c r="M48" s="43"/>
    </row>
    <row r="49" spans="1:16" s="46" customFormat="1" ht="25.5" x14ac:dyDescent="0.25">
      <c r="A49" s="36" t="s">
        <v>151</v>
      </c>
      <c r="B49" s="36" t="s">
        <v>95</v>
      </c>
      <c r="C49" s="36" t="s">
        <v>96</v>
      </c>
      <c r="D49" s="37">
        <v>0.1</v>
      </c>
      <c r="E49" s="38">
        <f>'Nov 11'!$D49*$C$6*$C$2</f>
        <v>13012228.098000001</v>
      </c>
      <c r="F49" s="38">
        <v>249778.4375</v>
      </c>
      <c r="G49" s="39">
        <f>'Nov 11'!$E49/'Nov 11'!$F49</f>
        <v>52.095081658119511</v>
      </c>
      <c r="H49" s="36">
        <v>80</v>
      </c>
      <c r="I49" s="36">
        <v>80</v>
      </c>
      <c r="J49" s="40">
        <f>I49-H49</f>
        <v>0</v>
      </c>
      <c r="K49" s="41">
        <f>'Nov 11'!$F49*'Nov 11'!$I49</f>
        <v>19982275</v>
      </c>
      <c r="L49" s="42">
        <f>'Nov 11'!$K49/$K$2</f>
        <v>0.12089328351480673</v>
      </c>
      <c r="M49" s="43"/>
    </row>
    <row r="50" spans="1:16" s="46" customFormat="1" ht="25.5" x14ac:dyDescent="0.25">
      <c r="A50" s="36" t="s">
        <v>151</v>
      </c>
      <c r="B50" s="36" t="s">
        <v>77</v>
      </c>
      <c r="C50" s="36" t="s">
        <v>78</v>
      </c>
      <c r="D50" s="37">
        <v>0.1</v>
      </c>
      <c r="E50" s="38">
        <f>'Nov 11'!$D50*$C$6*$C$2</f>
        <v>13012228.098000001</v>
      </c>
      <c r="F50" s="38">
        <v>165969.459016393</v>
      </c>
      <c r="G50" s="39">
        <f>'Nov 11'!$E50/'Nov 11'!$F50</f>
        <v>78.401340675062201</v>
      </c>
      <c r="H50" s="36">
        <v>122</v>
      </c>
      <c r="I50" s="36">
        <v>122</v>
      </c>
      <c r="J50" s="40">
        <f>I50-H50</f>
        <v>0</v>
      </c>
      <c r="K50" s="41">
        <f>'Nov 11'!$F50*'Nov 11'!$I50</f>
        <v>20248273.999999944</v>
      </c>
      <c r="L50" s="42">
        <f>'Nov 11'!$K50/$K$2</f>
        <v>0.12250258438378428</v>
      </c>
      <c r="M50" s="43"/>
    </row>
    <row r="51" spans="1:16" s="47" customFormat="1" ht="12.75" x14ac:dyDescent="0.25">
      <c r="A51" s="36"/>
      <c r="B51" s="36"/>
      <c r="C51" s="36"/>
      <c r="D51" s="37"/>
      <c r="E51" s="38"/>
      <c r="F51" s="38"/>
      <c r="G51" s="39"/>
      <c r="H51" s="36"/>
      <c r="I51" s="36"/>
      <c r="J51" s="48"/>
      <c r="K51" s="38"/>
      <c r="L51" s="42"/>
      <c r="M51" s="36"/>
    </row>
    <row r="52" spans="1:16" s="56" customFormat="1" ht="25.5" x14ac:dyDescent="0.25">
      <c r="A52" s="50" t="s">
        <v>154</v>
      </c>
      <c r="B52" s="50"/>
      <c r="C52" s="50"/>
      <c r="D52" s="58">
        <f>SUBTOTAL(9,D46:D51)</f>
        <v>0.5</v>
      </c>
      <c r="E52" s="52">
        <f>'Nov 11'!$D52*$C$6*$C$2</f>
        <v>65061140.490000002</v>
      </c>
      <c r="F52" s="71"/>
      <c r="G52" s="71"/>
      <c r="H52" s="57"/>
      <c r="I52" s="57"/>
      <c r="J52" s="61"/>
      <c r="K52" s="52">
        <f>SUM(K46:K51)</f>
        <v>100145677.99999991</v>
      </c>
      <c r="L52" s="74">
        <f>'Nov 11'!$K52/$K$2</f>
        <v>0.60588395681855711</v>
      </c>
      <c r="M52" s="50"/>
    </row>
    <row r="53" spans="1:16" s="47" customFormat="1" ht="12.75" x14ac:dyDescent="0.25">
      <c r="A53" s="36"/>
      <c r="B53" s="36"/>
      <c r="C53" s="36"/>
      <c r="D53" s="37"/>
      <c r="E53" s="38"/>
      <c r="F53" s="38"/>
      <c r="G53" s="39"/>
      <c r="H53" s="36"/>
      <c r="I53" s="36"/>
      <c r="J53" s="48"/>
      <c r="K53" s="38"/>
      <c r="L53" s="42"/>
      <c r="M53" s="36"/>
    </row>
    <row r="54" spans="1:16" s="46" customFormat="1" ht="12.75" x14ac:dyDescent="0.25">
      <c r="A54" s="36"/>
      <c r="B54" s="36"/>
      <c r="C54" s="36"/>
      <c r="D54" s="37"/>
      <c r="E54" s="38"/>
      <c r="F54" s="38"/>
      <c r="G54" s="75"/>
      <c r="H54" s="36"/>
      <c r="I54" s="36"/>
      <c r="J54" s="40"/>
      <c r="K54" s="41"/>
      <c r="L54" s="42"/>
      <c r="M54" s="43"/>
    </row>
    <row r="55" spans="1:16" s="46" customFormat="1" ht="25.5" x14ac:dyDescent="0.25">
      <c r="A55" s="36" t="s">
        <v>155</v>
      </c>
      <c r="B55" s="36" t="s">
        <v>53</v>
      </c>
      <c r="C55" s="36" t="s">
        <v>54</v>
      </c>
      <c r="D55" s="37">
        <v>1E-3</v>
      </c>
      <c r="E55" s="38">
        <f>'Nov 11'!$D55*$C$6*$C$2</f>
        <v>130122.28098000001</v>
      </c>
      <c r="F55" s="38">
        <v>47660</v>
      </c>
      <c r="G55" s="75">
        <f>'Nov 11'!$E55/'Nov 11'!$F55</f>
        <v>2.7302199114561478</v>
      </c>
      <c r="H55" s="36">
        <v>3</v>
      </c>
      <c r="I55" s="36">
        <v>3</v>
      </c>
      <c r="J55" s="40">
        <f t="shared" ref="J55:J64" si="2">I55-H55</f>
        <v>0</v>
      </c>
      <c r="K55" s="41">
        <f>'Nov 11'!$F55*'Nov 11'!$I55</f>
        <v>142980</v>
      </c>
      <c r="L55" s="42">
        <f>'Nov 11'!$K55/$K$2</f>
        <v>8.6503271909465097E-4</v>
      </c>
      <c r="M55" s="43"/>
    </row>
    <row r="56" spans="1:16" s="46" customFormat="1" ht="25.5" x14ac:dyDescent="0.25">
      <c r="A56" s="36" t="s">
        <v>155</v>
      </c>
      <c r="B56" s="36" t="s">
        <v>71</v>
      </c>
      <c r="C56" s="36" t="s">
        <v>72</v>
      </c>
      <c r="D56" s="37">
        <v>1E-3</v>
      </c>
      <c r="E56" s="38">
        <f>'Nov 11'!$D56*$C$6*$C$2</f>
        <v>130122.28098000001</v>
      </c>
      <c r="F56" s="38">
        <v>79054.5</v>
      </c>
      <c r="G56" s="75">
        <f>'Nov 11'!$E56/'Nov 11'!$F56</f>
        <v>1.6459819615581657</v>
      </c>
      <c r="H56" s="36">
        <v>2</v>
      </c>
      <c r="I56" s="36">
        <v>2</v>
      </c>
      <c r="J56" s="40">
        <f t="shared" si="2"/>
        <v>0</v>
      </c>
      <c r="K56" s="41">
        <f>'Nov 11'!$F56*'Nov 11'!$I56</f>
        <v>158109</v>
      </c>
      <c r="L56" s="42">
        <f>'Nov 11'!$K56/$K$2</f>
        <v>9.5656356261950048E-4</v>
      </c>
      <c r="M56" s="43"/>
      <c r="P56" s="46" t="s">
        <v>159</v>
      </c>
    </row>
    <row r="57" spans="1:16" s="46" customFormat="1" ht="25.5" x14ac:dyDescent="0.25">
      <c r="A57" s="36" t="s">
        <v>155</v>
      </c>
      <c r="B57" s="36" t="s">
        <v>83</v>
      </c>
      <c r="C57" s="36" t="s">
        <v>84</v>
      </c>
      <c r="D57" s="37">
        <v>1E-3</v>
      </c>
      <c r="E57" s="38">
        <f>'Nov 11'!$D57*$C$6*$C$2</f>
        <v>130122.28098000001</v>
      </c>
      <c r="F57" s="38">
        <v>94978</v>
      </c>
      <c r="G57" s="75">
        <f>'Nov 11'!$E57/'Nov 11'!$F57</f>
        <v>1.3700254899029249</v>
      </c>
      <c r="H57" s="36">
        <v>2</v>
      </c>
      <c r="I57" s="36">
        <v>1</v>
      </c>
      <c r="J57" s="40">
        <f t="shared" si="2"/>
        <v>-1</v>
      </c>
      <c r="K57" s="41">
        <f>'Nov 11'!$F57*'Nov 11'!$I57</f>
        <v>94978</v>
      </c>
      <c r="L57" s="42">
        <f>'Nov 11'!$K57/$K$2</f>
        <v>5.746193705005718E-4</v>
      </c>
      <c r="M57" s="43"/>
    </row>
    <row r="58" spans="1:16" s="46" customFormat="1" ht="25.5" x14ac:dyDescent="0.25">
      <c r="A58" s="36" t="s">
        <v>155</v>
      </c>
      <c r="B58" s="36" t="s">
        <v>161</v>
      </c>
      <c r="C58" s="36" t="s">
        <v>86</v>
      </c>
      <c r="D58" s="37">
        <v>1E-3</v>
      </c>
      <c r="E58" s="38">
        <f>'Nov 11'!$D58*$C$6*$C$2</f>
        <v>130122.28098000001</v>
      </c>
      <c r="F58" s="38">
        <v>246853</v>
      </c>
      <c r="G58" s="75">
        <f>'Nov 11'!$E58/'Nov 11'!$F58</f>
        <v>0.52712456798175433</v>
      </c>
      <c r="H58" s="36">
        <v>1</v>
      </c>
      <c r="I58" s="36">
        <v>1</v>
      </c>
      <c r="J58" s="40">
        <f t="shared" si="2"/>
        <v>0</v>
      </c>
      <c r="K58" s="41">
        <f>'Nov 11'!$F58*'Nov 11'!$I58</f>
        <v>246853</v>
      </c>
      <c r="L58" s="42">
        <f>'Nov 11'!$K58/$K$2</f>
        <v>1.4934670709656726E-3</v>
      </c>
      <c r="M58" s="43"/>
    </row>
    <row r="59" spans="1:16" s="46" customFormat="1" ht="25.5" x14ac:dyDescent="0.25">
      <c r="A59" s="36" t="s">
        <v>155</v>
      </c>
      <c r="B59" s="36" t="s">
        <v>87</v>
      </c>
      <c r="C59" s="36" t="s">
        <v>88</v>
      </c>
      <c r="D59" s="37">
        <v>1E-3</v>
      </c>
      <c r="E59" s="38">
        <f>'Nov 11'!$D59*$C$6*$C$2</f>
        <v>130122.28098000001</v>
      </c>
      <c r="F59" s="38">
        <v>12115.75</v>
      </c>
      <c r="G59" s="75">
        <f>'Nov 11'!$E59/'Nov 11'!$F59</f>
        <v>10.739927860842293</v>
      </c>
      <c r="H59" s="36">
        <v>12</v>
      </c>
      <c r="I59" s="36">
        <v>11</v>
      </c>
      <c r="J59" s="40">
        <f t="shared" si="2"/>
        <v>-1</v>
      </c>
      <c r="K59" s="41">
        <f>'Nov 11'!$F59*'Nov 11'!$I59</f>
        <v>133273.25</v>
      </c>
      <c r="L59" s="42">
        <f>'Nov 11'!$K59/$K$2</f>
        <v>8.0630662910953412E-4</v>
      </c>
      <c r="M59" s="43"/>
    </row>
    <row r="60" spans="1:16" s="46" customFormat="1" ht="25.5" x14ac:dyDescent="0.25">
      <c r="A60" s="36" t="s">
        <v>155</v>
      </c>
      <c r="B60" s="36" t="s">
        <v>90</v>
      </c>
      <c r="C60" s="36" t="s">
        <v>91</v>
      </c>
      <c r="D60" s="37">
        <v>1E-3</v>
      </c>
      <c r="E60" s="38">
        <f>'Nov 11'!$D60*$C$6*$C$2</f>
        <v>130122.28098000001</v>
      </c>
      <c r="F60" s="38">
        <v>91427</v>
      </c>
      <c r="G60" s="75">
        <f>'Nov 11'!$E60/'Nov 11'!$F60</f>
        <v>1.4232369101031426</v>
      </c>
      <c r="H60" s="36">
        <v>2</v>
      </c>
      <c r="I60" s="36">
        <v>1</v>
      </c>
      <c r="J60" s="40">
        <f t="shared" si="2"/>
        <v>-1</v>
      </c>
      <c r="K60" s="41">
        <f>'Nov 11'!$F60*'Nov 11'!$I60</f>
        <v>91427</v>
      </c>
      <c r="L60" s="42">
        <f>'Nov 11'!$K60/$K$2</f>
        <v>5.5313572813447097E-4</v>
      </c>
      <c r="M60" s="43"/>
    </row>
    <row r="61" spans="1:16" s="4" customFormat="1" ht="25.5" x14ac:dyDescent="0.2">
      <c r="A61" s="36" t="s">
        <v>155</v>
      </c>
      <c r="B61" s="64" t="s">
        <v>112</v>
      </c>
      <c r="C61" s="64" t="s">
        <v>113</v>
      </c>
      <c r="D61" s="37">
        <v>1E-3</v>
      </c>
      <c r="E61" s="38">
        <f>'Nov 11'!$D61*$C$6*$C$2</f>
        <v>130122.28098000001</v>
      </c>
      <c r="F61" s="38">
        <v>65936</v>
      </c>
      <c r="G61" s="75">
        <f>'Nov 11'!$E61/'Nov 11'!$F61</f>
        <v>1.9734633732710509</v>
      </c>
      <c r="H61" s="36">
        <v>2</v>
      </c>
      <c r="I61" s="36">
        <v>2</v>
      </c>
      <c r="J61" s="40">
        <f t="shared" si="2"/>
        <v>0</v>
      </c>
      <c r="K61" s="41">
        <f>'Nov 11'!$F61*'Nov 11'!$I61</f>
        <v>131872</v>
      </c>
      <c r="L61" s="42">
        <f>'Nov 11'!$K61/$K$2</f>
        <v>7.9782903016121002E-4</v>
      </c>
      <c r="M61" s="65"/>
    </row>
    <row r="62" spans="1:16" s="46" customFormat="1" ht="25.5" x14ac:dyDescent="0.25">
      <c r="A62" s="36" t="s">
        <v>155</v>
      </c>
      <c r="B62" s="36" t="s">
        <v>164</v>
      </c>
      <c r="C62" s="36" t="s">
        <v>82</v>
      </c>
      <c r="D62" s="37">
        <v>1E-3</v>
      </c>
      <c r="E62" s="38">
        <f>'Nov 11'!$D62*$C$6*$C$2</f>
        <v>130122.28098000001</v>
      </c>
      <c r="F62" s="38">
        <v>29710</v>
      </c>
      <c r="G62" s="75">
        <f>'Nov 11'!$E62/'Nov 11'!$F62</f>
        <v>4.3797469195557053</v>
      </c>
      <c r="H62" s="36">
        <v>5</v>
      </c>
      <c r="I62" s="36">
        <v>4</v>
      </c>
      <c r="J62" s="40">
        <f t="shared" si="2"/>
        <v>-1</v>
      </c>
      <c r="K62" s="41">
        <f>'Nov 11'!$F62*'Nov 11'!$I62</f>
        <v>118840</v>
      </c>
      <c r="L62" s="42">
        <f>'Nov 11'!$K62/$K$2</f>
        <v>7.1898509118204174E-4</v>
      </c>
      <c r="M62" s="43"/>
    </row>
    <row r="63" spans="1:16" s="46" customFormat="1" ht="25.5" x14ac:dyDescent="0.25">
      <c r="A63" s="36" t="s">
        <v>155</v>
      </c>
      <c r="B63" s="36" t="s">
        <v>100</v>
      </c>
      <c r="C63" s="36" t="s">
        <v>101</v>
      </c>
      <c r="D63" s="37">
        <v>1E-3</v>
      </c>
      <c r="E63" s="38">
        <f>'Nov 11'!$D63*$C$6*$C$2</f>
        <v>130122.28098000001</v>
      </c>
      <c r="F63" s="38">
        <v>7765.21052631579</v>
      </c>
      <c r="G63" s="75">
        <f>'Nov 11'!$E63/'Nov 11'!$F63</f>
        <v>16.757083473657811</v>
      </c>
      <c r="H63" s="36">
        <v>19</v>
      </c>
      <c r="I63" s="36">
        <v>17</v>
      </c>
      <c r="J63" s="40">
        <f t="shared" si="2"/>
        <v>-2</v>
      </c>
      <c r="K63" s="41">
        <f>'Nov 11'!$F63*'Nov 11'!$I63</f>
        <v>132008.57894736843</v>
      </c>
      <c r="L63" s="42">
        <f>'Nov 11'!$K63/$K$2</f>
        <v>7.9865533634538406E-4</v>
      </c>
      <c r="M63" s="43"/>
    </row>
    <row r="64" spans="1:16" s="46" customFormat="1" ht="25.5" x14ac:dyDescent="0.25">
      <c r="A64" s="36" t="s">
        <v>155</v>
      </c>
      <c r="B64" s="36" t="s">
        <v>174</v>
      </c>
      <c r="C64" s="36" t="s">
        <v>75</v>
      </c>
      <c r="D64" s="37">
        <v>1E-3</v>
      </c>
      <c r="E64" s="38">
        <f>'Nov 11'!$D64*$C$6*$C$2</f>
        <v>130122.28098000001</v>
      </c>
      <c r="F64" s="38">
        <v>28359.599999999999</v>
      </c>
      <c r="G64" s="75">
        <f>'Nov 11'!$E64/'Nov 11'!$F64</f>
        <v>4.5882974717555962</v>
      </c>
      <c r="H64" s="36">
        <v>5</v>
      </c>
      <c r="I64" s="36">
        <v>5</v>
      </c>
      <c r="J64" s="40">
        <f t="shared" si="2"/>
        <v>0</v>
      </c>
      <c r="K64" s="41">
        <f>'Nov 11'!$F64*'Nov 11'!$I64</f>
        <v>141798</v>
      </c>
      <c r="L64" s="42">
        <f>'Nov 11'!$K64/$K$2</f>
        <v>8.5788158834930288E-4</v>
      </c>
      <c r="M64" s="43"/>
    </row>
    <row r="65" spans="1:13" s="46" customFormat="1" ht="12.75" x14ac:dyDescent="0.25">
      <c r="A65" s="36"/>
      <c r="B65" s="36"/>
      <c r="C65" s="36"/>
      <c r="D65" s="37"/>
      <c r="E65" s="38"/>
      <c r="F65" s="38"/>
      <c r="G65" s="39"/>
      <c r="H65" s="36"/>
      <c r="I65" s="36"/>
      <c r="J65" s="43"/>
      <c r="K65" s="41"/>
      <c r="L65" s="42"/>
      <c r="M65" s="43"/>
    </row>
    <row r="66" spans="1:13" s="46" customFormat="1" ht="12.75" x14ac:dyDescent="0.25">
      <c r="A66" s="36"/>
      <c r="B66" s="36"/>
      <c r="C66" s="36"/>
      <c r="D66" s="37"/>
      <c r="E66" s="38"/>
      <c r="F66" s="38"/>
      <c r="G66" s="39"/>
      <c r="H66" s="36"/>
      <c r="I66" s="36"/>
      <c r="J66" s="43"/>
      <c r="K66" s="41"/>
      <c r="L66" s="42"/>
      <c r="M66" s="43"/>
    </row>
    <row r="67" spans="1:13" s="17" customFormat="1" ht="12.75" x14ac:dyDescent="0.2">
      <c r="A67" s="50" t="s">
        <v>167</v>
      </c>
      <c r="B67" s="68"/>
      <c r="C67" s="68"/>
      <c r="D67" s="76">
        <f>SUM(D55:D66)</f>
        <v>1.0000000000000002E-2</v>
      </c>
      <c r="E67" s="52">
        <f>SUM(E54:E66)</f>
        <v>1301222.8098000002</v>
      </c>
      <c r="F67" s="71"/>
      <c r="G67" s="71"/>
      <c r="H67" s="68"/>
      <c r="I67" s="68"/>
      <c r="J67" s="50"/>
      <c r="K67" s="52">
        <f>SUM(K54:K66)</f>
        <v>1392138.8289473685</v>
      </c>
      <c r="L67" s="55">
        <f>'Nov 11'!$K67/$K$2</f>
        <v>8.4224761264623405E-3</v>
      </c>
      <c r="M67" s="62"/>
    </row>
    <row r="68" spans="1:13" s="4" customFormat="1" ht="12.75" x14ac:dyDescent="0.2">
      <c r="A68" s="36"/>
      <c r="B68" s="64"/>
      <c r="C68" s="64"/>
      <c r="D68" s="77"/>
      <c r="E68" s="38"/>
      <c r="F68" s="38"/>
      <c r="G68" s="39"/>
      <c r="H68" s="64"/>
      <c r="I68" s="64"/>
      <c r="J68" s="36"/>
      <c r="K68" s="36"/>
      <c r="L68" s="42"/>
      <c r="M68" s="65"/>
    </row>
    <row r="69" spans="1:13" s="46" customFormat="1" ht="25.5" x14ac:dyDescent="0.25">
      <c r="A69" s="50" t="s">
        <v>168</v>
      </c>
      <c r="B69" s="57" t="s">
        <v>169</v>
      </c>
      <c r="C69" s="57" t="s">
        <v>170</v>
      </c>
      <c r="D69" s="58">
        <v>0</v>
      </c>
      <c r="E69" s="59">
        <f>'Nov 11'!$D69*$C$6*$C$2</f>
        <v>0</v>
      </c>
      <c r="F69" s="59">
        <v>0</v>
      </c>
      <c r="G69" s="60" t="s">
        <v>175</v>
      </c>
      <c r="H69" s="57">
        <v>0</v>
      </c>
      <c r="I69" s="57">
        <v>0</v>
      </c>
      <c r="J69" s="78">
        <f>I69-H69</f>
        <v>0</v>
      </c>
      <c r="K69" s="59">
        <f>'Nov 11'!$F69*'Nov 11'!$I69</f>
        <v>0</v>
      </c>
      <c r="L69" s="79">
        <f>'Nov 11'!$K69/$K$2</f>
        <v>0</v>
      </c>
      <c r="M69" s="57"/>
    </row>
    <row r="70" spans="1:13" s="4" customFormat="1" ht="12.75" x14ac:dyDescent="0.2">
      <c r="A70" s="36"/>
      <c r="B70" s="64"/>
      <c r="C70" s="64"/>
      <c r="D70" s="77"/>
      <c r="E70" s="38"/>
      <c r="F70" s="38"/>
      <c r="G70" s="39"/>
      <c r="H70" s="64"/>
      <c r="I70" s="64"/>
      <c r="J70" s="36"/>
      <c r="K70" s="36"/>
      <c r="L70" s="42"/>
      <c r="M70" s="65"/>
    </row>
    <row r="71" spans="1:13" s="4" customFormat="1" ht="12.75" x14ac:dyDescent="0.2">
      <c r="A71" s="36"/>
      <c r="B71" s="64"/>
      <c r="C71" s="64"/>
      <c r="D71" s="80"/>
      <c r="E71" s="66"/>
      <c r="F71" s="38"/>
      <c r="G71" s="39"/>
      <c r="H71" s="64"/>
      <c r="I71" s="64"/>
      <c r="J71" s="36"/>
      <c r="K71" s="36"/>
      <c r="L71" s="42"/>
      <c r="M71" s="65"/>
    </row>
    <row r="72" spans="1:13" s="17" customFormat="1" ht="12.75" x14ac:dyDescent="0.2">
      <c r="A72" s="50" t="s">
        <v>171</v>
      </c>
      <c r="B72" s="68"/>
      <c r="C72" s="68"/>
      <c r="D72" s="68"/>
      <c r="E72" s="81"/>
      <c r="F72" s="81"/>
      <c r="G72" s="50"/>
      <c r="H72" s="68"/>
      <c r="I72" s="68"/>
      <c r="J72" s="68"/>
      <c r="K72" s="81">
        <f>SUM(K29,K31,K44,K52,K67,K69:K69)</f>
        <v>165288545.55888224</v>
      </c>
      <c r="L72" s="55">
        <f>'Nov 11'!$K72/$K$2</f>
        <v>1</v>
      </c>
      <c r="M72" s="68"/>
    </row>
    <row r="73" spans="1:13" s="4" customFormat="1" ht="12.75" x14ac:dyDescent="0.2">
      <c r="A73" s="65"/>
      <c r="B73" s="65"/>
      <c r="C73" s="65"/>
      <c r="D73" s="82"/>
      <c r="E73" s="83"/>
      <c r="F73" s="38"/>
      <c r="G73" s="84"/>
      <c r="H73" s="65"/>
      <c r="I73" s="65"/>
      <c r="J73" s="65"/>
      <c r="K73" s="65"/>
      <c r="L73" s="42"/>
      <c r="M73" s="65"/>
    </row>
    <row r="74" spans="1:13" s="4" customFormat="1" ht="12.75" x14ac:dyDescent="0.2">
      <c r="A74" s="65"/>
      <c r="B74" s="65"/>
      <c r="C74" s="65"/>
      <c r="D74" s="82"/>
      <c r="E74" s="83"/>
      <c r="F74" s="38"/>
      <c r="G74" s="84"/>
      <c r="H74" s="65"/>
      <c r="I74" s="65"/>
      <c r="J74" s="65"/>
      <c r="K74" s="65"/>
      <c r="L74" s="42"/>
      <c r="M74" s="65"/>
    </row>
    <row r="75" spans="1:13" s="4" customFormat="1" ht="12.75" x14ac:dyDescent="0.2">
      <c r="A75" s="65"/>
      <c r="B75" s="65"/>
      <c r="C75" s="65"/>
      <c r="D75" s="82"/>
      <c r="E75" s="83"/>
      <c r="F75" s="38"/>
      <c r="G75" s="84"/>
      <c r="H75" s="65"/>
      <c r="I75" s="65"/>
      <c r="J75" s="65"/>
      <c r="K75" s="65"/>
      <c r="L75" s="42"/>
      <c r="M75" s="65"/>
    </row>
    <row r="76" spans="1:13" s="4" customFormat="1" ht="12.75" x14ac:dyDescent="0.2">
      <c r="A76" s="65"/>
      <c r="B76" s="65"/>
      <c r="C76" s="65"/>
      <c r="D76" s="82"/>
      <c r="E76" s="83"/>
      <c r="F76" s="38"/>
      <c r="G76" s="84"/>
      <c r="H76" s="65"/>
      <c r="I76" s="65"/>
      <c r="J76" s="65"/>
      <c r="K76" s="65"/>
      <c r="L76" s="42"/>
      <c r="M76" s="65"/>
    </row>
    <row r="77" spans="1:13" s="4" customFormat="1" ht="12.75" x14ac:dyDescent="0.2">
      <c r="A77" s="65"/>
      <c r="B77" s="65"/>
      <c r="C77" s="65"/>
      <c r="D77" s="82"/>
      <c r="E77" s="83"/>
      <c r="F77" s="38"/>
      <c r="G77" s="84"/>
      <c r="H77" s="65"/>
      <c r="I77" s="65"/>
      <c r="J77" s="65"/>
      <c r="K77" s="65"/>
      <c r="L77" s="42"/>
      <c r="M77" s="65"/>
    </row>
    <row r="78" spans="1:13" s="4" customFormat="1" ht="12.75" x14ac:dyDescent="0.2">
      <c r="A78" s="65"/>
      <c r="B78" s="65"/>
      <c r="C78" s="65"/>
      <c r="D78" s="82"/>
      <c r="E78" s="83"/>
      <c r="F78" s="38"/>
      <c r="G78" s="84"/>
      <c r="H78" s="65"/>
      <c r="I78" s="65"/>
      <c r="J78" s="65"/>
      <c r="K78" s="65"/>
      <c r="L78" s="42"/>
      <c r="M78" s="65"/>
    </row>
    <row r="79" spans="1:13" s="4" customFormat="1" ht="12.75" x14ac:dyDescent="0.2">
      <c r="A79" s="65"/>
      <c r="B79" s="65"/>
      <c r="C79" s="65"/>
      <c r="D79" s="82"/>
      <c r="E79" s="83"/>
      <c r="F79" s="38"/>
      <c r="G79" s="84"/>
      <c r="H79" s="65"/>
      <c r="I79" s="65"/>
      <c r="J79" s="65"/>
      <c r="K79" s="65"/>
      <c r="L79" s="42"/>
      <c r="M79" s="65"/>
    </row>
    <row r="80" spans="1:13" s="4" customFormat="1" ht="12.75" x14ac:dyDescent="0.2">
      <c r="A80" s="65"/>
      <c r="B80" s="65"/>
      <c r="C80" s="65"/>
      <c r="D80" s="82"/>
      <c r="E80" s="83"/>
      <c r="F80" s="38"/>
      <c r="G80" s="84"/>
      <c r="H80" s="65"/>
      <c r="I80" s="65"/>
      <c r="J80" s="65"/>
      <c r="K80" s="65"/>
      <c r="L80" s="42"/>
      <c r="M80" s="65"/>
    </row>
    <row r="81" spans="1:13" s="4" customFormat="1" ht="12.75" x14ac:dyDescent="0.2">
      <c r="A81" s="65"/>
      <c r="B81" s="65"/>
      <c r="C81" s="65"/>
      <c r="D81" s="82"/>
      <c r="E81" s="83"/>
      <c r="F81" s="38"/>
      <c r="G81" s="84"/>
      <c r="H81" s="65"/>
      <c r="I81" s="65"/>
      <c r="J81" s="65"/>
      <c r="K81" s="65"/>
      <c r="L81" s="42"/>
      <c r="M81" s="65"/>
    </row>
    <row r="82" spans="1:13" s="4" customFormat="1" ht="12.75" x14ac:dyDescent="0.2"/>
    <row r="83" spans="1:13" s="4" customFormat="1" ht="12.75" x14ac:dyDescent="0.2"/>
    <row r="85" spans="1:13" s="4" customFormat="1" ht="12.75" x14ac:dyDescent="0.2">
      <c r="A85" s="85"/>
      <c r="B85" s="85"/>
      <c r="E85" s="85"/>
      <c r="F85" s="85"/>
      <c r="G85" s="85"/>
      <c r="H85" s="86"/>
      <c r="M85" s="85"/>
    </row>
    <row r="86" spans="1:13" s="4" customFormat="1" ht="12.75" x14ac:dyDescent="0.2">
      <c r="A86" s="85"/>
      <c r="B86" s="85"/>
      <c r="E86" s="85"/>
      <c r="F86" s="85"/>
      <c r="G86" s="85"/>
      <c r="H86" s="86"/>
      <c r="M86" s="85"/>
    </row>
    <row r="87" spans="1:13" s="4" customFormat="1" ht="12.75" x14ac:dyDescent="0.2">
      <c r="A87" s="87"/>
      <c r="B87" s="87"/>
    </row>
    <row r="88" spans="1:13" s="4" customFormat="1" ht="12.75" x14ac:dyDescent="0.2">
      <c r="A88" s="88"/>
      <c r="B88" s="88"/>
      <c r="E88" s="88"/>
      <c r="F88" s="87"/>
      <c r="G88" s="87"/>
      <c r="M88" s="89"/>
    </row>
    <row r="89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TWS data</vt:lpstr>
      <vt:lpstr>Nov 02</vt:lpstr>
      <vt:lpstr>Nov 03</vt:lpstr>
      <vt:lpstr>Nov 04</vt:lpstr>
      <vt:lpstr>Nov 05</vt:lpstr>
      <vt:lpstr>Nov 06</vt:lpstr>
      <vt:lpstr>Nov 09</vt:lpstr>
      <vt:lpstr>Nov 10</vt:lpstr>
      <vt:lpstr>Nov 11</vt:lpstr>
      <vt:lpstr>Nov 12</vt:lpstr>
      <vt:lpstr>Nov 13</vt:lpstr>
      <vt:lpstr>Nov 16</vt:lpstr>
      <vt:lpstr>Nov 17</vt:lpstr>
      <vt:lpstr>Nov 18</vt:lpstr>
      <vt:lpstr>Nov 19</vt:lpstr>
      <vt:lpstr>Nov 20</vt:lpstr>
      <vt:lpstr>Nov 23</vt:lpstr>
      <vt:lpstr>Nov 24</vt:lpstr>
      <vt:lpstr>Nov 25</vt:lpstr>
      <vt:lpstr>Nov 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Golden Horse</dc:creator>
  <dc:description/>
  <cp:lastModifiedBy>Golden Horse FM</cp:lastModifiedBy>
  <cp:revision>140</cp:revision>
  <cp:lastPrinted>2020-06-30T06:21:10Z</cp:lastPrinted>
  <dcterms:created xsi:type="dcterms:W3CDTF">2020-06-30T03:42:56Z</dcterms:created>
  <dcterms:modified xsi:type="dcterms:W3CDTF">2020-11-30T09:59:33Z</dcterms:modified>
  <dc:language>en-SG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f59dd16a-6f38-4c61-8740-1c2c41fd22a2</vt:lpwstr>
  </property>
</Properties>
</file>